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externalReferences>
    <externalReference r:id="rId2"/>
  </externalReferences>
  <definedNames>
    <definedName name="_xlnm.Print_Area" localSheetId="0">'Despesa pessoal ANEXO II '!$A$1:$LX$142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42" i="1" l="1"/>
  <c r="O142" i="1"/>
  <c r="M142" i="1"/>
  <c r="O141" i="1"/>
  <c r="P141" i="1" s="1"/>
  <c r="O140" i="1"/>
  <c r="M140" i="1"/>
  <c r="P140" i="1" s="1"/>
  <c r="P139" i="1"/>
  <c r="O139" i="1"/>
  <c r="M139" i="1"/>
  <c r="O138" i="1"/>
  <c r="P138" i="1" s="1"/>
  <c r="M138" i="1"/>
  <c r="O137" i="1"/>
  <c r="P137" i="1" s="1"/>
  <c r="M137" i="1"/>
  <c r="O136" i="1"/>
  <c r="M136" i="1"/>
  <c r="P136" i="1" s="1"/>
  <c r="P135" i="1"/>
  <c r="O135" i="1"/>
  <c r="M135" i="1"/>
  <c r="O134" i="1"/>
  <c r="P134" i="1" s="1"/>
  <c r="O133" i="1"/>
  <c r="M133" i="1"/>
  <c r="P133" i="1" s="1"/>
  <c r="P132" i="1"/>
  <c r="O132" i="1"/>
  <c r="M132" i="1"/>
  <c r="O131" i="1"/>
  <c r="P131" i="1" s="1"/>
  <c r="M131" i="1"/>
  <c r="O130" i="1"/>
  <c r="P130" i="1" s="1"/>
  <c r="M130" i="1"/>
  <c r="O129" i="1"/>
  <c r="M129" i="1"/>
  <c r="P129" i="1" s="1"/>
  <c r="P128" i="1"/>
  <c r="O128" i="1"/>
  <c r="M128" i="1"/>
  <c r="O127" i="1"/>
  <c r="P127" i="1" s="1"/>
  <c r="M127" i="1"/>
  <c r="O126" i="1"/>
  <c r="P126" i="1" s="1"/>
  <c r="P125" i="1"/>
  <c r="O125" i="1"/>
  <c r="M125" i="1"/>
  <c r="O124" i="1"/>
  <c r="P124" i="1" s="1"/>
  <c r="M124" i="1"/>
  <c r="O123" i="1"/>
  <c r="P123" i="1" s="1"/>
  <c r="M123" i="1"/>
  <c r="O122" i="1"/>
  <c r="M122" i="1"/>
  <c r="P122" i="1" s="1"/>
  <c r="P121" i="1"/>
  <c r="O121" i="1"/>
  <c r="M121" i="1"/>
  <c r="O120" i="1"/>
  <c r="P120" i="1" s="1"/>
  <c r="M120" i="1"/>
  <c r="O119" i="1"/>
  <c r="P119" i="1" s="1"/>
  <c r="M119" i="1"/>
  <c r="O118" i="1"/>
  <c r="M118" i="1"/>
  <c r="P118" i="1" s="1"/>
  <c r="P117" i="1"/>
  <c r="O117" i="1"/>
  <c r="O116" i="1"/>
  <c r="P116" i="1" s="1"/>
  <c r="M116" i="1"/>
  <c r="O115" i="1"/>
  <c r="M115" i="1"/>
  <c r="P115" i="1" s="1"/>
  <c r="P114" i="1"/>
  <c r="O114" i="1"/>
  <c r="M114" i="1"/>
  <c r="O113" i="1"/>
  <c r="P113" i="1" s="1"/>
  <c r="O112" i="1"/>
  <c r="M112" i="1"/>
  <c r="P112" i="1" s="1"/>
  <c r="P111" i="1"/>
  <c r="O111" i="1"/>
  <c r="M111" i="1"/>
  <c r="O110" i="1"/>
  <c r="P110" i="1" s="1"/>
  <c r="M110" i="1"/>
  <c r="O109" i="1"/>
  <c r="P109" i="1" s="1"/>
  <c r="M109" i="1"/>
  <c r="O108" i="1"/>
  <c r="M108" i="1"/>
  <c r="P108" i="1" s="1"/>
  <c r="P107" i="1"/>
  <c r="O107" i="1"/>
  <c r="M107" i="1"/>
  <c r="O106" i="1"/>
  <c r="P106" i="1" s="1"/>
  <c r="M106" i="1"/>
  <c r="O105" i="1"/>
  <c r="P105" i="1" s="1"/>
  <c r="M105" i="1"/>
  <c r="O104" i="1"/>
  <c r="M104" i="1"/>
  <c r="P104" i="1" s="1"/>
  <c r="P103" i="1"/>
  <c r="O103" i="1"/>
  <c r="M103" i="1"/>
  <c r="O102" i="1"/>
  <c r="P102" i="1" s="1"/>
  <c r="M102" i="1"/>
  <c r="O101" i="1"/>
  <c r="P101" i="1" s="1"/>
  <c r="M101" i="1"/>
  <c r="O100" i="1"/>
  <c r="M100" i="1"/>
  <c r="P100" i="1" s="1"/>
  <c r="P99" i="1"/>
  <c r="O99" i="1"/>
  <c r="M99" i="1"/>
  <c r="O98" i="1"/>
  <c r="P98" i="1" s="1"/>
  <c r="O97" i="1"/>
  <c r="M97" i="1"/>
  <c r="P97" i="1" s="1"/>
  <c r="P96" i="1"/>
  <c r="O96" i="1"/>
  <c r="M96" i="1"/>
  <c r="O95" i="1"/>
  <c r="P95" i="1" s="1"/>
  <c r="O94" i="1"/>
  <c r="M94" i="1"/>
  <c r="P94" i="1" s="1"/>
  <c r="P93" i="1"/>
  <c r="M93" i="1"/>
  <c r="O92" i="1"/>
  <c r="P92" i="1" s="1"/>
  <c r="M92" i="1"/>
  <c r="O91" i="1"/>
  <c r="M91" i="1"/>
  <c r="P91" i="1" s="1"/>
  <c r="P90" i="1"/>
  <c r="O90" i="1"/>
  <c r="M90" i="1"/>
  <c r="P89" i="1"/>
  <c r="P88" i="1"/>
  <c r="O87" i="1"/>
  <c r="M87" i="1"/>
  <c r="K87" i="1"/>
  <c r="P87" i="1" s="1"/>
  <c r="O86" i="1"/>
  <c r="M86" i="1"/>
  <c r="P86" i="1" s="1"/>
  <c r="P85" i="1"/>
  <c r="O85" i="1"/>
  <c r="M85" i="1"/>
  <c r="O84" i="1"/>
  <c r="P84" i="1" s="1"/>
  <c r="M84" i="1"/>
  <c r="O83" i="1"/>
  <c r="P83" i="1" s="1"/>
  <c r="P82" i="1"/>
  <c r="O82" i="1"/>
  <c r="M82" i="1"/>
  <c r="O81" i="1"/>
  <c r="P81" i="1" s="1"/>
  <c r="M81" i="1"/>
  <c r="O80" i="1"/>
  <c r="P80" i="1" s="1"/>
  <c r="M80" i="1"/>
  <c r="O79" i="1"/>
  <c r="M79" i="1"/>
  <c r="P79" i="1" s="1"/>
  <c r="P78" i="1"/>
  <c r="O78" i="1"/>
  <c r="M78" i="1"/>
  <c r="M77" i="1"/>
  <c r="P77" i="1" s="1"/>
  <c r="O76" i="1"/>
  <c r="M76" i="1"/>
  <c r="P76" i="1" s="1"/>
  <c r="P75" i="1"/>
  <c r="O75" i="1"/>
  <c r="M75" i="1"/>
  <c r="O74" i="1"/>
  <c r="P74" i="1" s="1"/>
  <c r="M74" i="1"/>
  <c r="O73" i="1"/>
  <c r="P73" i="1" s="1"/>
  <c r="M73" i="1"/>
  <c r="P72" i="1"/>
  <c r="O72" i="1"/>
  <c r="O71" i="1"/>
  <c r="P71" i="1" s="1"/>
  <c r="M71" i="1"/>
  <c r="O70" i="1"/>
  <c r="P70" i="1" s="1"/>
  <c r="M70" i="1"/>
  <c r="O69" i="1"/>
  <c r="M69" i="1"/>
  <c r="P69" i="1" s="1"/>
  <c r="P68" i="1"/>
  <c r="O68" i="1"/>
  <c r="M68" i="1"/>
  <c r="O67" i="1"/>
  <c r="P67" i="1" s="1"/>
  <c r="M67" i="1"/>
  <c r="O66" i="1"/>
  <c r="P66" i="1" s="1"/>
  <c r="M66" i="1"/>
  <c r="O65" i="1"/>
  <c r="M65" i="1"/>
  <c r="K65" i="1"/>
  <c r="P65" i="1" s="1"/>
  <c r="O64" i="1"/>
  <c r="M64" i="1"/>
  <c r="P64" i="1" s="1"/>
  <c r="P63" i="1"/>
  <c r="P62" i="1"/>
  <c r="O62" i="1"/>
  <c r="O61" i="1"/>
  <c r="P61" i="1" s="1"/>
  <c r="M61" i="1"/>
  <c r="O60" i="1"/>
  <c r="P60" i="1" s="1"/>
  <c r="M60" i="1"/>
  <c r="O59" i="1"/>
  <c r="M59" i="1"/>
  <c r="P59" i="1" s="1"/>
  <c r="P58" i="1"/>
  <c r="O58" i="1"/>
  <c r="M58" i="1"/>
  <c r="O57" i="1"/>
  <c r="P57" i="1" s="1"/>
  <c r="M57" i="1"/>
  <c r="P56" i="1"/>
  <c r="O55" i="1"/>
  <c r="P55" i="1" s="1"/>
  <c r="M55" i="1"/>
  <c r="O54" i="1"/>
  <c r="P54" i="1" s="1"/>
  <c r="M54" i="1"/>
  <c r="O53" i="1"/>
  <c r="M53" i="1"/>
  <c r="P53" i="1" s="1"/>
  <c r="P52" i="1"/>
  <c r="O52" i="1"/>
  <c r="O51" i="1"/>
  <c r="P51" i="1" s="1"/>
  <c r="M51" i="1"/>
  <c r="O50" i="1"/>
  <c r="M50" i="1"/>
  <c r="P50" i="1" s="1"/>
  <c r="P49" i="1"/>
  <c r="O49" i="1"/>
  <c r="M49" i="1"/>
  <c r="O48" i="1"/>
  <c r="P48" i="1" s="1"/>
  <c r="M48" i="1"/>
  <c r="O47" i="1"/>
  <c r="P47" i="1" s="1"/>
  <c r="M47" i="1"/>
  <c r="O46" i="1"/>
  <c r="M46" i="1"/>
  <c r="P46" i="1" s="1"/>
  <c r="P45" i="1"/>
  <c r="O45" i="1"/>
  <c r="M45" i="1"/>
  <c r="O44" i="1"/>
  <c r="P44" i="1" s="1"/>
  <c r="M44" i="1"/>
  <c r="O43" i="1"/>
  <c r="P43" i="1" s="1"/>
  <c r="M43" i="1"/>
  <c r="O42" i="1"/>
  <c r="M42" i="1"/>
  <c r="P42" i="1" s="1"/>
  <c r="P41" i="1"/>
  <c r="O41" i="1"/>
  <c r="M41" i="1"/>
  <c r="O40" i="1"/>
  <c r="P40" i="1" s="1"/>
  <c r="M40" i="1"/>
  <c r="O39" i="1"/>
  <c r="P39" i="1" s="1"/>
  <c r="M39" i="1"/>
  <c r="O38" i="1"/>
  <c r="M38" i="1"/>
  <c r="P38" i="1" s="1"/>
  <c r="P37" i="1"/>
  <c r="O37" i="1"/>
  <c r="O36" i="1"/>
  <c r="P36" i="1" s="1"/>
  <c r="M36" i="1"/>
  <c r="O35" i="1"/>
  <c r="M35" i="1"/>
  <c r="P35" i="1" s="1"/>
  <c r="P34" i="1"/>
  <c r="O34" i="1"/>
  <c r="M34" i="1"/>
  <c r="O33" i="1"/>
  <c r="P33" i="1" s="1"/>
  <c r="P32" i="1"/>
  <c r="O32" i="1"/>
  <c r="P31" i="1"/>
  <c r="P30" i="1"/>
  <c r="O30" i="1"/>
  <c r="M30" i="1"/>
  <c r="O29" i="1"/>
  <c r="P29" i="1" s="1"/>
  <c r="P28" i="1"/>
  <c r="O28" i="1"/>
  <c r="O27" i="1"/>
  <c r="P27" i="1" s="1"/>
  <c r="O26" i="1"/>
  <c r="M26" i="1"/>
  <c r="P26" i="1" s="1"/>
  <c r="P25" i="1"/>
  <c r="O25" i="1"/>
  <c r="M25" i="1"/>
  <c r="O24" i="1"/>
  <c r="P24" i="1" s="1"/>
  <c r="M24" i="1"/>
  <c r="O23" i="1"/>
  <c r="P23" i="1" s="1"/>
  <c r="M23" i="1"/>
  <c r="P22" i="1"/>
  <c r="O22" i="1"/>
  <c r="M22" i="1"/>
  <c r="P21" i="1"/>
  <c r="O21" i="1"/>
  <c r="M21" i="1"/>
  <c r="O20" i="1"/>
  <c r="P20" i="1" s="1"/>
  <c r="M20" i="1"/>
  <c r="O19" i="1"/>
  <c r="P19" i="1" s="1"/>
  <c r="M19" i="1"/>
  <c r="P18" i="1"/>
  <c r="O18" i="1"/>
  <c r="M18" i="1"/>
  <c r="P17" i="1"/>
  <c r="P16" i="1"/>
  <c r="O16" i="1"/>
  <c r="M16" i="1"/>
  <c r="P15" i="1"/>
  <c r="O15" i="1"/>
  <c r="M15" i="1"/>
  <c r="O14" i="1"/>
  <c r="P14" i="1" s="1"/>
  <c r="M14" i="1"/>
  <c r="O13" i="1"/>
  <c r="P13" i="1" s="1"/>
  <c r="M13" i="1"/>
  <c r="P12" i="1"/>
  <c r="O12" i="1"/>
  <c r="M12" i="1"/>
  <c r="P11" i="1"/>
  <c r="O11" i="1"/>
  <c r="M11" i="1"/>
  <c r="O10" i="1"/>
  <c r="P10" i="1" s="1"/>
  <c r="M10" i="1"/>
  <c r="O9" i="1"/>
  <c r="P9" i="1" s="1"/>
  <c r="P8" i="1"/>
  <c r="O8" i="1"/>
  <c r="M8" i="1"/>
  <c r="O7" i="1"/>
  <c r="P7" i="1" s="1"/>
  <c r="M7" i="1"/>
  <c r="O6" i="1"/>
  <c r="P6" i="1" s="1"/>
  <c r="M6" i="1"/>
  <c r="P5" i="1"/>
  <c r="O5" i="1"/>
  <c r="O4" i="1"/>
  <c r="P4" i="1" s="1"/>
  <c r="M4" i="1"/>
  <c r="O3" i="1"/>
  <c r="P3" i="1" s="1"/>
  <c r="M3" i="1"/>
  <c r="P2" i="1"/>
  <c r="O2" i="1"/>
</calcChain>
</file>

<file path=xl/sharedStrings.xml><?xml version="1.0" encoding="utf-8"?>
<sst xmlns="http://schemas.openxmlformats.org/spreadsheetml/2006/main" count="814" uniqueCount="278">
  <si>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</si>
  <si>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</si>
  <si>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</si>
  <si>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</si>
  <si>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</si>
  <si>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</si>
  <si>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</si>
  <si>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</si>
  <si>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</si>
  <si>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</si>
  <si>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</si>
  <si>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</si>
  <si>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</si>
  <si>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</si>
  <si>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</si>
  <si>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</si>
  <si>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01476404000119</t>
  </si>
  <si>
    <t>Unidade de Pronto Atendimento Eduardo Campos  UPA Sotave</t>
  </si>
  <si>
    <t xml:space="preserve">ABEL JOSE DOS SANTOS          </t>
  </si>
  <si>
    <t>3222-05</t>
  </si>
  <si>
    <t>08/2020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</si>
  <si>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</si>
  <si>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</si>
  <si>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</si>
  <si>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</si>
  <si>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</si>
  <si>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</si>
  <si>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</si>
  <si>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</si>
  <si>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</si>
  <si>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</si>
  <si>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</si>
  <si>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</si>
  <si>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</si>
  <si>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</si>
  <si>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</si>
  <si>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</si>
  <si>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</si>
  <si>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</si>
  <si>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</si>
  <si>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</si>
  <si>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</si>
  <si>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</si>
  <si>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</si>
  <si>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</si>
  <si>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</si>
  <si>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</si>
  <si>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</si>
  <si>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</si>
  <si>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</si>
  <si>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</si>
  <si>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</si>
  <si>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</si>
  <si>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</si>
  <si>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</si>
  <si>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</si>
  <si>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</si>
  <si>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</si>
  <si>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</si>
  <si>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</si>
  <si>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</si>
  <si>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</si>
  <si>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</si>
  <si>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</si>
  <si>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</si>
  <si>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</si>
  <si>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</si>
  <si>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</si>
  <si>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</si>
  <si>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</si>
  <si>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</si>
  <si>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</si>
  <si>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</si>
  <si>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</si>
  <si>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</si>
  <si>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</si>
  <si>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</si>
  <si>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</si>
  <si>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</si>
  <si>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</si>
  <si>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</si>
  <si>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</si>
  <si>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</si>
  <si>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</si>
  <si>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</si>
  <si>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</si>
  <si>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</si>
  <si>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</si>
  <si>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</si>
  <si>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</si>
  <si>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</si>
  <si>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</si>
  <si>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</si>
  <si>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</si>
  <si>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</si>
  <si>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</si>
  <si>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</si>
  <si>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</si>
  <si>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</si>
  <si>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</si>
  <si>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</si>
  <si>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</si>
  <si>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</si>
  <si>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</si>
  <si>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</si>
  <si>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</si>
  <si>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</si>
  <si>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</si>
  <si>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</si>
  <si>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</si>
  <si>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</si>
  <si>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</si>
  <si>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</si>
  <si>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</si>
  <si>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</si>
  <si>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</si>
  <si>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</si>
  <si>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</si>
  <si>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</si>
  <si>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</si>
  <si>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</si>
  <si>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</si>
  <si>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</si>
  <si>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</si>
  <si>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</si>
  <si>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</si>
  <si>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</si>
  <si>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</si>
  <si>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</si>
  <si>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</si>
  <si>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</si>
  <si>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</si>
  <si>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</si>
  <si>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</si>
  <si>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</si>
  <si>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</si>
  <si>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</si>
  <si>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</si>
  <si>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</si>
  <si>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</si>
  <si>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</si>
  <si>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</si>
  <si>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</si>
  <si>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</si>
  <si>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</si>
  <si>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</si>
  <si>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</si>
  <si>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</si>
  <si>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</si>
  <si>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</si>
  <si>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</si>
  <si>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</si>
  <si>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</si>
  <si>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</si>
  <si>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</si>
  <si>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</si>
  <si>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</si>
  <si>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</si>
  <si>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</si>
  <si>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</si>
  <si>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</si>
  <si>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</si>
  <si>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</si>
  <si>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</si>
  <si>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</si>
  <si>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</si>
  <si>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</si>
  <si>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</si>
  <si>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</si>
  <si>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</si>
  <si>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</si>
  <si>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</si>
  <si>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</si>
  <si>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</si>
  <si>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</si>
  <si>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</si>
  <si>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</si>
  <si>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</si>
  <si>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</si>
  <si>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</si>
  <si>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</si>
  <si>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</si>
  <si>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</si>
  <si>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</si>
  <si>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</si>
  <si>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</si>
  <si>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</si>
  <si>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</si>
  <si>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</si>
  <si>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</si>
  <si>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</si>
  <si>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</si>
  <si>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</si>
  <si>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</si>
  <si>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</si>
  <si>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</si>
  <si>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</si>
  <si>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</si>
  <si>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</si>
  <si>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</si>
  <si>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</si>
  <si>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</si>
  <si>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</si>
  <si>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</si>
  <si>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</si>
  <si>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</si>
  <si>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</si>
  <si>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</si>
  <si>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</si>
  <si>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</si>
  <si>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</si>
  <si>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</si>
  <si>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</si>
  <si>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</si>
  <si>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</si>
  <si>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</si>
  <si>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</si>
  <si>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</si>
  <si>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</si>
  <si>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</si>
  <si>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</si>
  <si>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</si>
  <si>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</si>
  <si>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</si>
  <si>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</si>
  <si>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</si>
  <si>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</si>
  <si>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</si>
  <si>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</si>
  <si>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</si>
  <si>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</si>
  <si>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</si>
  <si>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</si>
  <si>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</si>
  <si>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</si>
  <si>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03828368476</t>
  </si>
  <si>
    <t>REINALDO LUIZ DA SILVA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</si>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</sst>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1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31" fillId="46" borderId="0" applyNumberFormat="0" applyBorder="0" applyAlignment="0" applyProtection="0"/>
    <xf numFmtId="0" fontId="17" fillId="16" borderId="0" applyNumberFormat="0" applyBorder="0" applyAlignment="0" applyProtection="0"/>
    <xf numFmtId="0" fontId="31" fillId="43" borderId="0" applyNumberFormat="0" applyBorder="0" applyAlignment="0" applyProtection="0"/>
    <xf numFmtId="0" fontId="17" fillId="20" borderId="0" applyNumberFormat="0" applyBorder="0" applyAlignment="0" applyProtection="0"/>
    <xf numFmtId="0" fontId="31" fillId="44" borderId="0" applyNumberFormat="0" applyBorder="0" applyAlignment="0" applyProtection="0"/>
    <xf numFmtId="0" fontId="17" fillId="24" borderId="0" applyNumberFormat="0" applyBorder="0" applyAlignment="0" applyProtection="0"/>
    <xf numFmtId="0" fontId="31" fillId="47" borderId="0" applyNumberFormat="0" applyBorder="0" applyAlignment="0" applyProtection="0"/>
    <xf numFmtId="0" fontId="17" fillId="28" borderId="0" applyNumberFormat="0" applyBorder="0" applyAlignment="0" applyProtection="0"/>
    <xf numFmtId="0" fontId="31" fillId="48" borderId="0" applyNumberFormat="0" applyBorder="0" applyAlignment="0" applyProtection="0"/>
    <xf numFmtId="0" fontId="17" fillId="32" borderId="0" applyNumberFormat="0" applyBorder="0" applyAlignment="0" applyProtection="0"/>
    <xf numFmtId="0" fontId="31" fillId="49" borderId="0" applyNumberFormat="0" applyBorder="0" applyAlignment="0" applyProtection="0"/>
    <xf numFmtId="0" fontId="6" fillId="2" borderId="0" applyNumberFormat="0" applyBorder="0" applyAlignment="0" applyProtection="0"/>
    <xf numFmtId="0" fontId="32" fillId="38" borderId="0" applyNumberFormat="0" applyBorder="0" applyAlignment="0" applyProtection="0"/>
    <xf numFmtId="0" fontId="11" fillId="6" borderId="4" applyNumberFormat="0" applyAlignment="0" applyProtection="0"/>
    <xf numFmtId="0" fontId="33" fillId="50" borderId="12" applyNumberFormat="0" applyAlignment="0" applyProtection="0"/>
    <xf numFmtId="0" fontId="13" fillId="7" borderId="7" applyNumberFormat="0" applyAlignment="0" applyProtection="0"/>
    <xf numFmtId="0" fontId="34" fillId="51" borderId="13" applyNumberFormat="0" applyAlignment="0" applyProtection="0"/>
    <xf numFmtId="0" fontId="12" fillId="0" borderId="6" applyNumberFormat="0" applyFill="0" applyAlignment="0" applyProtection="0"/>
    <xf numFmtId="0" fontId="35" fillId="0" borderId="14" applyNumberFormat="0" applyFill="0" applyAlignment="0" applyProtection="0"/>
    <xf numFmtId="0" fontId="17" fillId="9" borderId="0" applyNumberFormat="0" applyBorder="0" applyAlignment="0" applyProtection="0"/>
    <xf numFmtId="0" fontId="31" fillId="52" borderId="0" applyNumberFormat="0" applyBorder="0" applyAlignment="0" applyProtection="0"/>
    <xf numFmtId="0" fontId="17" fillId="13" borderId="0" applyNumberFormat="0" applyBorder="0" applyAlignment="0" applyProtection="0"/>
    <xf numFmtId="0" fontId="31" fillId="53" borderId="0" applyNumberFormat="0" applyBorder="0" applyAlignment="0" applyProtection="0"/>
    <xf numFmtId="0" fontId="17" fillId="17" borderId="0" applyNumberFormat="0" applyBorder="0" applyAlignment="0" applyProtection="0"/>
    <xf numFmtId="0" fontId="31" fillId="54" borderId="0" applyNumberFormat="0" applyBorder="0" applyAlignment="0" applyProtection="0"/>
    <xf numFmtId="0" fontId="17" fillId="21" borderId="0" applyNumberFormat="0" applyBorder="0" applyAlignment="0" applyProtection="0"/>
    <xf numFmtId="0" fontId="31" fillId="47" borderId="0" applyNumberFormat="0" applyBorder="0" applyAlignment="0" applyProtection="0"/>
    <xf numFmtId="0" fontId="17" fillId="25" borderId="0" applyNumberFormat="0" applyBorder="0" applyAlignment="0" applyProtection="0"/>
    <xf numFmtId="0" fontId="31" fillId="48" borderId="0" applyNumberFormat="0" applyBorder="0" applyAlignment="0" applyProtection="0"/>
    <xf numFmtId="0" fontId="17" fillId="29" borderId="0" applyNumberFormat="0" applyBorder="0" applyAlignment="0" applyProtection="0"/>
    <xf numFmtId="0" fontId="31" fillId="55" borderId="0" applyNumberFormat="0" applyBorder="0" applyAlignment="0" applyProtection="0"/>
    <xf numFmtId="0" fontId="9" fillId="5" borderId="4" applyNumberFormat="0" applyAlignment="0" applyProtection="0"/>
    <xf numFmtId="0" fontId="36" fillId="41" borderId="12" applyNumberFormat="0" applyAlignment="0" applyProtection="0"/>
    <xf numFmtId="166" fontId="30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7" fillId="37" borderId="0" applyNumberFormat="0" applyBorder="0" applyAlignment="0" applyProtection="0"/>
    <xf numFmtId="42" fontId="3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8" fillId="4" borderId="0" applyNumberFormat="0" applyBorder="0" applyAlignment="0" applyProtection="0"/>
    <xf numFmtId="0" fontId="40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57" borderId="1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8" fillId="0" borderId="0" applyFont="0" applyFill="0" applyBorder="0" applyAlignment="0" applyProtection="0"/>
    <xf numFmtId="0" fontId="10" fillId="6" borderId="5" applyNumberFormat="0" applyAlignment="0" applyProtection="0"/>
    <xf numFmtId="0" fontId="42" fillId="50" borderId="16" applyNumberFormat="0" applyAlignment="0" applyProtection="0"/>
    <xf numFmtId="41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5" fillId="0" borderId="17" applyNumberFormat="0" applyFill="0" applyAlignment="0" applyProtection="0"/>
    <xf numFmtId="0" fontId="4" fillId="0" borderId="2" applyNumberFormat="0" applyFill="0" applyAlignment="0" applyProtection="0"/>
    <xf numFmtId="0" fontId="46" fillId="0" borderId="18" applyNumberFormat="0" applyFill="0" applyAlignment="0" applyProtection="0"/>
    <xf numFmtId="0" fontId="5" fillId="0" borderId="3" applyNumberFormat="0" applyFill="0" applyAlignment="0" applyProtection="0"/>
    <xf numFmtId="0" fontId="47" fillId="0" borderId="19" applyNumberFormat="0" applyFill="0" applyAlignment="0" applyProtection="0"/>
    <xf numFmtId="0" fontId="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9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49" fontId="21" fillId="0" borderId="10" xfId="1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49" fontId="21" fillId="34" borderId="10" xfId="0" applyNumberFormat="1" applyFont="1" applyFill="1" applyBorder="1" applyAlignment="1" applyProtection="1">
      <alignment horizontal="center"/>
      <protection locked="0"/>
    </xf>
    <xf numFmtId="0" fontId="21" fillId="34" borderId="10" xfId="0" applyFont="1" applyFill="1" applyBorder="1" applyAlignment="1" applyProtection="1">
      <alignment horizontal="center"/>
      <protection locked="0"/>
    </xf>
    <xf numFmtId="0" fontId="22" fillId="34" borderId="10" xfId="4" applyNumberFormat="1" applyFont="1" applyFill="1" applyBorder="1" applyAlignment="1" applyProtection="1">
      <alignment horizontal="center"/>
      <protection locked="0"/>
    </xf>
    <xf numFmtId="49" fontId="23" fillId="34" borderId="10" xfId="2" applyNumberFormat="1" applyFont="1" applyFill="1" applyBorder="1" applyAlignment="1" applyProtection="1">
      <alignment horizontal="center" vertical="center"/>
      <protection locked="0"/>
    </xf>
    <xf numFmtId="1" fontId="24" fillId="34" borderId="11" xfId="2" applyNumberFormat="1" applyFont="1" applyFill="1" applyBorder="1" applyAlignment="1" applyProtection="1">
      <alignment horizontal="center" vertical="center"/>
      <protection locked="0"/>
    </xf>
    <xf numFmtId="1" fontId="24" fillId="34" borderId="10" xfId="2" applyNumberFormat="1" applyFont="1" applyFill="1" applyBorder="1" applyAlignment="1" applyProtection="1">
      <alignment horizontal="center" vertical="center"/>
      <protection locked="0"/>
    </xf>
    <xf numFmtId="2" fontId="23" fillId="34" borderId="10" xfId="3" applyNumberFormat="1" applyFont="1" applyFill="1" applyBorder="1" applyAlignment="1" applyProtection="1">
      <alignment horizontal="right" vertical="center"/>
      <protection locked="0"/>
    </xf>
    <xf numFmtId="2" fontId="23" fillId="34" borderId="10" xfId="3" applyNumberFormat="1" applyFont="1" applyFill="1" applyBorder="1" applyAlignment="1" applyProtection="1">
      <alignment horizontal="right" vertical="center"/>
    </xf>
    <xf numFmtId="0" fontId="25" fillId="34" borderId="10" xfId="4" applyNumberFormat="1" applyFont="1" applyFill="1" applyBorder="1" applyAlignment="1" applyProtection="1">
      <alignment horizontal="center" wrapText="1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34" borderId="10" xfId="2" applyNumberFormat="1" applyFont="1" applyFill="1" applyBorder="1" applyAlignment="1" applyProtection="1">
      <alignment horizontal="center" vertical="center"/>
      <protection locked="0"/>
    </xf>
    <xf numFmtId="0" fontId="22" fillId="34" borderId="10" xfId="4" applyFont="1" applyFill="1" applyBorder="1" applyAlignment="1" applyProtection="1">
      <alignment horizontal="center"/>
      <protection locked="0"/>
    </xf>
    <xf numFmtId="0" fontId="22" fillId="34" borderId="10" xfId="5" applyFont="1" applyFill="1" applyBorder="1" applyAlignment="1" applyProtection="1">
      <alignment horizontal="center"/>
      <protection locked="0"/>
    </xf>
    <xf numFmtId="0" fontId="0" fillId="34" borderId="0" xfId="0" applyFill="1"/>
    <xf numFmtId="49" fontId="21" fillId="0" borderId="10" xfId="1" applyNumberFormat="1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49" fontId="21" fillId="0" borderId="10" xfId="0" applyNumberFormat="1" applyFont="1" applyFill="1" applyBorder="1" applyAlignment="1" applyProtection="1">
      <alignment horizontal="center"/>
      <protection locked="0"/>
    </xf>
    <xf numFmtId="0" fontId="0" fillId="35" borderId="0" xfId="0" applyFill="1"/>
    <xf numFmtId="0" fontId="22" fillId="34" borderId="10" xfId="5" applyNumberFormat="1" applyFont="1" applyFill="1" applyBorder="1" applyAlignment="1" applyProtection="1">
      <alignment horizontal="center"/>
      <protection locked="0"/>
    </xf>
    <xf numFmtId="0" fontId="25" fillId="34" borderId="10" xfId="4" applyFont="1" applyFill="1" applyBorder="1" applyAlignment="1" applyProtection="1">
      <alignment horizontal="center" wrapText="1"/>
      <protection locked="0"/>
    </xf>
    <xf numFmtId="49" fontId="22" fillId="0" borderId="10" xfId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49" fontId="22" fillId="0" borderId="10" xfId="0" applyNumberFormat="1" applyFont="1" applyFill="1" applyBorder="1" applyAlignment="1" applyProtection="1">
      <alignment horizontal="center"/>
      <protection locked="0"/>
    </xf>
    <xf numFmtId="49" fontId="26" fillId="34" borderId="10" xfId="2" applyNumberFormat="1" applyFont="1" applyFill="1" applyBorder="1" applyAlignment="1" applyProtection="1">
      <alignment horizontal="center" vertical="center"/>
      <protection locked="0"/>
    </xf>
    <xf numFmtId="1" fontId="22" fillId="34" borderId="11" xfId="2" applyNumberFormat="1" applyFont="1" applyFill="1" applyBorder="1" applyAlignment="1" applyProtection="1">
      <alignment horizontal="center" vertical="center"/>
      <protection locked="0"/>
    </xf>
    <xf numFmtId="1" fontId="22" fillId="34" borderId="10" xfId="2" applyNumberFormat="1" applyFont="1" applyFill="1" applyBorder="1" applyAlignment="1" applyProtection="1">
      <alignment horizontal="center" vertical="center"/>
      <protection locked="0"/>
    </xf>
    <xf numFmtId="2" fontId="26" fillId="34" borderId="10" xfId="3" applyNumberFormat="1" applyFont="1" applyFill="1" applyBorder="1" applyAlignment="1" applyProtection="1">
      <alignment horizontal="right" vertical="center"/>
      <protection locked="0"/>
    </xf>
    <xf numFmtId="0" fontId="27" fillId="34" borderId="0" xfId="0" applyFont="1" applyFill="1"/>
    <xf numFmtId="0" fontId="14" fillId="34" borderId="0" xfId="0" applyFont="1" applyFill="1"/>
    <xf numFmtId="0" fontId="14" fillId="35" borderId="0" xfId="0" applyFont="1" applyFill="1"/>
    <xf numFmtId="0" fontId="28" fillId="0" borderId="0" xfId="2" applyFont="1" applyBorder="1" applyAlignment="1" applyProtection="1">
      <alignment horizontal="center" vertical="center"/>
      <protection locked="0"/>
    </xf>
    <xf numFmtId="0" fontId="29" fillId="0" borderId="0" xfId="2" applyFont="1" applyBorder="1" applyAlignment="1" applyProtection="1">
      <alignment horizontal="center" vertical="center"/>
      <protection locked="0"/>
    </xf>
    <xf numFmtId="1" fontId="28" fillId="0" borderId="0" xfId="2" applyNumberFormat="1" applyFont="1" applyBorder="1" applyAlignment="1" applyProtection="1">
      <alignment horizontal="center" vertical="center"/>
      <protection locked="0"/>
    </xf>
    <xf numFmtId="165" fontId="28" fillId="0" borderId="0" xfId="3" applyNumberFormat="1" applyFont="1" applyBorder="1" applyAlignment="1" applyProtection="1">
      <alignment horizontal="center" vertical="center"/>
      <protection locked="0"/>
    </xf>
  </cellXfs>
  <cellStyles count="611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4 3" xfId="413"/>
    <cellStyle name="Moeda 5" xfId="414"/>
    <cellStyle name="Neutra 2" xfId="415"/>
    <cellStyle name="Neutra 3" xfId="416"/>
    <cellStyle name="Normal" xfId="0" builtinId="0"/>
    <cellStyle name="Normal 10" xfId="417"/>
    <cellStyle name="Normal 10 2" xfId="5"/>
    <cellStyle name="Normal 10 3" xfId="418"/>
    <cellStyle name="Normal 11" xfId="419"/>
    <cellStyle name="Normal 11 2" xfId="420"/>
    <cellStyle name="Normal 12" xfId="421"/>
    <cellStyle name="Normal 12 2" xfId="422"/>
    <cellStyle name="Normal 13" xfId="423"/>
    <cellStyle name="Normal 13 2" xfId="424"/>
    <cellStyle name="Normal 14" xfId="425"/>
    <cellStyle name="Normal 14 2" xfId="426"/>
    <cellStyle name="Normal 15" xfId="427"/>
    <cellStyle name="Normal 15 2" xfId="428"/>
    <cellStyle name="Normal 16" xfId="429"/>
    <cellStyle name="Normal 16 2" xfId="430"/>
    <cellStyle name="Normal 17" xfId="431"/>
    <cellStyle name="Normal 17 2" xfId="432"/>
    <cellStyle name="Normal 18" xfId="433"/>
    <cellStyle name="Normal 18 2" xfId="434"/>
    <cellStyle name="Normal 19" xfId="435"/>
    <cellStyle name="Normal 19 2" xfId="436"/>
    <cellStyle name="Normal 2" xfId="437"/>
    <cellStyle name="Normal 2 10" xfId="438"/>
    <cellStyle name="Normal 2 11" xfId="439"/>
    <cellStyle name="Normal 2 2" xfId="440"/>
    <cellStyle name="Normal 2 2 2" xfId="441"/>
    <cellStyle name="Normal 2 3" xfId="442"/>
    <cellStyle name="Normal 2 3 2" xfId="443"/>
    <cellStyle name="Normal 2 4" xfId="444"/>
    <cellStyle name="Normal 2 4 2" xfId="445"/>
    <cellStyle name="Normal 2 5" xfId="446"/>
    <cellStyle name="Normal 2 5 2" xfId="447"/>
    <cellStyle name="Normal 2 6" xfId="448"/>
    <cellStyle name="Normal 2 6 2" xfId="449"/>
    <cellStyle name="Normal 2 7" xfId="450"/>
    <cellStyle name="Normal 2 7 2" xfId="451"/>
    <cellStyle name="Normal 2 8" xfId="452"/>
    <cellStyle name="Normal 2 8 2" xfId="453"/>
    <cellStyle name="Normal 2 9" xfId="454"/>
    <cellStyle name="Normal 2 9 2" xfId="455"/>
    <cellStyle name="Normal 2 9 3" xfId="456"/>
    <cellStyle name="Normal 2 9 4" xfId="457"/>
    <cellStyle name="Normal 2 9 5" xfId="458"/>
    <cellStyle name="Normal 2 9 6" xfId="459"/>
    <cellStyle name="Normal 2 9 7" xfId="460"/>
    <cellStyle name="Normal 2 9 8" xfId="461"/>
    <cellStyle name="Normal 2 9 9" xfId="462"/>
    <cellStyle name="Normal 20" xfId="463"/>
    <cellStyle name="Normal 21" xfId="464"/>
    <cellStyle name="Normal 22" xfId="465"/>
    <cellStyle name="Normal 23" xfId="466"/>
    <cellStyle name="Normal 24" xfId="467"/>
    <cellStyle name="Normal 25" xfId="468"/>
    <cellStyle name="Normal 26" xfId="469"/>
    <cellStyle name="Normal 27" xfId="470"/>
    <cellStyle name="Normal 28" xfId="471"/>
    <cellStyle name="Normal 29" xfId="472"/>
    <cellStyle name="Normal 3" xfId="473"/>
    <cellStyle name="Normal 30" xfId="474"/>
    <cellStyle name="Normal 31" xfId="475"/>
    <cellStyle name="Normal 32" xfId="476"/>
    <cellStyle name="Normal 33" xfId="477"/>
    <cellStyle name="Normal 34" xfId="478"/>
    <cellStyle name="Normal 35" xfId="479"/>
    <cellStyle name="Normal 35 2" xfId="480"/>
    <cellStyle name="Normal 36" xfId="481"/>
    <cellStyle name="Normal 37" xfId="482"/>
    <cellStyle name="Normal 38" xfId="483"/>
    <cellStyle name="Normal 39" xfId="484"/>
    <cellStyle name="Normal 4" xfId="485"/>
    <cellStyle name="Normal 4 2" xfId="486"/>
    <cellStyle name="Normal 4 3" xfId="487"/>
    <cellStyle name="Normal 40" xfId="488"/>
    <cellStyle name="Normal 41" xfId="489"/>
    <cellStyle name="Normal 42" xfId="4"/>
    <cellStyle name="Normal 43" xfId="490"/>
    <cellStyle name="Normal 44" xfId="491"/>
    <cellStyle name="Normal 5" xfId="492"/>
    <cellStyle name="Normal 5 2" xfId="493"/>
    <cellStyle name="Normal 5 2 2" xfId="494"/>
    <cellStyle name="Normal 5 3" xfId="495"/>
    <cellStyle name="Normal 6" xfId="496"/>
    <cellStyle name="Normal 6 2" xfId="497"/>
    <cellStyle name="Normal 7" xfId="498"/>
    <cellStyle name="Normal 7 2" xfId="499"/>
    <cellStyle name="Normal 8" xfId="500"/>
    <cellStyle name="Normal 8 2" xfId="501"/>
    <cellStyle name="Normal 9" xfId="502"/>
    <cellStyle name="Normal 9 2" xfId="503"/>
    <cellStyle name="Normal 9 2 2" xfId="504"/>
    <cellStyle name="Normal 9 3" xfId="505"/>
    <cellStyle name="Nota 10" xfId="506"/>
    <cellStyle name="Nota 10 2" xfId="507"/>
    <cellStyle name="Nota 11" xfId="508"/>
    <cellStyle name="Nota 11 2" xfId="509"/>
    <cellStyle name="Nota 12" xfId="510"/>
    <cellStyle name="Nota 13" xfId="511"/>
    <cellStyle name="Nota 14" xfId="512"/>
    <cellStyle name="Nota 15" xfId="513"/>
    <cellStyle name="Nota 16" xfId="514"/>
    <cellStyle name="Nota 17" xfId="515"/>
    <cellStyle name="Nota 18" xfId="516"/>
    <cellStyle name="Nota 19" xfId="517"/>
    <cellStyle name="Nota 2" xfId="518"/>
    <cellStyle name="Nota 2 2" xfId="519"/>
    <cellStyle name="Nota 2 2 2" xfId="520"/>
    <cellStyle name="Nota 2 3" xfId="521"/>
    <cellStyle name="Nota 20" xfId="522"/>
    <cellStyle name="Nota 21" xfId="523"/>
    <cellStyle name="Nota 22" xfId="524"/>
    <cellStyle name="Nota 23" xfId="525"/>
    <cellStyle name="Nota 3" xfId="526"/>
    <cellStyle name="Nota 3 2" xfId="527"/>
    <cellStyle name="Nota 4" xfId="528"/>
    <cellStyle name="Nota 4 2" xfId="529"/>
    <cellStyle name="Nota 5" xfId="530"/>
    <cellStyle name="Nota 5 2" xfId="531"/>
    <cellStyle name="Nota 6" xfId="532"/>
    <cellStyle name="Nota 6 2" xfId="533"/>
    <cellStyle name="Nota 7" xfId="534"/>
    <cellStyle name="Nota 7 2" xfId="535"/>
    <cellStyle name="Nota 8" xfId="536"/>
    <cellStyle name="Nota 8 2" xfId="537"/>
    <cellStyle name="Nota 9" xfId="538"/>
    <cellStyle name="Nota 9 2" xfId="539"/>
    <cellStyle name="Porcentagem 2" xfId="540"/>
    <cellStyle name="Saída 2" xfId="541"/>
    <cellStyle name="Saída 3" xfId="542"/>
    <cellStyle name="Separador de milhares [0] 2" xfId="543"/>
    <cellStyle name="Separador de milhares 2" xfId="544"/>
    <cellStyle name="Separador de milhares 2 2" xfId="545"/>
    <cellStyle name="Separador de milhares 2 2 2" xfId="546"/>
    <cellStyle name="Separador de milhares 2 3" xfId="547"/>
    <cellStyle name="Separador de milhares 2 3 2" xfId="548"/>
    <cellStyle name="Separador de milhares 2 3 3" xfId="549"/>
    <cellStyle name="Separador de milhares 2 4" xfId="550"/>
    <cellStyle name="Separador de milhares 2 5" xfId="551"/>
    <cellStyle name="Separador de milhares 3" xfId="552"/>
    <cellStyle name="Separador de milhares 3 10" xfId="553"/>
    <cellStyle name="Separador de milhares 3 10 2" xfId="554"/>
    <cellStyle name="Separador de milhares 3 2" xfId="555"/>
    <cellStyle name="Separador de milhares 3 2 2" xfId="556"/>
    <cellStyle name="Separador de milhares 3 2 3" xfId="557"/>
    <cellStyle name="Separador de milhares 3 3" xfId="558"/>
    <cellStyle name="Separador de milhares 4" xfId="559"/>
    <cellStyle name="Separador de milhares 4 2" xfId="560"/>
    <cellStyle name="Separador de milhares 4 2 2" xfId="561"/>
    <cellStyle name="Separador de milhares 4 3" xfId="562"/>
    <cellStyle name="TableStyleLight1" xfId="2"/>
    <cellStyle name="Texto de Aviso 2" xfId="563"/>
    <cellStyle name="Texto de Aviso 3" xfId="564"/>
    <cellStyle name="Texto Explicativo 2" xfId="565"/>
    <cellStyle name="Texto Explicativo 3" xfId="566"/>
    <cellStyle name="Título 1 2" xfId="567"/>
    <cellStyle name="Título 1 3" xfId="568"/>
    <cellStyle name="Título 2 2" xfId="569"/>
    <cellStyle name="Título 2 3" xfId="570"/>
    <cellStyle name="Título 3 2" xfId="571"/>
    <cellStyle name="Título 3 3" xfId="572"/>
    <cellStyle name="Título 4 2" xfId="573"/>
    <cellStyle name="Título 4 3" xfId="574"/>
    <cellStyle name="Título 5" xfId="575"/>
    <cellStyle name="Título 6" xfId="576"/>
    <cellStyle name="Título 7" xfId="577"/>
    <cellStyle name="Total 2" xfId="578"/>
    <cellStyle name="Total 3" xfId="579"/>
    <cellStyle name="Vírgula" xfId="1" builtinId="3"/>
    <cellStyle name="Vírgula 10" xfId="580"/>
    <cellStyle name="Vírgula 11" xfId="581"/>
    <cellStyle name="Vírgula 12" xfId="582"/>
    <cellStyle name="Vírgula 13" xfId="583"/>
    <cellStyle name="Vírgula 14" xfId="584"/>
    <cellStyle name="Vírgula 15" xfId="585"/>
    <cellStyle name="Vírgula 16" xfId="586"/>
    <cellStyle name="Vírgula 16 2" xfId="587"/>
    <cellStyle name="Vírgula 16 3" xfId="588"/>
    <cellStyle name="Vírgula 16 4" xfId="589"/>
    <cellStyle name="Vírgula 17" xfId="590"/>
    <cellStyle name="Vírgula 18" xfId="591"/>
    <cellStyle name="Vírgula 19" xfId="592"/>
    <cellStyle name="Vírgula 2" xfId="593"/>
    <cellStyle name="Vírgula 2 2" xfId="594"/>
    <cellStyle name="Vírgula 20" xfId="595"/>
    <cellStyle name="Vírgula 21" xfId="596"/>
    <cellStyle name="Vírgula 21 2" xfId="597"/>
    <cellStyle name="Vírgula 3" xfId="598"/>
    <cellStyle name="Vírgula 3 2" xfId="599"/>
    <cellStyle name="Vírgula 4" xfId="600"/>
    <cellStyle name="Vírgula 4 2" xfId="3"/>
    <cellStyle name="Vírgula 4 3" xfId="601"/>
    <cellStyle name="Vírgula 5" xfId="602"/>
    <cellStyle name="Vírgula 5 2" xfId="603"/>
    <cellStyle name="Vírgula 6" xfId="604"/>
    <cellStyle name="Vírgula 6 2" xfId="605"/>
    <cellStyle name="Vírgula 7" xfId="606"/>
    <cellStyle name="Vírgula 7 2" xfId="607"/>
    <cellStyle name="Vírgula 8" xfId="608"/>
    <cellStyle name="Vírgula 8 2" xfId="609"/>
    <cellStyle name="Vírgula 9" xfId="6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Planilha%20Cont&#225;bil%20Financeira_PCF%20-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X285"/>
  <sheetViews>
    <sheetView tabSelected="1" topLeftCell="D1" zoomScaleNormal="100" workbookViewId="0">
      <selection activeCell="O21" sqref="O21"/>
    </sheetView>
  </sheetViews>
  <sheetFormatPr defaultRowHeight="15.75" x14ac:dyDescent="0.25"/>
  <cols>
    <col min="1" max="1" width="27.5703125" style="37" customWidth="1"/>
    <col min="2" max="2" width="51.140625" style="37" customWidth="1"/>
    <col min="3" max="3" width="19.5703125" style="37" customWidth="1"/>
    <col min="4" max="4" width="44.140625" style="37" bestFit="1" customWidth="1"/>
    <col min="5" max="5" width="19.140625" style="38" customWidth="1"/>
    <col min="6" max="6" width="13.28515625" style="38" customWidth="1"/>
    <col min="7" max="7" width="13.85546875" style="38" customWidth="1"/>
    <col min="8" max="8" width="20.7109375" style="39" customWidth="1"/>
    <col min="9" max="9" width="20.85546875" style="39" customWidth="1"/>
    <col min="10" max="10" width="14" style="40" bestFit="1" customWidth="1"/>
    <col min="11" max="11" width="12.7109375" style="40" customWidth="1"/>
    <col min="12" max="12" width="11.5703125" style="40" bestFit="1" customWidth="1"/>
    <col min="13" max="13" width="11" style="40" bestFit="1" customWidth="1"/>
    <col min="14" max="14" width="13.7109375" style="40" bestFit="1" customWidth="1"/>
    <col min="15" max="15" width="11" style="40" bestFit="1" customWidth="1"/>
    <col min="16" max="16" width="15.7109375" style="40" bestFit="1" customWidth="1"/>
  </cols>
  <sheetData>
    <row r="1" spans="1:16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x14ac:dyDescent="0.25">
      <c r="A2" s="5" t="s">
        <v>16</v>
      </c>
      <c r="B2" s="6" t="s">
        <v>17</v>
      </c>
      <c r="C2" s="7">
        <v>66832667434</v>
      </c>
      <c r="D2" s="8" t="s">
        <v>18</v>
      </c>
      <c r="E2" s="8">
        <v>2</v>
      </c>
      <c r="F2" s="9" t="s">
        <v>19</v>
      </c>
      <c r="G2" s="10" t="s">
        <v>20</v>
      </c>
      <c r="H2" s="11">
        <v>1</v>
      </c>
      <c r="I2" s="12">
        <v>44</v>
      </c>
      <c r="J2" s="13">
        <v>1212.4000000000001</v>
      </c>
      <c r="K2" s="13">
        <v>0</v>
      </c>
      <c r="L2" s="13">
        <v>0</v>
      </c>
      <c r="M2" s="13">
        <v>209</v>
      </c>
      <c r="N2" s="13">
        <v>0</v>
      </c>
      <c r="O2" s="13">
        <f>112.24+72.74+24.25</f>
        <v>209.23</v>
      </c>
      <c r="P2" s="14">
        <f t="shared" ref="P2:P33" si="0">SUM(J2:N2)-O2</f>
        <v>1212.17</v>
      </c>
    </row>
    <row r="3" spans="1:16" x14ac:dyDescent="0.25">
      <c r="A3" s="5" t="s">
        <v>16</v>
      </c>
      <c r="B3" s="6" t="s">
        <v>17</v>
      </c>
      <c r="C3" s="7" t="s">
        <v>21</v>
      </c>
      <c r="D3" s="8" t="s">
        <v>22</v>
      </c>
      <c r="E3" s="8">
        <v>3</v>
      </c>
      <c r="F3" s="9" t="s">
        <v>23</v>
      </c>
      <c r="G3" s="10" t="s">
        <v>20</v>
      </c>
      <c r="H3" s="11">
        <v>1</v>
      </c>
      <c r="I3" s="12">
        <v>44</v>
      </c>
      <c r="J3" s="13">
        <v>418</v>
      </c>
      <c r="K3" s="13">
        <v>0</v>
      </c>
      <c r="L3" s="13">
        <v>0</v>
      </c>
      <c r="M3" s="13">
        <f>83.6+2.53+13.93+1206.83</f>
        <v>1306.8899999999999</v>
      </c>
      <c r="N3" s="13">
        <v>0</v>
      </c>
      <c r="O3" s="13">
        <f>20.9+1206.83+46.63+92.93+62.7</f>
        <v>1429.9900000000002</v>
      </c>
      <c r="P3" s="14">
        <f t="shared" si="0"/>
        <v>294.89999999999964</v>
      </c>
    </row>
    <row r="4" spans="1:16" x14ac:dyDescent="0.25">
      <c r="A4" s="5" t="s">
        <v>16</v>
      </c>
      <c r="B4" s="6" t="s">
        <v>17</v>
      </c>
      <c r="C4" s="7">
        <v>13595668480</v>
      </c>
      <c r="D4" s="8" t="s">
        <v>24</v>
      </c>
      <c r="E4" s="8">
        <v>3</v>
      </c>
      <c r="F4" s="15" t="s">
        <v>25</v>
      </c>
      <c r="G4" s="10" t="s">
        <v>20</v>
      </c>
      <c r="H4" s="11">
        <v>1</v>
      </c>
      <c r="I4" s="12">
        <v>44</v>
      </c>
      <c r="J4" s="13">
        <v>633.55999999999995</v>
      </c>
      <c r="K4" s="13">
        <v>0</v>
      </c>
      <c r="L4" s="13">
        <v>0</v>
      </c>
      <c r="M4" s="13">
        <f>422.37+125.4</f>
        <v>547.77</v>
      </c>
      <c r="N4" s="13">
        <v>0</v>
      </c>
      <c r="O4" s="13">
        <f>21.12+90.63+63.36</f>
        <v>175.11</v>
      </c>
      <c r="P4" s="14">
        <f t="shared" si="0"/>
        <v>1006.2199999999999</v>
      </c>
    </row>
    <row r="5" spans="1:16" x14ac:dyDescent="0.25">
      <c r="A5" s="5" t="s">
        <v>16</v>
      </c>
      <c r="B5" s="6" t="s">
        <v>17</v>
      </c>
      <c r="C5" s="7" t="s">
        <v>26</v>
      </c>
      <c r="D5" s="8" t="s">
        <v>27</v>
      </c>
      <c r="E5" s="8">
        <v>3</v>
      </c>
      <c r="F5" s="9" t="s">
        <v>28</v>
      </c>
      <c r="G5" s="10" t="s">
        <v>20</v>
      </c>
      <c r="H5" s="11">
        <v>2</v>
      </c>
      <c r="I5" s="12">
        <v>44</v>
      </c>
      <c r="J5" s="13">
        <v>3387.62</v>
      </c>
      <c r="K5" s="13">
        <v>0</v>
      </c>
      <c r="L5" s="13">
        <v>0</v>
      </c>
      <c r="M5" s="13">
        <v>209</v>
      </c>
      <c r="N5" s="13">
        <v>0</v>
      </c>
      <c r="O5" s="13">
        <f>67.75+362.46+130.32</f>
        <v>560.53</v>
      </c>
      <c r="P5" s="14">
        <f t="shared" si="0"/>
        <v>3036.09</v>
      </c>
    </row>
    <row r="6" spans="1:16" x14ac:dyDescent="0.25">
      <c r="A6" s="5" t="s">
        <v>16</v>
      </c>
      <c r="B6" s="6" t="s">
        <v>17</v>
      </c>
      <c r="C6" s="7">
        <v>10004995457</v>
      </c>
      <c r="D6" s="8" t="s">
        <v>29</v>
      </c>
      <c r="E6" s="8">
        <v>2</v>
      </c>
      <c r="F6" s="9" t="s">
        <v>30</v>
      </c>
      <c r="G6" s="10" t="s">
        <v>20</v>
      </c>
      <c r="H6" s="11">
        <v>2</v>
      </c>
      <c r="I6" s="12">
        <v>44</v>
      </c>
      <c r="J6" s="13">
        <v>1063.06</v>
      </c>
      <c r="K6" s="13">
        <v>0</v>
      </c>
      <c r="L6" s="13">
        <v>0</v>
      </c>
      <c r="M6" s="13">
        <f>708.7+125.4+32.57+173.69+564.65</f>
        <v>1605.0100000000002</v>
      </c>
      <c r="N6" s="13">
        <v>0</v>
      </c>
      <c r="O6" s="13">
        <f>2.43+174.03</f>
        <v>176.46</v>
      </c>
      <c r="P6" s="14">
        <f t="shared" si="0"/>
        <v>2491.61</v>
      </c>
    </row>
    <row r="7" spans="1:16" x14ac:dyDescent="0.25">
      <c r="A7" s="5" t="s">
        <v>16</v>
      </c>
      <c r="B7" s="6" t="s">
        <v>17</v>
      </c>
      <c r="C7" s="7" t="s">
        <v>31</v>
      </c>
      <c r="D7" s="8" t="s">
        <v>32</v>
      </c>
      <c r="E7" s="8">
        <v>2</v>
      </c>
      <c r="F7" s="9" t="s">
        <v>19</v>
      </c>
      <c r="G7" s="10" t="s">
        <v>20</v>
      </c>
      <c r="H7" s="11">
        <v>1</v>
      </c>
      <c r="I7" s="12">
        <v>44</v>
      </c>
      <c r="J7" s="13">
        <v>484.96</v>
      </c>
      <c r="K7" s="13">
        <v>0</v>
      </c>
      <c r="L7" s="13">
        <v>0</v>
      </c>
      <c r="M7" s="13">
        <f>83.6+2.87+15.79+1331.27</f>
        <v>1433.53</v>
      </c>
      <c r="N7" s="13">
        <v>0</v>
      </c>
      <c r="O7" s="13">
        <f>1331.27+24.25+52.85+104.13</f>
        <v>1512.5</v>
      </c>
      <c r="P7" s="14">
        <f t="shared" si="0"/>
        <v>405.99</v>
      </c>
    </row>
    <row r="8" spans="1:16" x14ac:dyDescent="0.25">
      <c r="A8" s="5" t="s">
        <v>16</v>
      </c>
      <c r="B8" s="6" t="s">
        <v>17</v>
      </c>
      <c r="C8" s="7" t="s">
        <v>33</v>
      </c>
      <c r="D8" s="8" t="s">
        <v>34</v>
      </c>
      <c r="E8" s="8">
        <v>2</v>
      </c>
      <c r="F8" s="9" t="s">
        <v>35</v>
      </c>
      <c r="G8" s="10" t="s">
        <v>20</v>
      </c>
      <c r="H8" s="11">
        <v>1</v>
      </c>
      <c r="I8" s="12">
        <v>44</v>
      </c>
      <c r="J8" s="13">
        <v>812.19</v>
      </c>
      <c r="K8" s="13">
        <v>0</v>
      </c>
      <c r="L8" s="13">
        <v>0</v>
      </c>
      <c r="M8" s="13">
        <f>324.88+2536.97</f>
        <v>2861.85</v>
      </c>
      <c r="N8" s="13">
        <v>0</v>
      </c>
      <c r="O8" s="13">
        <f>2536.97+147.23+226.06</f>
        <v>2910.2599999999998</v>
      </c>
      <c r="P8" s="14">
        <f t="shared" si="0"/>
        <v>763.7800000000002</v>
      </c>
    </row>
    <row r="9" spans="1:16" x14ac:dyDescent="0.25">
      <c r="A9" s="5" t="s">
        <v>16</v>
      </c>
      <c r="B9" s="6" t="s">
        <v>17</v>
      </c>
      <c r="C9" s="7" t="s">
        <v>36</v>
      </c>
      <c r="D9" s="8" t="s">
        <v>37</v>
      </c>
      <c r="E9" s="8">
        <v>2</v>
      </c>
      <c r="F9" s="9" t="s">
        <v>19</v>
      </c>
      <c r="G9" s="10" t="s">
        <v>20</v>
      </c>
      <c r="H9" s="11">
        <v>1</v>
      </c>
      <c r="I9" s="12">
        <v>44</v>
      </c>
      <c r="J9" s="13">
        <v>1212.4000000000001</v>
      </c>
      <c r="K9" s="13">
        <v>0</v>
      </c>
      <c r="L9" s="13">
        <v>0</v>
      </c>
      <c r="M9" s="13">
        <v>209</v>
      </c>
      <c r="N9" s="13">
        <v>0</v>
      </c>
      <c r="O9" s="13">
        <f>24.25+112.24+72.74</f>
        <v>209.23000000000002</v>
      </c>
      <c r="P9" s="14">
        <f t="shared" si="0"/>
        <v>1212.17</v>
      </c>
    </row>
    <row r="10" spans="1:16" x14ac:dyDescent="0.25">
      <c r="A10" s="5" t="s">
        <v>16</v>
      </c>
      <c r="B10" s="6" t="s">
        <v>17</v>
      </c>
      <c r="C10" s="7" t="s">
        <v>38</v>
      </c>
      <c r="D10" s="8" t="s">
        <v>39</v>
      </c>
      <c r="E10" s="8">
        <v>3</v>
      </c>
      <c r="F10" s="15" t="s">
        <v>25</v>
      </c>
      <c r="G10" s="10" t="s">
        <v>20</v>
      </c>
      <c r="H10" s="11">
        <v>1</v>
      </c>
      <c r="I10" s="12">
        <v>44</v>
      </c>
      <c r="J10" s="13">
        <v>1055.93</v>
      </c>
      <c r="K10" s="13">
        <v>0</v>
      </c>
      <c r="L10" s="13">
        <v>0</v>
      </c>
      <c r="M10" s="13">
        <f>209</f>
        <v>209</v>
      </c>
      <c r="N10" s="13">
        <v>0</v>
      </c>
      <c r="O10" s="13">
        <f>21.12+98.16</f>
        <v>119.28</v>
      </c>
      <c r="P10" s="14">
        <f t="shared" si="0"/>
        <v>1145.6500000000001</v>
      </c>
    </row>
    <row r="11" spans="1:16" x14ac:dyDescent="0.25">
      <c r="A11" s="5" t="s">
        <v>16</v>
      </c>
      <c r="B11" s="6" t="s">
        <v>17</v>
      </c>
      <c r="C11" s="7">
        <v>88999882420</v>
      </c>
      <c r="D11" s="8" t="s">
        <v>40</v>
      </c>
      <c r="E11" s="8">
        <v>3</v>
      </c>
      <c r="F11" s="15" t="s">
        <v>25</v>
      </c>
      <c r="G11" s="10" t="s">
        <v>20</v>
      </c>
      <c r="H11" s="11">
        <v>1</v>
      </c>
      <c r="I11" s="12">
        <v>44</v>
      </c>
      <c r="J11" s="13">
        <v>1055.93</v>
      </c>
      <c r="K11" s="13">
        <v>0</v>
      </c>
      <c r="L11" s="13">
        <v>0</v>
      </c>
      <c r="M11" s="13">
        <f>209+37.84+196.77</f>
        <v>443.61</v>
      </c>
      <c r="N11" s="13">
        <v>0</v>
      </c>
      <c r="O11" s="13">
        <f>21.12+119.27+63.36</f>
        <v>203.75</v>
      </c>
      <c r="P11" s="14">
        <f t="shared" si="0"/>
        <v>1295.79</v>
      </c>
    </row>
    <row r="12" spans="1:16" x14ac:dyDescent="0.25">
      <c r="A12" s="5" t="s">
        <v>16</v>
      </c>
      <c r="B12" s="6" t="s">
        <v>17</v>
      </c>
      <c r="C12" s="7" t="s">
        <v>41</v>
      </c>
      <c r="D12" s="8" t="s">
        <v>42</v>
      </c>
      <c r="E12" s="8">
        <v>2</v>
      </c>
      <c r="F12" s="9" t="s">
        <v>19</v>
      </c>
      <c r="G12" s="10" t="s">
        <v>20</v>
      </c>
      <c r="H12" s="11">
        <v>1</v>
      </c>
      <c r="I12" s="12">
        <v>44</v>
      </c>
      <c r="J12" s="13">
        <v>1212.4000000000001</v>
      </c>
      <c r="K12" s="13">
        <v>0</v>
      </c>
      <c r="L12" s="13">
        <v>0</v>
      </c>
      <c r="M12" s="13">
        <f>209</f>
        <v>209</v>
      </c>
      <c r="N12" s="13">
        <v>0</v>
      </c>
      <c r="O12" s="13">
        <f>24.25+112.24+72.74</f>
        <v>209.23000000000002</v>
      </c>
      <c r="P12" s="14">
        <f t="shared" si="0"/>
        <v>1212.17</v>
      </c>
    </row>
    <row r="13" spans="1:16" x14ac:dyDescent="0.25">
      <c r="A13" s="5" t="s">
        <v>16</v>
      </c>
      <c r="B13" s="6" t="s">
        <v>17</v>
      </c>
      <c r="C13" s="7" t="s">
        <v>43</v>
      </c>
      <c r="D13" s="16" t="s">
        <v>44</v>
      </c>
      <c r="E13" s="8">
        <v>2</v>
      </c>
      <c r="F13" s="9" t="s">
        <v>19</v>
      </c>
      <c r="G13" s="10" t="s">
        <v>20</v>
      </c>
      <c r="H13" s="11">
        <v>1</v>
      </c>
      <c r="I13" s="12">
        <v>44</v>
      </c>
      <c r="J13" s="13">
        <v>1131.57</v>
      </c>
      <c r="K13" s="13">
        <v>0</v>
      </c>
      <c r="L13" s="13">
        <v>0</v>
      </c>
      <c r="M13" s="13">
        <f>80.83+195.07+19.76+123.52</f>
        <v>419.17999999999995</v>
      </c>
      <c r="N13" s="13">
        <v>0</v>
      </c>
      <c r="O13" s="13">
        <f>24.25+86.86+116.07+72.74</f>
        <v>299.92</v>
      </c>
      <c r="P13" s="14">
        <f t="shared" si="0"/>
        <v>1250.83</v>
      </c>
    </row>
    <row r="14" spans="1:16" x14ac:dyDescent="0.25">
      <c r="A14" s="5" t="s">
        <v>16</v>
      </c>
      <c r="B14" s="6" t="s">
        <v>17</v>
      </c>
      <c r="C14" s="7" t="s">
        <v>45</v>
      </c>
      <c r="D14" s="8" t="s">
        <v>46</v>
      </c>
      <c r="E14" s="8">
        <v>2</v>
      </c>
      <c r="F14" s="9" t="s">
        <v>19</v>
      </c>
      <c r="G14" s="10" t="s">
        <v>20</v>
      </c>
      <c r="H14" s="11">
        <v>1</v>
      </c>
      <c r="I14" s="12">
        <v>44</v>
      </c>
      <c r="J14" s="13">
        <v>1212.4000000000001</v>
      </c>
      <c r="K14" s="13">
        <v>0</v>
      </c>
      <c r="L14" s="13">
        <v>0</v>
      </c>
      <c r="M14" s="13">
        <f>48.62+209</f>
        <v>257.62</v>
      </c>
      <c r="N14" s="13">
        <v>0</v>
      </c>
      <c r="O14" s="13">
        <f>24.25+112.24+72.74</f>
        <v>209.23000000000002</v>
      </c>
      <c r="P14" s="14">
        <f t="shared" si="0"/>
        <v>1260.79</v>
      </c>
    </row>
    <row r="15" spans="1:16" x14ac:dyDescent="0.25">
      <c r="A15" s="5" t="s">
        <v>16</v>
      </c>
      <c r="B15" s="6" t="s">
        <v>17</v>
      </c>
      <c r="C15" s="7" t="s">
        <v>47</v>
      </c>
      <c r="D15" s="8" t="s">
        <v>48</v>
      </c>
      <c r="E15" s="8">
        <v>2</v>
      </c>
      <c r="F15" s="9" t="s">
        <v>35</v>
      </c>
      <c r="G15" s="10" t="s">
        <v>20</v>
      </c>
      <c r="H15" s="11">
        <v>1</v>
      </c>
      <c r="I15" s="12">
        <v>44</v>
      </c>
      <c r="J15" s="13">
        <v>2030.47</v>
      </c>
      <c r="K15" s="13">
        <v>0</v>
      </c>
      <c r="L15" s="13">
        <v>0</v>
      </c>
      <c r="M15" s="13">
        <f>54.67+284.27+812.19</f>
        <v>1151.1300000000001</v>
      </c>
      <c r="N15" s="13">
        <v>0</v>
      </c>
      <c r="O15" s="13">
        <f>304.35+76.79</f>
        <v>381.14000000000004</v>
      </c>
      <c r="P15" s="14">
        <f t="shared" si="0"/>
        <v>2800.4600000000005</v>
      </c>
    </row>
    <row r="16" spans="1:16" x14ac:dyDescent="0.25">
      <c r="A16" s="5" t="s">
        <v>16</v>
      </c>
      <c r="B16" s="6" t="s">
        <v>17</v>
      </c>
      <c r="C16" s="7" t="s">
        <v>49</v>
      </c>
      <c r="D16" s="8" t="s">
        <v>50</v>
      </c>
      <c r="E16" s="8">
        <v>2</v>
      </c>
      <c r="F16" s="9" t="s">
        <v>30</v>
      </c>
      <c r="G16" s="10" t="s">
        <v>20</v>
      </c>
      <c r="H16" s="11">
        <v>1</v>
      </c>
      <c r="I16" s="12">
        <v>44</v>
      </c>
      <c r="J16" s="13">
        <v>1908.07</v>
      </c>
      <c r="K16" s="13">
        <v>0</v>
      </c>
      <c r="L16" s="13">
        <v>0</v>
      </c>
      <c r="M16" s="13">
        <f>209+73.28+381.07+921.82+104.94</f>
        <v>1690.1100000000001</v>
      </c>
      <c r="N16" s="13">
        <v>0</v>
      </c>
      <c r="O16" s="13">
        <f>2.43+242.79+11.28</f>
        <v>256.5</v>
      </c>
      <c r="P16" s="14">
        <f t="shared" si="0"/>
        <v>3341.6800000000003</v>
      </c>
    </row>
    <row r="17" spans="1:16" x14ac:dyDescent="0.25">
      <c r="A17" s="5" t="s">
        <v>16</v>
      </c>
      <c r="B17" s="6" t="s">
        <v>17</v>
      </c>
      <c r="C17" s="7" t="s">
        <v>51</v>
      </c>
      <c r="D17" s="8" t="s">
        <v>52</v>
      </c>
      <c r="E17" s="8">
        <v>2</v>
      </c>
      <c r="F17" s="17" t="s">
        <v>53</v>
      </c>
      <c r="G17" s="10" t="s">
        <v>20</v>
      </c>
      <c r="H17" s="11">
        <v>1</v>
      </c>
      <c r="I17" s="12">
        <v>44</v>
      </c>
      <c r="J17" s="13">
        <v>1500</v>
      </c>
      <c r="K17" s="13">
        <v>0</v>
      </c>
      <c r="L17" s="13">
        <v>0</v>
      </c>
      <c r="M17" s="13">
        <v>209</v>
      </c>
      <c r="N17" s="13">
        <v>0</v>
      </c>
      <c r="O17" s="13">
        <v>138.13</v>
      </c>
      <c r="P17" s="14">
        <f t="shared" si="0"/>
        <v>1570.87</v>
      </c>
    </row>
    <row r="18" spans="1:16" x14ac:dyDescent="0.25">
      <c r="A18" s="5" t="s">
        <v>16</v>
      </c>
      <c r="B18" s="6" t="s">
        <v>17</v>
      </c>
      <c r="C18" s="7">
        <v>10283186429</v>
      </c>
      <c r="D18" s="8" t="s">
        <v>54</v>
      </c>
      <c r="E18" s="8">
        <v>2</v>
      </c>
      <c r="F18" s="15" t="s">
        <v>55</v>
      </c>
      <c r="G18" s="10" t="s">
        <v>20</v>
      </c>
      <c r="H18" s="11">
        <v>1</v>
      </c>
      <c r="I18" s="12">
        <v>44</v>
      </c>
      <c r="J18" s="13">
        <v>1208.82</v>
      </c>
      <c r="K18" s="13">
        <v>0</v>
      </c>
      <c r="L18" s="13">
        <v>0</v>
      </c>
      <c r="M18" s="13">
        <f>209+6.06+31.51</f>
        <v>246.57</v>
      </c>
      <c r="N18" s="13">
        <v>0</v>
      </c>
      <c r="O18" s="13">
        <f>24.18+115.3+72.53</f>
        <v>212.01</v>
      </c>
      <c r="P18" s="14">
        <f t="shared" si="0"/>
        <v>1243.3799999999999</v>
      </c>
    </row>
    <row r="19" spans="1:16" x14ac:dyDescent="0.25">
      <c r="A19" s="5" t="s">
        <v>16</v>
      </c>
      <c r="B19" s="6" t="s">
        <v>17</v>
      </c>
      <c r="C19" s="7" t="s">
        <v>56</v>
      </c>
      <c r="D19" s="16" t="s">
        <v>57</v>
      </c>
      <c r="E19" s="8">
        <v>2</v>
      </c>
      <c r="F19" s="15" t="s">
        <v>55</v>
      </c>
      <c r="G19" s="10" t="s">
        <v>20</v>
      </c>
      <c r="H19" s="11">
        <v>1</v>
      </c>
      <c r="I19" s="12">
        <v>44</v>
      </c>
      <c r="J19" s="13">
        <v>926.76</v>
      </c>
      <c r="K19" s="13">
        <v>0</v>
      </c>
      <c r="L19" s="13">
        <v>0</v>
      </c>
      <c r="M19" s="13">
        <f>282.06+160.23+3.15+15.75</f>
        <v>461.18999999999994</v>
      </c>
      <c r="N19" s="13">
        <v>0</v>
      </c>
      <c r="O19" s="13">
        <f>24.18+109.23+72.53</f>
        <v>205.94</v>
      </c>
      <c r="P19" s="14">
        <f t="shared" si="0"/>
        <v>1182.0099999999998</v>
      </c>
    </row>
    <row r="20" spans="1:16" x14ac:dyDescent="0.25">
      <c r="A20" s="5" t="s">
        <v>16</v>
      </c>
      <c r="B20" s="6" t="s">
        <v>17</v>
      </c>
      <c r="C20" s="7" t="s">
        <v>58</v>
      </c>
      <c r="D20" s="8" t="s">
        <v>59</v>
      </c>
      <c r="E20" s="8">
        <v>3</v>
      </c>
      <c r="F20" s="18" t="s">
        <v>60</v>
      </c>
      <c r="G20" s="10" t="s">
        <v>20</v>
      </c>
      <c r="H20" s="11">
        <v>1</v>
      </c>
      <c r="I20" s="12">
        <v>44</v>
      </c>
      <c r="J20" s="13">
        <v>1045</v>
      </c>
      <c r="K20" s="13">
        <v>0</v>
      </c>
      <c r="L20" s="13">
        <v>0</v>
      </c>
      <c r="M20" s="13">
        <f>48.62+209+13.4+69.97</f>
        <v>340.99</v>
      </c>
      <c r="N20" s="13">
        <v>0</v>
      </c>
      <c r="O20" s="13">
        <f>20.9+104.65</f>
        <v>125.55000000000001</v>
      </c>
      <c r="P20" s="14">
        <f t="shared" si="0"/>
        <v>1260.44</v>
      </c>
    </row>
    <row r="21" spans="1:16" x14ac:dyDescent="0.25">
      <c r="A21" s="5" t="s">
        <v>16</v>
      </c>
      <c r="B21" s="6" t="s">
        <v>17</v>
      </c>
      <c r="C21" s="7">
        <v>70178717401</v>
      </c>
      <c r="D21" s="8" t="s">
        <v>61</v>
      </c>
      <c r="E21" s="8">
        <v>3</v>
      </c>
      <c r="F21" s="18" t="s">
        <v>60</v>
      </c>
      <c r="G21" s="10" t="s">
        <v>20</v>
      </c>
      <c r="H21" s="11">
        <v>1</v>
      </c>
      <c r="I21" s="12">
        <v>44</v>
      </c>
      <c r="J21" s="13">
        <v>1045</v>
      </c>
      <c r="K21" s="13">
        <v>0</v>
      </c>
      <c r="L21" s="13">
        <v>0</v>
      </c>
      <c r="M21" s="13">
        <f>48.62+209+64+10.72+55.03</f>
        <v>387.37</v>
      </c>
      <c r="N21" s="13">
        <v>0</v>
      </c>
      <c r="O21" s="13">
        <f>20.9+103.16+62.7</f>
        <v>186.76</v>
      </c>
      <c r="P21" s="14">
        <f t="shared" si="0"/>
        <v>1245.6099999999999</v>
      </c>
    </row>
    <row r="22" spans="1:16" x14ac:dyDescent="0.25">
      <c r="A22" s="5" t="s">
        <v>16</v>
      </c>
      <c r="B22" s="6" t="s">
        <v>17</v>
      </c>
      <c r="C22" s="7">
        <v>76801144472</v>
      </c>
      <c r="D22" s="8" t="s">
        <v>62</v>
      </c>
      <c r="E22" s="8">
        <v>3</v>
      </c>
      <c r="F22" s="9" t="s">
        <v>63</v>
      </c>
      <c r="G22" s="10" t="s">
        <v>20</v>
      </c>
      <c r="H22" s="11">
        <v>1</v>
      </c>
      <c r="I22" s="12">
        <v>44</v>
      </c>
      <c r="J22" s="13">
        <v>1045</v>
      </c>
      <c r="K22" s="13">
        <v>0</v>
      </c>
      <c r="L22" s="13">
        <v>0</v>
      </c>
      <c r="M22" s="13">
        <f>209+42.87+222.93</f>
        <v>474.8</v>
      </c>
      <c r="N22" s="13">
        <v>0</v>
      </c>
      <c r="O22" s="13">
        <f>20.9+121.1+62.7</f>
        <v>204.7</v>
      </c>
      <c r="P22" s="14">
        <f t="shared" si="0"/>
        <v>1315.1</v>
      </c>
    </row>
    <row r="23" spans="1:16" x14ac:dyDescent="0.25">
      <c r="A23" s="5" t="s">
        <v>16</v>
      </c>
      <c r="B23" s="6" t="s">
        <v>17</v>
      </c>
      <c r="C23" s="7" t="s">
        <v>64</v>
      </c>
      <c r="D23" s="16" t="s">
        <v>65</v>
      </c>
      <c r="E23" s="8">
        <v>2</v>
      </c>
      <c r="F23" s="9" t="s">
        <v>19</v>
      </c>
      <c r="G23" s="10" t="s">
        <v>20</v>
      </c>
      <c r="H23" s="11">
        <v>1</v>
      </c>
      <c r="I23" s="12">
        <v>44</v>
      </c>
      <c r="J23" s="13">
        <v>1212.4000000000001</v>
      </c>
      <c r="K23" s="13">
        <v>0</v>
      </c>
      <c r="L23" s="13">
        <v>0</v>
      </c>
      <c r="M23" s="13">
        <f>209</f>
        <v>209</v>
      </c>
      <c r="N23" s="13">
        <v>0</v>
      </c>
      <c r="O23" s="13">
        <f>112.24+72.74+24.25</f>
        <v>209.23</v>
      </c>
      <c r="P23" s="14">
        <f t="shared" si="0"/>
        <v>1212.17</v>
      </c>
    </row>
    <row r="24" spans="1:16" x14ac:dyDescent="0.25">
      <c r="A24" s="5" t="s">
        <v>16</v>
      </c>
      <c r="B24" s="6" t="s">
        <v>17</v>
      </c>
      <c r="C24" s="7" t="s">
        <v>66</v>
      </c>
      <c r="D24" s="8" t="s">
        <v>67</v>
      </c>
      <c r="E24" s="8">
        <v>3</v>
      </c>
      <c r="F24" s="15" t="s">
        <v>68</v>
      </c>
      <c r="G24" s="10" t="s">
        <v>20</v>
      </c>
      <c r="H24" s="11">
        <v>1</v>
      </c>
      <c r="I24" s="12">
        <v>44</v>
      </c>
      <c r="J24" s="13">
        <v>1254.55</v>
      </c>
      <c r="K24" s="13">
        <v>0</v>
      </c>
      <c r="L24" s="13">
        <v>0</v>
      </c>
      <c r="M24" s="13">
        <f>209+40.65+211.4</f>
        <v>461.05</v>
      </c>
      <c r="N24" s="13">
        <v>0</v>
      </c>
      <c r="O24" s="13">
        <f>25.09+138.72</f>
        <v>163.81</v>
      </c>
      <c r="P24" s="14">
        <f t="shared" si="0"/>
        <v>1551.79</v>
      </c>
    </row>
    <row r="25" spans="1:16" x14ac:dyDescent="0.25">
      <c r="A25" s="5" t="s">
        <v>16</v>
      </c>
      <c r="B25" s="6" t="s">
        <v>17</v>
      </c>
      <c r="C25" s="7" t="s">
        <v>69</v>
      </c>
      <c r="D25" s="8" t="s">
        <v>70</v>
      </c>
      <c r="E25" s="8">
        <v>3</v>
      </c>
      <c r="F25" s="15" t="s">
        <v>71</v>
      </c>
      <c r="G25" s="10" t="s">
        <v>20</v>
      </c>
      <c r="H25" s="11">
        <v>2</v>
      </c>
      <c r="I25" s="12">
        <v>44</v>
      </c>
      <c r="J25" s="13">
        <v>3000</v>
      </c>
      <c r="K25" s="13">
        <v>0</v>
      </c>
      <c r="L25" s="13">
        <v>0</v>
      </c>
      <c r="M25" s="13">
        <f>209</f>
        <v>209</v>
      </c>
      <c r="N25" s="13">
        <v>0</v>
      </c>
      <c r="O25" s="13">
        <f>308.19+60+80.32</f>
        <v>448.51</v>
      </c>
      <c r="P25" s="14">
        <f t="shared" si="0"/>
        <v>2760.49</v>
      </c>
    </row>
    <row r="26" spans="1:16" x14ac:dyDescent="0.25">
      <c r="A26" s="5" t="s">
        <v>16</v>
      </c>
      <c r="B26" s="6" t="s">
        <v>17</v>
      </c>
      <c r="C26" s="7">
        <v>78272203472</v>
      </c>
      <c r="D26" s="8" t="s">
        <v>72</v>
      </c>
      <c r="E26" s="8">
        <v>3</v>
      </c>
      <c r="F26" s="15" t="s">
        <v>68</v>
      </c>
      <c r="G26" s="10" t="s">
        <v>20</v>
      </c>
      <c r="H26" s="11">
        <v>1</v>
      </c>
      <c r="I26" s="12">
        <v>44</v>
      </c>
      <c r="J26" s="13">
        <v>1254.55</v>
      </c>
      <c r="K26" s="13">
        <v>0</v>
      </c>
      <c r="L26" s="13">
        <v>0</v>
      </c>
      <c r="M26" s="13">
        <f>209</f>
        <v>209</v>
      </c>
      <c r="N26" s="13">
        <v>0</v>
      </c>
      <c r="O26" s="13">
        <f>25.09+116.03</f>
        <v>141.12</v>
      </c>
      <c r="P26" s="14">
        <f t="shared" si="0"/>
        <v>1322.4299999999998</v>
      </c>
    </row>
    <row r="27" spans="1:16" x14ac:dyDescent="0.25">
      <c r="A27" s="5" t="s">
        <v>16</v>
      </c>
      <c r="B27" s="6" t="s">
        <v>17</v>
      </c>
      <c r="C27" s="7">
        <v>65002938434</v>
      </c>
      <c r="D27" s="8" t="s">
        <v>73</v>
      </c>
      <c r="E27" s="8">
        <v>2</v>
      </c>
      <c r="F27" s="15" t="s">
        <v>74</v>
      </c>
      <c r="G27" s="10" t="s">
        <v>20</v>
      </c>
      <c r="H27" s="11">
        <v>1</v>
      </c>
      <c r="I27" s="12">
        <v>44</v>
      </c>
      <c r="J27" s="13">
        <v>3132.6</v>
      </c>
      <c r="K27" s="13">
        <v>0</v>
      </c>
      <c r="L27" s="13">
        <v>0</v>
      </c>
      <c r="M27" s="13">
        <v>209</v>
      </c>
      <c r="N27" s="13">
        <v>0</v>
      </c>
      <c r="O27" s="13">
        <f>14.92+326.75+69.09</f>
        <v>410.76</v>
      </c>
      <c r="P27" s="14">
        <f t="shared" si="0"/>
        <v>2930.84</v>
      </c>
    </row>
    <row r="28" spans="1:16" x14ac:dyDescent="0.25">
      <c r="A28" s="5" t="s">
        <v>16</v>
      </c>
      <c r="B28" s="6" t="s">
        <v>17</v>
      </c>
      <c r="C28" s="7" t="s">
        <v>75</v>
      </c>
      <c r="D28" s="8" t="s">
        <v>76</v>
      </c>
      <c r="E28" s="8">
        <v>2</v>
      </c>
      <c r="F28" s="9" t="s">
        <v>30</v>
      </c>
      <c r="G28" s="10" t="s">
        <v>20</v>
      </c>
      <c r="H28" s="11">
        <v>1</v>
      </c>
      <c r="I28" s="12">
        <v>44</v>
      </c>
      <c r="J28" s="13">
        <v>1715.49</v>
      </c>
      <c r="K28" s="13">
        <v>0</v>
      </c>
      <c r="L28" s="13">
        <v>0</v>
      </c>
      <c r="M28" s="13">
        <v>209</v>
      </c>
      <c r="N28" s="13">
        <v>0</v>
      </c>
      <c r="O28" s="13">
        <f>157.52+2.43</f>
        <v>159.95000000000002</v>
      </c>
      <c r="P28" s="14">
        <f t="shared" si="0"/>
        <v>1764.54</v>
      </c>
    </row>
    <row r="29" spans="1:16" x14ac:dyDescent="0.25">
      <c r="A29" s="5" t="s">
        <v>16</v>
      </c>
      <c r="B29" s="6" t="s">
        <v>17</v>
      </c>
      <c r="C29" s="7">
        <v>84767812453</v>
      </c>
      <c r="D29" s="16" t="s">
        <v>77</v>
      </c>
      <c r="E29" s="8">
        <v>3</v>
      </c>
      <c r="F29" s="15" t="s">
        <v>78</v>
      </c>
      <c r="G29" s="10" t="s">
        <v>20</v>
      </c>
      <c r="H29" s="11">
        <v>1</v>
      </c>
      <c r="I29" s="12">
        <v>44</v>
      </c>
      <c r="J29" s="13">
        <v>1892.07</v>
      </c>
      <c r="K29" s="13">
        <v>0</v>
      </c>
      <c r="L29" s="13">
        <v>0</v>
      </c>
      <c r="M29" s="13">
        <v>209</v>
      </c>
      <c r="N29" s="13">
        <v>0</v>
      </c>
      <c r="O29" s="13">
        <f>37.84+173.75</f>
        <v>211.59</v>
      </c>
      <c r="P29" s="14">
        <f t="shared" si="0"/>
        <v>1889.4799999999998</v>
      </c>
    </row>
    <row r="30" spans="1:16" x14ac:dyDescent="0.25">
      <c r="A30" s="5" t="s">
        <v>16</v>
      </c>
      <c r="B30" s="6" t="s">
        <v>17</v>
      </c>
      <c r="C30" s="7">
        <v>77118162434</v>
      </c>
      <c r="D30" s="8" t="s">
        <v>79</v>
      </c>
      <c r="E30" s="8">
        <v>2</v>
      </c>
      <c r="F30" s="9" t="s">
        <v>30</v>
      </c>
      <c r="G30" s="10" t="s">
        <v>20</v>
      </c>
      <c r="H30" s="11">
        <v>1</v>
      </c>
      <c r="I30" s="12">
        <v>44</v>
      </c>
      <c r="J30" s="13">
        <v>1715.49</v>
      </c>
      <c r="K30" s="13">
        <v>0</v>
      </c>
      <c r="L30" s="13">
        <v>0</v>
      </c>
      <c r="M30" s="13">
        <f>209+5.7+38.49+81.14</f>
        <v>334.33</v>
      </c>
      <c r="N30" s="13">
        <v>0</v>
      </c>
      <c r="O30" s="13">
        <f>2.43+168.8</f>
        <v>171.23000000000002</v>
      </c>
      <c r="P30" s="14">
        <f t="shared" si="0"/>
        <v>1878.5900000000001</v>
      </c>
    </row>
    <row r="31" spans="1:16" x14ac:dyDescent="0.25">
      <c r="A31" s="5" t="s">
        <v>16</v>
      </c>
      <c r="B31" s="6" t="s">
        <v>17</v>
      </c>
      <c r="C31" s="7" t="s">
        <v>80</v>
      </c>
      <c r="D31" s="8" t="s">
        <v>81</v>
      </c>
      <c r="E31" s="8">
        <v>3</v>
      </c>
      <c r="F31" s="15" t="s">
        <v>68</v>
      </c>
      <c r="G31" s="10" t="s">
        <v>20</v>
      </c>
      <c r="H31" s="11">
        <v>1</v>
      </c>
      <c r="I31" s="12">
        <v>44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4">
        <f t="shared" si="0"/>
        <v>0</v>
      </c>
    </row>
    <row r="32" spans="1:16" x14ac:dyDescent="0.25">
      <c r="A32" s="5" t="s">
        <v>16</v>
      </c>
      <c r="B32" s="6" t="s">
        <v>17</v>
      </c>
      <c r="C32" s="7">
        <v>62012720463</v>
      </c>
      <c r="D32" s="8" t="s">
        <v>82</v>
      </c>
      <c r="E32" s="8">
        <v>3</v>
      </c>
      <c r="F32" s="15" t="s">
        <v>78</v>
      </c>
      <c r="G32" s="10" t="s">
        <v>20</v>
      </c>
      <c r="H32" s="11">
        <v>1</v>
      </c>
      <c r="I32" s="12">
        <v>44</v>
      </c>
      <c r="J32" s="13">
        <v>1892.07</v>
      </c>
      <c r="K32" s="13">
        <v>0</v>
      </c>
      <c r="L32" s="13">
        <v>0</v>
      </c>
      <c r="M32" s="13">
        <v>209</v>
      </c>
      <c r="N32" s="13">
        <v>0</v>
      </c>
      <c r="O32" s="13">
        <f>37.84+173.75</f>
        <v>211.59</v>
      </c>
      <c r="P32" s="14">
        <f t="shared" si="0"/>
        <v>1889.4799999999998</v>
      </c>
    </row>
    <row r="33" spans="1:336" x14ac:dyDescent="0.25">
      <c r="A33" s="5" t="s">
        <v>16</v>
      </c>
      <c r="B33" s="6" t="s">
        <v>17</v>
      </c>
      <c r="C33" s="7" t="s">
        <v>83</v>
      </c>
      <c r="D33" s="16" t="s">
        <v>84</v>
      </c>
      <c r="E33" s="8">
        <v>3</v>
      </c>
      <c r="F33" s="19" t="s">
        <v>85</v>
      </c>
      <c r="G33" s="10" t="s">
        <v>20</v>
      </c>
      <c r="H33" s="11">
        <v>2</v>
      </c>
      <c r="I33" s="12">
        <v>44</v>
      </c>
      <c r="J33" s="13">
        <v>1262.93</v>
      </c>
      <c r="K33" s="13">
        <v>0</v>
      </c>
      <c r="L33" s="13">
        <v>0</v>
      </c>
      <c r="M33" s="13">
        <v>209</v>
      </c>
      <c r="N33" s="13">
        <v>0</v>
      </c>
      <c r="O33" s="13">
        <f>25.26+116.79</f>
        <v>142.05000000000001</v>
      </c>
      <c r="P33" s="14">
        <f t="shared" si="0"/>
        <v>1329.88</v>
      </c>
    </row>
    <row r="34" spans="1:336" x14ac:dyDescent="0.25">
      <c r="A34" s="5" t="s">
        <v>16</v>
      </c>
      <c r="B34" s="6" t="s">
        <v>17</v>
      </c>
      <c r="C34" s="7" t="s">
        <v>86</v>
      </c>
      <c r="D34" s="8" t="s">
        <v>87</v>
      </c>
      <c r="E34" s="8">
        <v>2</v>
      </c>
      <c r="F34" s="9" t="s">
        <v>19</v>
      </c>
      <c r="G34" s="10" t="s">
        <v>20</v>
      </c>
      <c r="H34" s="11">
        <v>1</v>
      </c>
      <c r="I34" s="12">
        <v>44</v>
      </c>
      <c r="J34" s="13">
        <v>1212.4000000000001</v>
      </c>
      <c r="K34" s="13">
        <v>0</v>
      </c>
      <c r="L34" s="13">
        <v>0</v>
      </c>
      <c r="M34" s="13">
        <f>209+48.62+64</f>
        <v>321.62</v>
      </c>
      <c r="N34" s="13">
        <v>0</v>
      </c>
      <c r="O34" s="13">
        <f>72.74+112.24+24.25</f>
        <v>209.23</v>
      </c>
      <c r="P34" s="14">
        <f t="shared" ref="P34:P64" si="1">SUM(J34:N34)-O34</f>
        <v>1324.79</v>
      </c>
    </row>
    <row r="35" spans="1:336" x14ac:dyDescent="0.25">
      <c r="A35" s="5" t="s">
        <v>16</v>
      </c>
      <c r="B35" s="6" t="s">
        <v>17</v>
      </c>
      <c r="C35" s="7" t="s">
        <v>88</v>
      </c>
      <c r="D35" s="8" t="s">
        <v>89</v>
      </c>
      <c r="E35" s="8">
        <v>2</v>
      </c>
      <c r="F35" s="9" t="s">
        <v>19</v>
      </c>
      <c r="G35" s="10" t="s">
        <v>20</v>
      </c>
      <c r="H35" s="11">
        <v>1</v>
      </c>
      <c r="I35" s="12">
        <v>44</v>
      </c>
      <c r="J35" s="13">
        <v>1212.4000000000001</v>
      </c>
      <c r="K35" s="13">
        <v>0</v>
      </c>
      <c r="L35" s="13">
        <v>0</v>
      </c>
      <c r="M35" s="13">
        <f>209+48.59+252.69</f>
        <v>510.28000000000003</v>
      </c>
      <c r="N35" s="13">
        <v>0</v>
      </c>
      <c r="O35" s="13">
        <f>24.25+139.36</f>
        <v>163.61000000000001</v>
      </c>
      <c r="P35" s="14">
        <f t="shared" si="1"/>
        <v>1559.0700000000002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  <c r="IW35" s="20"/>
      <c r="IX35" s="20"/>
      <c r="IY35" s="20"/>
      <c r="IZ35" s="20"/>
      <c r="JA35" s="20"/>
      <c r="JB35" s="20"/>
      <c r="JC35" s="20"/>
      <c r="JD35" s="20"/>
      <c r="JE35" s="20"/>
      <c r="JF35" s="20"/>
      <c r="JG35" s="20"/>
      <c r="JH35" s="20"/>
      <c r="JI35" s="20"/>
      <c r="JJ35" s="20"/>
      <c r="JK35" s="20"/>
      <c r="JL35" s="20"/>
      <c r="JM35" s="20"/>
      <c r="JN35" s="20"/>
      <c r="JO35" s="20"/>
      <c r="JP35" s="20"/>
      <c r="JQ35" s="20"/>
      <c r="JR35" s="20"/>
      <c r="JS35" s="20"/>
      <c r="JT35" s="20"/>
      <c r="JU35" s="20"/>
      <c r="JV35" s="20"/>
      <c r="JW35" s="20"/>
      <c r="JX35" s="20"/>
      <c r="JY35" s="20"/>
      <c r="JZ35" s="20"/>
      <c r="KA35" s="20"/>
      <c r="KB35" s="20"/>
      <c r="KC35" s="20"/>
      <c r="KD35" s="20"/>
      <c r="KE35" s="20"/>
      <c r="KF35" s="20"/>
      <c r="KG35" s="20"/>
      <c r="KH35" s="20"/>
      <c r="KI35" s="20"/>
      <c r="KJ35" s="20"/>
      <c r="KK35" s="20"/>
      <c r="KL35" s="20"/>
      <c r="KM35" s="20"/>
      <c r="KN35" s="20"/>
      <c r="KO35" s="20"/>
      <c r="KP35" s="20"/>
      <c r="KQ35" s="20"/>
      <c r="KR35" s="20"/>
      <c r="KS35" s="20"/>
      <c r="KT35" s="20"/>
      <c r="KU35" s="20"/>
      <c r="KV35" s="20"/>
      <c r="KW35" s="20"/>
      <c r="KX35" s="20"/>
      <c r="KY35" s="20"/>
      <c r="KZ35" s="20"/>
      <c r="LA35" s="20"/>
      <c r="LB35" s="20"/>
      <c r="LC35" s="20"/>
      <c r="LD35" s="20"/>
      <c r="LE35" s="20"/>
      <c r="LF35" s="20"/>
      <c r="LG35" s="20"/>
      <c r="LH35" s="20"/>
      <c r="LI35" s="20"/>
      <c r="LJ35" s="20"/>
      <c r="LK35" s="20"/>
      <c r="LL35" s="20"/>
      <c r="LM35" s="20"/>
      <c r="LN35" s="20"/>
      <c r="LO35" s="20"/>
      <c r="LP35" s="20"/>
      <c r="LQ35" s="20"/>
      <c r="LR35" s="20"/>
      <c r="LS35" s="20"/>
      <c r="LT35" s="20"/>
      <c r="LU35" s="20"/>
      <c r="LV35" s="20"/>
      <c r="LW35" s="20"/>
      <c r="LX35" s="20"/>
    </row>
    <row r="36" spans="1:336" s="24" customFormat="1" x14ac:dyDescent="0.25">
      <c r="A36" s="21" t="s">
        <v>16</v>
      </c>
      <c r="B36" s="22" t="s">
        <v>17</v>
      </c>
      <c r="C36" s="23" t="s">
        <v>90</v>
      </c>
      <c r="D36" s="16" t="s">
        <v>91</v>
      </c>
      <c r="E36" s="8">
        <v>3</v>
      </c>
      <c r="F36" s="9" t="s">
        <v>63</v>
      </c>
      <c r="G36" s="10" t="s">
        <v>20</v>
      </c>
      <c r="H36" s="11">
        <v>1</v>
      </c>
      <c r="I36" s="12">
        <v>44</v>
      </c>
      <c r="J36" s="13">
        <v>905.67</v>
      </c>
      <c r="K36" s="13">
        <v>0</v>
      </c>
      <c r="L36" s="13">
        <v>0</v>
      </c>
      <c r="M36" s="13">
        <f>139.33+181.13+21.81+125.4</f>
        <v>467.67000000000007</v>
      </c>
      <c r="N36" s="13">
        <v>0</v>
      </c>
      <c r="O36" s="13">
        <f>20.9+107.92</f>
        <v>128.82</v>
      </c>
      <c r="P36" s="14">
        <f t="shared" si="1"/>
        <v>1244.5200000000002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0"/>
      <c r="KI36" s="20"/>
      <c r="KJ36" s="20"/>
      <c r="KK36" s="20"/>
      <c r="KL36" s="20"/>
      <c r="KM36" s="20"/>
      <c r="KN36" s="20"/>
      <c r="KO36" s="20"/>
      <c r="KP36" s="20"/>
      <c r="KQ36" s="20"/>
      <c r="KR36" s="20"/>
      <c r="KS36" s="20"/>
      <c r="KT36" s="20"/>
      <c r="KU36" s="20"/>
      <c r="KV36" s="20"/>
      <c r="KW36" s="20"/>
      <c r="KX36" s="20"/>
      <c r="KY36" s="20"/>
      <c r="KZ36" s="20"/>
      <c r="LA36" s="20"/>
      <c r="LB36" s="20"/>
      <c r="LC36" s="20"/>
      <c r="LD36" s="20"/>
      <c r="LE36" s="20"/>
      <c r="LF36" s="20"/>
      <c r="LG36" s="20"/>
      <c r="LH36" s="20"/>
      <c r="LI36" s="20"/>
      <c r="LJ36" s="20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</row>
    <row r="37" spans="1:336" s="24" customFormat="1" x14ac:dyDescent="0.25">
      <c r="A37" s="21" t="s">
        <v>16</v>
      </c>
      <c r="B37" s="22" t="s">
        <v>17</v>
      </c>
      <c r="C37" s="23">
        <v>85625752400</v>
      </c>
      <c r="D37" s="8" t="s">
        <v>92</v>
      </c>
      <c r="E37" s="8">
        <v>2</v>
      </c>
      <c r="F37" s="9" t="s">
        <v>19</v>
      </c>
      <c r="G37" s="10" t="s">
        <v>20</v>
      </c>
      <c r="H37" s="11">
        <v>1</v>
      </c>
      <c r="I37" s="12">
        <v>44</v>
      </c>
      <c r="J37" s="13">
        <v>1212.4000000000001</v>
      </c>
      <c r="K37" s="13">
        <v>0</v>
      </c>
      <c r="L37" s="13">
        <v>0</v>
      </c>
      <c r="M37" s="13">
        <v>209</v>
      </c>
      <c r="N37" s="13">
        <v>0</v>
      </c>
      <c r="O37" s="13">
        <f>24.25+86.86+104.42</f>
        <v>215.53</v>
      </c>
      <c r="P37" s="14">
        <f t="shared" si="1"/>
        <v>1205.8700000000001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  <c r="LJ37" s="20"/>
      <c r="LK37" s="20"/>
      <c r="LL37" s="20"/>
      <c r="LM37" s="20"/>
      <c r="LN37" s="20"/>
      <c r="LO37" s="20"/>
      <c r="LP37" s="20"/>
      <c r="LQ37" s="20"/>
      <c r="LR37" s="20"/>
      <c r="LS37" s="20"/>
      <c r="LT37" s="20"/>
      <c r="LU37" s="20"/>
      <c r="LV37" s="20"/>
      <c r="LW37" s="20"/>
      <c r="LX37" s="20"/>
    </row>
    <row r="38" spans="1:336" s="24" customFormat="1" x14ac:dyDescent="0.25">
      <c r="A38" s="21" t="s">
        <v>16</v>
      </c>
      <c r="B38" s="22" t="s">
        <v>17</v>
      </c>
      <c r="C38" s="23" t="s">
        <v>93</v>
      </c>
      <c r="D38" s="8" t="s">
        <v>94</v>
      </c>
      <c r="E38" s="8">
        <v>2</v>
      </c>
      <c r="F38" s="9" t="s">
        <v>19</v>
      </c>
      <c r="G38" s="10" t="s">
        <v>20</v>
      </c>
      <c r="H38" s="11">
        <v>1</v>
      </c>
      <c r="I38" s="12">
        <v>44</v>
      </c>
      <c r="J38" s="13">
        <v>1212.4000000000001</v>
      </c>
      <c r="K38" s="13">
        <v>0</v>
      </c>
      <c r="L38" s="13">
        <v>0</v>
      </c>
      <c r="M38" s="13">
        <f>209+48.31+251.19</f>
        <v>508.5</v>
      </c>
      <c r="N38" s="13">
        <v>0</v>
      </c>
      <c r="O38" s="13">
        <f>24.25+139.2+72.74</f>
        <v>236.19</v>
      </c>
      <c r="P38" s="14">
        <f t="shared" si="1"/>
        <v>1484.71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  <c r="KM38" s="20"/>
      <c r="KN38" s="20"/>
      <c r="KO38" s="20"/>
      <c r="KP38" s="20"/>
      <c r="KQ38" s="20"/>
      <c r="KR38" s="20"/>
      <c r="KS38" s="20"/>
      <c r="KT38" s="20"/>
      <c r="KU38" s="20"/>
      <c r="KV38" s="20"/>
      <c r="KW38" s="20"/>
      <c r="KX38" s="20"/>
      <c r="KY38" s="20"/>
      <c r="KZ38" s="20"/>
      <c r="LA38" s="20"/>
      <c r="LB38" s="20"/>
      <c r="LC38" s="20"/>
      <c r="LD38" s="20"/>
      <c r="LE38" s="20"/>
      <c r="LF38" s="20"/>
      <c r="LG38" s="20"/>
      <c r="LH38" s="20"/>
      <c r="LI38" s="20"/>
      <c r="LJ38" s="20"/>
      <c r="LK38" s="20"/>
      <c r="LL38" s="20"/>
      <c r="LM38" s="20"/>
      <c r="LN38" s="20"/>
      <c r="LO38" s="20"/>
      <c r="LP38" s="20"/>
      <c r="LQ38" s="20"/>
      <c r="LR38" s="20"/>
      <c r="LS38" s="20"/>
      <c r="LT38" s="20"/>
      <c r="LU38" s="20"/>
      <c r="LV38" s="20"/>
      <c r="LW38" s="20"/>
      <c r="LX38" s="20"/>
    </row>
    <row r="39" spans="1:336" s="24" customFormat="1" x14ac:dyDescent="0.25">
      <c r="A39" s="21" t="s">
        <v>16</v>
      </c>
      <c r="B39" s="22" t="s">
        <v>17</v>
      </c>
      <c r="C39" s="23" t="s">
        <v>95</v>
      </c>
      <c r="D39" s="8" t="s">
        <v>96</v>
      </c>
      <c r="E39" s="8">
        <v>2</v>
      </c>
      <c r="F39" s="9" t="s">
        <v>19</v>
      </c>
      <c r="G39" s="10" t="s">
        <v>20</v>
      </c>
      <c r="H39" s="11">
        <v>1</v>
      </c>
      <c r="I39" s="12">
        <v>44</v>
      </c>
      <c r="J39" s="13">
        <v>1212.4000000000001</v>
      </c>
      <c r="K39" s="13">
        <v>0</v>
      </c>
      <c r="L39" s="13">
        <v>0</v>
      </c>
      <c r="M39" s="13">
        <f>209+42.52+221.11</f>
        <v>472.63</v>
      </c>
      <c r="N39" s="13">
        <v>0</v>
      </c>
      <c r="O39" s="13">
        <f>24.25+135.97+72.74</f>
        <v>232.95999999999998</v>
      </c>
      <c r="P39" s="14">
        <f t="shared" si="1"/>
        <v>1452.0700000000002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  <c r="IW39" s="20"/>
      <c r="IX39" s="20"/>
      <c r="IY39" s="20"/>
      <c r="IZ39" s="20"/>
      <c r="JA39" s="20"/>
      <c r="JB39" s="20"/>
      <c r="JC39" s="20"/>
      <c r="JD39" s="20"/>
      <c r="JE39" s="20"/>
      <c r="JF39" s="20"/>
      <c r="JG39" s="20"/>
      <c r="JH39" s="20"/>
      <c r="JI39" s="20"/>
      <c r="JJ39" s="20"/>
      <c r="JK39" s="20"/>
      <c r="JL39" s="20"/>
      <c r="JM39" s="20"/>
      <c r="JN39" s="20"/>
      <c r="JO39" s="20"/>
      <c r="JP39" s="20"/>
      <c r="JQ39" s="20"/>
      <c r="JR39" s="20"/>
      <c r="JS39" s="20"/>
      <c r="JT39" s="20"/>
      <c r="JU39" s="20"/>
      <c r="JV39" s="20"/>
      <c r="JW39" s="20"/>
      <c r="JX39" s="20"/>
      <c r="JY39" s="20"/>
      <c r="JZ39" s="20"/>
      <c r="KA39" s="20"/>
      <c r="KB39" s="20"/>
      <c r="KC39" s="20"/>
      <c r="KD39" s="20"/>
      <c r="KE39" s="20"/>
      <c r="KF39" s="20"/>
      <c r="KG39" s="20"/>
      <c r="KH39" s="20"/>
      <c r="KI39" s="20"/>
      <c r="KJ39" s="20"/>
      <c r="KK39" s="20"/>
      <c r="KL39" s="20"/>
      <c r="KM39" s="20"/>
      <c r="KN39" s="20"/>
      <c r="KO39" s="20"/>
      <c r="KP39" s="20"/>
      <c r="KQ39" s="20"/>
      <c r="KR39" s="20"/>
      <c r="KS39" s="20"/>
      <c r="KT39" s="20"/>
      <c r="KU39" s="20"/>
      <c r="KV39" s="20"/>
      <c r="KW39" s="20"/>
      <c r="KX39" s="20"/>
      <c r="KY39" s="20"/>
      <c r="KZ39" s="20"/>
      <c r="LA39" s="20"/>
      <c r="LB39" s="20"/>
      <c r="LC39" s="20"/>
      <c r="LD39" s="20"/>
      <c r="LE39" s="20"/>
      <c r="LF39" s="20"/>
      <c r="LG39" s="20"/>
      <c r="LH39" s="20"/>
      <c r="LI39" s="20"/>
      <c r="LJ39" s="20"/>
      <c r="LK39" s="20"/>
      <c r="LL39" s="20"/>
      <c r="LM39" s="20"/>
      <c r="LN39" s="20"/>
      <c r="LO39" s="20"/>
      <c r="LP39" s="20"/>
      <c r="LQ39" s="20"/>
      <c r="LR39" s="20"/>
      <c r="LS39" s="20"/>
      <c r="LT39" s="20"/>
      <c r="LU39" s="20"/>
      <c r="LV39" s="20"/>
      <c r="LW39" s="20"/>
      <c r="LX39" s="20"/>
    </row>
    <row r="40" spans="1:336" s="24" customFormat="1" x14ac:dyDescent="0.25">
      <c r="A40" s="21" t="s">
        <v>16</v>
      </c>
      <c r="B40" s="22" t="s">
        <v>17</v>
      </c>
      <c r="C40" s="23" t="s">
        <v>97</v>
      </c>
      <c r="D40" s="8" t="s">
        <v>98</v>
      </c>
      <c r="E40" s="8">
        <v>3</v>
      </c>
      <c r="F40" s="15" t="s">
        <v>99</v>
      </c>
      <c r="G40" s="10" t="s">
        <v>20</v>
      </c>
      <c r="H40" s="11">
        <v>1</v>
      </c>
      <c r="I40" s="12">
        <v>44</v>
      </c>
      <c r="J40" s="13">
        <v>1045</v>
      </c>
      <c r="K40" s="13">
        <v>0</v>
      </c>
      <c r="L40" s="13">
        <v>0</v>
      </c>
      <c r="M40" s="13">
        <f>209+48.62+13.4+69.67</f>
        <v>340.69</v>
      </c>
      <c r="N40" s="13">
        <v>0</v>
      </c>
      <c r="O40" s="13">
        <f>20.9+104.65</f>
        <v>125.55000000000001</v>
      </c>
      <c r="P40" s="14">
        <f t="shared" si="1"/>
        <v>1260.1400000000001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  <c r="IW40" s="20"/>
      <c r="IX40" s="20"/>
      <c r="IY40" s="20"/>
      <c r="IZ40" s="20"/>
      <c r="JA40" s="20"/>
      <c r="JB40" s="20"/>
      <c r="JC40" s="20"/>
      <c r="JD40" s="20"/>
      <c r="JE40" s="20"/>
      <c r="JF40" s="20"/>
      <c r="JG40" s="20"/>
      <c r="JH40" s="20"/>
      <c r="JI40" s="20"/>
      <c r="JJ40" s="20"/>
      <c r="JK40" s="20"/>
      <c r="JL40" s="20"/>
      <c r="JM40" s="20"/>
      <c r="JN40" s="20"/>
      <c r="JO40" s="20"/>
      <c r="JP40" s="20"/>
      <c r="JQ40" s="20"/>
      <c r="JR40" s="20"/>
      <c r="JS40" s="20"/>
      <c r="JT40" s="20"/>
      <c r="JU40" s="20"/>
      <c r="JV40" s="20"/>
      <c r="JW40" s="20"/>
      <c r="JX40" s="20"/>
      <c r="JY40" s="20"/>
      <c r="JZ40" s="20"/>
      <c r="KA40" s="20"/>
      <c r="KB40" s="20"/>
      <c r="KC40" s="20"/>
      <c r="KD40" s="20"/>
      <c r="KE40" s="20"/>
      <c r="KF40" s="20"/>
      <c r="KG40" s="20"/>
      <c r="KH40" s="20"/>
      <c r="KI40" s="20"/>
      <c r="KJ40" s="20"/>
      <c r="KK40" s="20"/>
      <c r="KL40" s="20"/>
      <c r="KM40" s="20"/>
      <c r="KN40" s="20"/>
      <c r="KO40" s="20"/>
      <c r="KP40" s="20"/>
      <c r="KQ40" s="20"/>
      <c r="KR40" s="20"/>
      <c r="KS40" s="20"/>
      <c r="KT40" s="20"/>
      <c r="KU40" s="20"/>
      <c r="KV40" s="20"/>
      <c r="KW40" s="20"/>
      <c r="KX40" s="20"/>
      <c r="KY40" s="20"/>
      <c r="KZ40" s="20"/>
      <c r="LA40" s="20"/>
      <c r="LB40" s="20"/>
      <c r="LC40" s="20"/>
      <c r="LD40" s="20"/>
      <c r="LE40" s="20"/>
      <c r="LF40" s="20"/>
      <c r="LG40" s="20"/>
      <c r="LH40" s="20"/>
      <c r="LI40" s="20"/>
      <c r="LJ40" s="20"/>
      <c r="LK40" s="20"/>
      <c r="LL40" s="20"/>
      <c r="LM40" s="20"/>
      <c r="LN40" s="20"/>
      <c r="LO40" s="20"/>
      <c r="LP40" s="20"/>
      <c r="LQ40" s="20"/>
      <c r="LR40" s="20"/>
      <c r="LS40" s="20"/>
      <c r="LT40" s="20"/>
      <c r="LU40" s="20"/>
      <c r="LV40" s="20"/>
      <c r="LW40" s="20"/>
      <c r="LX40" s="20"/>
    </row>
    <row r="41" spans="1:336" s="24" customFormat="1" x14ac:dyDescent="0.25">
      <c r="A41" s="21" t="s">
        <v>16</v>
      </c>
      <c r="B41" s="22" t="s">
        <v>17</v>
      </c>
      <c r="C41" s="23" t="s">
        <v>100</v>
      </c>
      <c r="D41" s="8" t="s">
        <v>101</v>
      </c>
      <c r="E41" s="8">
        <v>3</v>
      </c>
      <c r="F41" s="18" t="s">
        <v>60</v>
      </c>
      <c r="G41" s="10" t="s">
        <v>20</v>
      </c>
      <c r="H41" s="11">
        <v>1</v>
      </c>
      <c r="I41" s="12">
        <v>44</v>
      </c>
      <c r="J41" s="13">
        <v>1045</v>
      </c>
      <c r="K41" s="13">
        <v>0</v>
      </c>
      <c r="L41" s="13">
        <v>0</v>
      </c>
      <c r="M41" s="13">
        <f>48.62+209+64</f>
        <v>321.62</v>
      </c>
      <c r="N41" s="13">
        <v>0</v>
      </c>
      <c r="O41" s="13">
        <f>20.9+97.18+62.7</f>
        <v>180.78000000000003</v>
      </c>
      <c r="P41" s="14">
        <f t="shared" si="1"/>
        <v>1185.8399999999999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  <c r="IW41" s="20"/>
      <c r="IX41" s="20"/>
      <c r="IY41" s="20"/>
      <c r="IZ41" s="20"/>
      <c r="JA41" s="20"/>
      <c r="JB41" s="20"/>
      <c r="JC41" s="20"/>
      <c r="JD41" s="20"/>
      <c r="JE41" s="20"/>
      <c r="JF41" s="20"/>
      <c r="JG41" s="20"/>
      <c r="JH41" s="20"/>
      <c r="JI41" s="20"/>
      <c r="JJ41" s="20"/>
      <c r="JK41" s="20"/>
      <c r="JL41" s="20"/>
      <c r="JM41" s="20"/>
      <c r="JN41" s="20"/>
      <c r="JO41" s="20"/>
      <c r="JP41" s="20"/>
      <c r="JQ41" s="20"/>
      <c r="JR41" s="20"/>
      <c r="JS41" s="20"/>
      <c r="JT41" s="20"/>
      <c r="JU41" s="20"/>
      <c r="JV41" s="20"/>
      <c r="JW41" s="20"/>
      <c r="JX41" s="20"/>
      <c r="JY41" s="20"/>
      <c r="JZ41" s="20"/>
      <c r="KA41" s="20"/>
      <c r="KB41" s="20"/>
      <c r="KC41" s="20"/>
      <c r="KD41" s="20"/>
      <c r="KE41" s="20"/>
      <c r="KF41" s="20"/>
      <c r="KG41" s="20"/>
      <c r="KH41" s="20"/>
      <c r="KI41" s="20"/>
      <c r="KJ41" s="20"/>
      <c r="KK41" s="20"/>
      <c r="KL41" s="20"/>
      <c r="KM41" s="20"/>
      <c r="KN41" s="20"/>
      <c r="KO41" s="20"/>
      <c r="KP41" s="20"/>
      <c r="KQ41" s="20"/>
      <c r="KR41" s="20"/>
      <c r="KS41" s="20"/>
      <c r="KT41" s="20"/>
      <c r="KU41" s="20"/>
      <c r="KV41" s="20"/>
      <c r="KW41" s="20"/>
      <c r="KX41" s="20"/>
      <c r="KY41" s="20"/>
      <c r="KZ41" s="20"/>
      <c r="LA41" s="20"/>
      <c r="LB41" s="20"/>
      <c r="LC41" s="20"/>
      <c r="LD41" s="20"/>
      <c r="LE41" s="20"/>
      <c r="LF41" s="20"/>
      <c r="LG41" s="20"/>
      <c r="LH41" s="20"/>
      <c r="LI41" s="20"/>
      <c r="LJ41" s="20"/>
      <c r="LK41" s="20"/>
      <c r="LL41" s="20"/>
      <c r="LM41" s="20"/>
      <c r="LN41" s="20"/>
      <c r="LO41" s="20"/>
      <c r="LP41" s="20"/>
      <c r="LQ41" s="20"/>
      <c r="LR41" s="20"/>
      <c r="LS41" s="20"/>
      <c r="LT41" s="20"/>
      <c r="LU41" s="20"/>
      <c r="LV41" s="20"/>
      <c r="LW41" s="20"/>
      <c r="LX41" s="20"/>
    </row>
    <row r="42" spans="1:336" s="24" customFormat="1" x14ac:dyDescent="0.25">
      <c r="A42" s="21" t="s">
        <v>16</v>
      </c>
      <c r="B42" s="22" t="s">
        <v>17</v>
      </c>
      <c r="C42" s="23" t="s">
        <v>102</v>
      </c>
      <c r="D42" s="8" t="s">
        <v>103</v>
      </c>
      <c r="E42" s="8">
        <v>3</v>
      </c>
      <c r="F42" s="15" t="s">
        <v>99</v>
      </c>
      <c r="G42" s="10" t="s">
        <v>20</v>
      </c>
      <c r="H42" s="11">
        <v>1</v>
      </c>
      <c r="I42" s="12">
        <v>44</v>
      </c>
      <c r="J42" s="13">
        <v>418</v>
      </c>
      <c r="K42" s="13">
        <v>1200.21</v>
      </c>
      <c r="L42" s="13">
        <v>0</v>
      </c>
      <c r="M42" s="13">
        <f>83.6+2.53+13.93</f>
        <v>100.06</v>
      </c>
      <c r="N42" s="13">
        <v>0</v>
      </c>
      <c r="O42" s="13">
        <f>20.9+1200.21+46.63+92.33+56.4</f>
        <v>1416.4700000000003</v>
      </c>
      <c r="P42" s="14">
        <f t="shared" si="1"/>
        <v>301.79999999999973</v>
      </c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  <c r="IW42" s="20"/>
      <c r="IX42" s="20"/>
      <c r="IY42" s="20"/>
      <c r="IZ42" s="20"/>
      <c r="JA42" s="20"/>
      <c r="JB42" s="20"/>
      <c r="JC42" s="20"/>
      <c r="JD42" s="20"/>
      <c r="JE42" s="20"/>
      <c r="JF42" s="20"/>
      <c r="JG42" s="20"/>
      <c r="JH42" s="20"/>
      <c r="JI42" s="20"/>
      <c r="JJ42" s="20"/>
      <c r="JK42" s="20"/>
      <c r="JL42" s="20"/>
      <c r="JM42" s="20"/>
      <c r="JN42" s="20"/>
      <c r="JO42" s="20"/>
      <c r="JP42" s="20"/>
      <c r="JQ42" s="20"/>
      <c r="JR42" s="20"/>
      <c r="JS42" s="20"/>
      <c r="JT42" s="20"/>
      <c r="JU42" s="20"/>
      <c r="JV42" s="20"/>
      <c r="JW42" s="20"/>
      <c r="JX42" s="20"/>
      <c r="JY42" s="20"/>
      <c r="JZ42" s="20"/>
      <c r="KA42" s="20"/>
      <c r="KB42" s="20"/>
      <c r="KC42" s="20"/>
      <c r="KD42" s="20"/>
      <c r="KE42" s="20"/>
      <c r="KF42" s="20"/>
      <c r="KG42" s="20"/>
      <c r="KH42" s="20"/>
      <c r="KI42" s="20"/>
      <c r="KJ42" s="20"/>
      <c r="KK42" s="20"/>
      <c r="KL42" s="20"/>
      <c r="KM42" s="20"/>
      <c r="KN42" s="20"/>
      <c r="KO42" s="20"/>
      <c r="KP42" s="20"/>
      <c r="KQ42" s="20"/>
      <c r="KR42" s="20"/>
      <c r="KS42" s="20"/>
      <c r="KT42" s="20"/>
      <c r="KU42" s="20"/>
      <c r="KV42" s="20"/>
      <c r="KW42" s="20"/>
      <c r="KX42" s="20"/>
      <c r="KY42" s="20"/>
      <c r="KZ42" s="20"/>
      <c r="LA42" s="20"/>
      <c r="LB42" s="20"/>
      <c r="LC42" s="20"/>
      <c r="LD42" s="20"/>
      <c r="LE42" s="20"/>
      <c r="LF42" s="20"/>
      <c r="LG42" s="20"/>
      <c r="LH42" s="20"/>
      <c r="LI42" s="20"/>
      <c r="LJ42" s="20"/>
      <c r="LK42" s="20"/>
      <c r="LL42" s="20"/>
      <c r="LM42" s="20"/>
      <c r="LN42" s="20"/>
      <c r="LO42" s="20"/>
      <c r="LP42" s="20"/>
      <c r="LQ42" s="20"/>
      <c r="LR42" s="20"/>
      <c r="LS42" s="20"/>
      <c r="LT42" s="20"/>
      <c r="LU42" s="20"/>
      <c r="LV42" s="20"/>
      <c r="LW42" s="20"/>
      <c r="LX42" s="20"/>
    </row>
    <row r="43" spans="1:336" s="24" customFormat="1" x14ac:dyDescent="0.25">
      <c r="A43" s="21" t="s">
        <v>16</v>
      </c>
      <c r="B43" s="22" t="s">
        <v>17</v>
      </c>
      <c r="C43" s="23" t="s">
        <v>104</v>
      </c>
      <c r="D43" s="8" t="s">
        <v>105</v>
      </c>
      <c r="E43" s="8">
        <v>2</v>
      </c>
      <c r="F43" s="9" t="s">
        <v>30</v>
      </c>
      <c r="G43" s="10" t="s">
        <v>20</v>
      </c>
      <c r="H43" s="11">
        <v>1</v>
      </c>
      <c r="I43" s="12">
        <v>44</v>
      </c>
      <c r="J43" s="13">
        <v>763.23</v>
      </c>
      <c r="K43" s="13">
        <v>1966.89</v>
      </c>
      <c r="L43" s="13">
        <v>0</v>
      </c>
      <c r="M43" s="13">
        <f>83.6+103.28+7.7+42.34+945.21+104.94</f>
        <v>1287.0700000000002</v>
      </c>
      <c r="N43" s="13">
        <v>0</v>
      </c>
      <c r="O43" s="13">
        <f>2.43+1966.89+116.53+161.34</f>
        <v>2247.1900000000005</v>
      </c>
      <c r="P43" s="14">
        <f t="shared" si="1"/>
        <v>1769.9999999999995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  <c r="IW43" s="20"/>
      <c r="IX43" s="20"/>
      <c r="IY43" s="20"/>
      <c r="IZ43" s="20"/>
      <c r="JA43" s="20"/>
      <c r="JB43" s="20"/>
      <c r="JC43" s="20"/>
      <c r="JD43" s="20"/>
      <c r="JE43" s="20"/>
      <c r="JF43" s="20"/>
      <c r="JG43" s="20"/>
      <c r="JH43" s="20"/>
      <c r="JI43" s="20"/>
      <c r="JJ43" s="20"/>
      <c r="JK43" s="20"/>
      <c r="JL43" s="20"/>
      <c r="JM43" s="20"/>
      <c r="JN43" s="20"/>
      <c r="JO43" s="20"/>
      <c r="JP43" s="20"/>
      <c r="JQ43" s="20"/>
      <c r="JR43" s="20"/>
      <c r="JS43" s="20"/>
      <c r="JT43" s="20"/>
      <c r="JU43" s="20"/>
      <c r="JV43" s="20"/>
      <c r="JW43" s="20"/>
      <c r="JX43" s="20"/>
      <c r="JY43" s="20"/>
      <c r="JZ43" s="20"/>
      <c r="KA43" s="20"/>
      <c r="KB43" s="20"/>
      <c r="KC43" s="20"/>
      <c r="KD43" s="20"/>
      <c r="KE43" s="20"/>
      <c r="KF43" s="20"/>
      <c r="KG43" s="20"/>
      <c r="KH43" s="20"/>
      <c r="KI43" s="20"/>
      <c r="KJ43" s="20"/>
      <c r="KK43" s="20"/>
      <c r="KL43" s="20"/>
      <c r="KM43" s="20"/>
      <c r="KN43" s="20"/>
      <c r="KO43" s="20"/>
      <c r="KP43" s="20"/>
      <c r="KQ43" s="20"/>
      <c r="KR43" s="20"/>
      <c r="KS43" s="20"/>
      <c r="KT43" s="20"/>
      <c r="KU43" s="20"/>
      <c r="KV43" s="20"/>
      <c r="KW43" s="20"/>
      <c r="KX43" s="20"/>
      <c r="KY43" s="20"/>
      <c r="KZ43" s="20"/>
      <c r="LA43" s="20"/>
      <c r="LB43" s="20"/>
      <c r="LC43" s="20"/>
      <c r="LD43" s="20"/>
      <c r="LE43" s="20"/>
      <c r="LF43" s="20"/>
      <c r="LG43" s="20"/>
      <c r="LH43" s="20"/>
      <c r="LI43" s="20"/>
      <c r="LJ43" s="20"/>
      <c r="LK43" s="20"/>
      <c r="LL43" s="20"/>
      <c r="LM43" s="20"/>
      <c r="LN43" s="20"/>
      <c r="LO43" s="20"/>
      <c r="LP43" s="20"/>
      <c r="LQ43" s="20"/>
      <c r="LR43" s="20"/>
      <c r="LS43" s="20"/>
      <c r="LT43" s="20"/>
      <c r="LU43" s="20"/>
      <c r="LV43" s="20"/>
      <c r="LW43" s="20"/>
      <c r="LX43" s="20"/>
    </row>
    <row r="44" spans="1:336" s="24" customFormat="1" x14ac:dyDescent="0.25">
      <c r="A44" s="21" t="s">
        <v>16</v>
      </c>
      <c r="B44" s="22" t="s">
        <v>17</v>
      </c>
      <c r="C44" s="23">
        <v>86643770491</v>
      </c>
      <c r="D44" s="8" t="s">
        <v>106</v>
      </c>
      <c r="E44" s="8">
        <v>2</v>
      </c>
      <c r="F44" s="9" t="s">
        <v>30</v>
      </c>
      <c r="G44" s="10" t="s">
        <v>20</v>
      </c>
      <c r="H44" s="11">
        <v>1</v>
      </c>
      <c r="I44" s="12">
        <v>44</v>
      </c>
      <c r="J44" s="13">
        <v>1462.85</v>
      </c>
      <c r="K44" s="13">
        <v>0</v>
      </c>
      <c r="L44" s="13">
        <v>0</v>
      </c>
      <c r="M44" s="13">
        <f>445.22+160.23+33.87+169.37+726.68+104.94</f>
        <v>1640.31</v>
      </c>
      <c r="N44" s="13">
        <v>0</v>
      </c>
      <c r="O44" s="13">
        <f>2.43+206.8+19.93</f>
        <v>229.16000000000003</v>
      </c>
      <c r="P44" s="14">
        <f t="shared" si="1"/>
        <v>2874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  <c r="IW44" s="20"/>
      <c r="IX44" s="20"/>
      <c r="IY44" s="20"/>
      <c r="IZ44" s="20"/>
      <c r="JA44" s="20"/>
      <c r="JB44" s="20"/>
      <c r="JC44" s="20"/>
      <c r="JD44" s="20"/>
      <c r="JE44" s="20"/>
      <c r="JF44" s="20"/>
      <c r="JG44" s="20"/>
      <c r="JH44" s="20"/>
      <c r="JI44" s="20"/>
      <c r="JJ44" s="20"/>
      <c r="JK44" s="20"/>
      <c r="JL44" s="20"/>
      <c r="JM44" s="20"/>
      <c r="JN44" s="20"/>
      <c r="JO44" s="20"/>
      <c r="JP44" s="20"/>
      <c r="JQ44" s="20"/>
      <c r="JR44" s="20"/>
      <c r="JS44" s="20"/>
      <c r="JT44" s="20"/>
      <c r="JU44" s="20"/>
      <c r="JV44" s="20"/>
      <c r="JW44" s="20"/>
      <c r="JX44" s="20"/>
      <c r="JY44" s="20"/>
      <c r="JZ44" s="20"/>
      <c r="KA44" s="20"/>
      <c r="KB44" s="20"/>
      <c r="KC44" s="20"/>
      <c r="KD44" s="20"/>
      <c r="KE44" s="20"/>
      <c r="KF44" s="20"/>
      <c r="KG44" s="20"/>
      <c r="KH44" s="20"/>
      <c r="KI44" s="20"/>
      <c r="KJ44" s="20"/>
      <c r="KK44" s="20"/>
      <c r="KL44" s="20"/>
      <c r="KM44" s="20"/>
      <c r="KN44" s="20"/>
      <c r="KO44" s="20"/>
      <c r="KP44" s="20"/>
      <c r="KQ44" s="20"/>
      <c r="KR44" s="20"/>
      <c r="KS44" s="20"/>
      <c r="KT44" s="20"/>
      <c r="KU44" s="20"/>
      <c r="KV44" s="20"/>
      <c r="KW44" s="20"/>
      <c r="KX44" s="20"/>
      <c r="KY44" s="20"/>
      <c r="KZ44" s="20"/>
      <c r="LA44" s="20"/>
      <c r="LB44" s="20"/>
      <c r="LC44" s="20"/>
      <c r="LD44" s="20"/>
      <c r="LE44" s="20"/>
      <c r="LF44" s="20"/>
      <c r="LG44" s="20"/>
      <c r="LH44" s="20"/>
      <c r="LI44" s="20"/>
      <c r="LJ44" s="20"/>
      <c r="LK44" s="20"/>
      <c r="LL44" s="20"/>
      <c r="LM44" s="20"/>
      <c r="LN44" s="20"/>
      <c r="LO44" s="20"/>
      <c r="LP44" s="20"/>
      <c r="LQ44" s="20"/>
      <c r="LR44" s="20"/>
      <c r="LS44" s="20"/>
      <c r="LT44" s="20"/>
      <c r="LU44" s="20"/>
      <c r="LV44" s="20"/>
      <c r="LW44" s="20"/>
      <c r="LX44" s="20"/>
    </row>
    <row r="45" spans="1:336" s="24" customFormat="1" x14ac:dyDescent="0.25">
      <c r="A45" s="21" t="s">
        <v>16</v>
      </c>
      <c r="B45" s="22" t="s">
        <v>17</v>
      </c>
      <c r="C45" s="23" t="s">
        <v>107</v>
      </c>
      <c r="D45" s="8" t="s">
        <v>108</v>
      </c>
      <c r="E45" s="8">
        <v>3</v>
      </c>
      <c r="F45" s="25" t="s">
        <v>109</v>
      </c>
      <c r="G45" s="10" t="s">
        <v>20</v>
      </c>
      <c r="H45" s="11">
        <v>1</v>
      </c>
      <c r="I45" s="12">
        <v>44</v>
      </c>
      <c r="J45" s="13">
        <v>1261.3800000000001</v>
      </c>
      <c r="K45" s="13">
        <v>0</v>
      </c>
      <c r="L45" s="13">
        <v>0</v>
      </c>
      <c r="M45" s="13">
        <f>209+43.99+228.73</f>
        <v>481.72</v>
      </c>
      <c r="N45" s="13">
        <v>0</v>
      </c>
      <c r="O45" s="13">
        <f>25.23+141.19+75.68</f>
        <v>242.1</v>
      </c>
      <c r="P45" s="14">
        <f t="shared" si="1"/>
        <v>1501.0000000000002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0"/>
      <c r="IX45" s="20"/>
      <c r="IY45" s="20"/>
      <c r="IZ45" s="20"/>
      <c r="JA45" s="20"/>
      <c r="JB45" s="20"/>
      <c r="JC45" s="20"/>
      <c r="JD45" s="20"/>
      <c r="JE45" s="20"/>
      <c r="JF45" s="20"/>
      <c r="JG45" s="20"/>
      <c r="JH45" s="20"/>
      <c r="JI45" s="20"/>
      <c r="JJ45" s="20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0"/>
      <c r="JV45" s="20"/>
      <c r="JW45" s="20"/>
      <c r="JX45" s="20"/>
      <c r="JY45" s="20"/>
      <c r="JZ45" s="20"/>
      <c r="KA45" s="20"/>
      <c r="KB45" s="20"/>
      <c r="KC45" s="20"/>
      <c r="KD45" s="20"/>
      <c r="KE45" s="20"/>
      <c r="KF45" s="20"/>
      <c r="KG45" s="20"/>
      <c r="KH45" s="20"/>
      <c r="KI45" s="20"/>
      <c r="KJ45" s="20"/>
      <c r="KK45" s="20"/>
      <c r="KL45" s="20"/>
      <c r="KM45" s="20"/>
      <c r="KN45" s="20"/>
      <c r="KO45" s="20"/>
      <c r="KP45" s="20"/>
      <c r="KQ45" s="20"/>
      <c r="KR45" s="20"/>
      <c r="KS45" s="20"/>
      <c r="KT45" s="20"/>
      <c r="KU45" s="20"/>
      <c r="KV45" s="20"/>
      <c r="KW45" s="20"/>
      <c r="KX45" s="20"/>
      <c r="KY45" s="20"/>
      <c r="KZ45" s="20"/>
      <c r="LA45" s="20"/>
      <c r="LB45" s="20"/>
      <c r="LC45" s="20"/>
      <c r="LD45" s="20"/>
      <c r="LE45" s="20"/>
      <c r="LF45" s="20"/>
      <c r="LG45" s="20"/>
      <c r="LH45" s="20"/>
      <c r="LI45" s="20"/>
      <c r="LJ45" s="20"/>
      <c r="LK45" s="20"/>
      <c r="LL45" s="20"/>
      <c r="LM45" s="20"/>
      <c r="LN45" s="20"/>
      <c r="LO45" s="20"/>
      <c r="LP45" s="20"/>
      <c r="LQ45" s="20"/>
      <c r="LR45" s="20"/>
      <c r="LS45" s="20"/>
      <c r="LT45" s="20"/>
      <c r="LU45" s="20"/>
      <c r="LV45" s="20"/>
      <c r="LW45" s="20"/>
      <c r="LX45" s="20"/>
    </row>
    <row r="46" spans="1:336" s="24" customFormat="1" x14ac:dyDescent="0.25">
      <c r="A46" s="21" t="s">
        <v>16</v>
      </c>
      <c r="B46" s="22" t="s">
        <v>17</v>
      </c>
      <c r="C46" s="23" t="s">
        <v>110</v>
      </c>
      <c r="D46" s="8" t="s">
        <v>111</v>
      </c>
      <c r="E46" s="8">
        <v>2</v>
      </c>
      <c r="F46" s="9" t="s">
        <v>19</v>
      </c>
      <c r="G46" s="10" t="s">
        <v>20</v>
      </c>
      <c r="H46" s="11">
        <v>1</v>
      </c>
      <c r="I46" s="12">
        <v>44</v>
      </c>
      <c r="J46" s="13">
        <v>484.96</v>
      </c>
      <c r="K46" s="13">
        <v>0</v>
      </c>
      <c r="L46" s="13">
        <v>0</v>
      </c>
      <c r="M46" s="13">
        <f>83.6+1342.62</f>
        <v>1426.2199999999998</v>
      </c>
      <c r="N46" s="13">
        <v>0</v>
      </c>
      <c r="O46" s="13">
        <f>24.25+1342.65+51.17+105.15+48.3</f>
        <v>1571.5200000000002</v>
      </c>
      <c r="P46" s="14">
        <f t="shared" si="1"/>
        <v>339.65999999999963</v>
      </c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0"/>
      <c r="IX46" s="20"/>
      <c r="IY46" s="20"/>
      <c r="IZ46" s="20"/>
      <c r="JA46" s="20"/>
      <c r="JB46" s="20"/>
      <c r="JC46" s="20"/>
      <c r="JD46" s="20"/>
      <c r="JE46" s="20"/>
      <c r="JF46" s="20"/>
      <c r="JG46" s="20"/>
      <c r="JH46" s="20"/>
      <c r="JI46" s="20"/>
      <c r="JJ46" s="20"/>
      <c r="JK46" s="20"/>
      <c r="JL46" s="20"/>
      <c r="JM46" s="20"/>
      <c r="JN46" s="20"/>
      <c r="JO46" s="20"/>
      <c r="JP46" s="20"/>
      <c r="JQ46" s="20"/>
      <c r="JR46" s="20"/>
      <c r="JS46" s="20"/>
      <c r="JT46" s="20"/>
      <c r="JU46" s="20"/>
      <c r="JV46" s="20"/>
      <c r="JW46" s="20"/>
      <c r="JX46" s="20"/>
      <c r="JY46" s="20"/>
      <c r="JZ46" s="20"/>
      <c r="KA46" s="20"/>
      <c r="KB46" s="20"/>
      <c r="KC46" s="20"/>
      <c r="KD46" s="20"/>
      <c r="KE46" s="20"/>
      <c r="KF46" s="20"/>
      <c r="KG46" s="20"/>
      <c r="KH46" s="20"/>
      <c r="KI46" s="20"/>
      <c r="KJ46" s="20"/>
      <c r="KK46" s="20"/>
      <c r="KL46" s="20"/>
      <c r="KM46" s="20"/>
      <c r="KN46" s="20"/>
      <c r="KO46" s="20"/>
      <c r="KP46" s="20"/>
      <c r="KQ46" s="20"/>
      <c r="KR46" s="20"/>
      <c r="KS46" s="20"/>
      <c r="KT46" s="20"/>
      <c r="KU46" s="20"/>
      <c r="KV46" s="20"/>
      <c r="KW46" s="20"/>
      <c r="KX46" s="20"/>
      <c r="KY46" s="20"/>
      <c r="KZ46" s="20"/>
      <c r="LA46" s="20"/>
      <c r="LB46" s="20"/>
      <c r="LC46" s="20"/>
      <c r="LD46" s="20"/>
      <c r="LE46" s="20"/>
      <c r="LF46" s="20"/>
      <c r="LG46" s="20"/>
      <c r="LH46" s="20"/>
      <c r="LI46" s="20"/>
      <c r="LJ46" s="20"/>
      <c r="LK46" s="20"/>
      <c r="LL46" s="20"/>
      <c r="LM46" s="20"/>
      <c r="LN46" s="20"/>
      <c r="LO46" s="20"/>
      <c r="LP46" s="20"/>
      <c r="LQ46" s="20"/>
      <c r="LR46" s="20"/>
      <c r="LS46" s="20"/>
      <c r="LT46" s="20"/>
      <c r="LU46" s="20"/>
      <c r="LV46" s="20"/>
      <c r="LW46" s="20"/>
      <c r="LX46" s="20"/>
    </row>
    <row r="47" spans="1:336" s="24" customFormat="1" x14ac:dyDescent="0.25">
      <c r="A47" s="21" t="s">
        <v>16</v>
      </c>
      <c r="B47" s="22" t="s">
        <v>17</v>
      </c>
      <c r="C47" s="23" t="s">
        <v>112</v>
      </c>
      <c r="D47" s="8" t="s">
        <v>113</v>
      </c>
      <c r="E47" s="8">
        <v>3</v>
      </c>
      <c r="F47" s="9" t="s">
        <v>23</v>
      </c>
      <c r="G47" s="10" t="s">
        <v>20</v>
      </c>
      <c r="H47" s="11">
        <v>1</v>
      </c>
      <c r="I47" s="12">
        <v>44</v>
      </c>
      <c r="J47" s="13">
        <v>1045</v>
      </c>
      <c r="K47" s="13">
        <v>0</v>
      </c>
      <c r="L47" s="13">
        <v>0</v>
      </c>
      <c r="M47" s="13">
        <f>209+45.55+236.87</f>
        <v>491.42</v>
      </c>
      <c r="N47" s="13">
        <v>0</v>
      </c>
      <c r="O47" s="13">
        <f>20.9+122.59+62.7</f>
        <v>206.19</v>
      </c>
      <c r="P47" s="14">
        <f t="shared" si="1"/>
        <v>1330.23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  <c r="IX47" s="20"/>
      <c r="IY47" s="20"/>
      <c r="IZ47" s="20"/>
      <c r="JA47" s="20"/>
      <c r="JB47" s="20"/>
      <c r="JC47" s="20"/>
      <c r="JD47" s="20"/>
      <c r="JE47" s="20"/>
      <c r="JF47" s="20"/>
      <c r="JG47" s="20"/>
      <c r="JH47" s="20"/>
      <c r="JI47" s="20"/>
      <c r="JJ47" s="20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0"/>
      <c r="JX47" s="20"/>
      <c r="JY47" s="20"/>
      <c r="JZ47" s="20"/>
      <c r="KA47" s="20"/>
      <c r="KB47" s="20"/>
      <c r="KC47" s="20"/>
      <c r="KD47" s="20"/>
      <c r="KE47" s="20"/>
      <c r="KF47" s="20"/>
      <c r="KG47" s="20"/>
      <c r="KH47" s="20"/>
      <c r="KI47" s="20"/>
      <c r="KJ47" s="20"/>
      <c r="KK47" s="20"/>
      <c r="KL47" s="20"/>
      <c r="KM47" s="20"/>
      <c r="KN47" s="20"/>
      <c r="KO47" s="20"/>
      <c r="KP47" s="20"/>
      <c r="KQ47" s="20"/>
      <c r="KR47" s="20"/>
      <c r="KS47" s="20"/>
      <c r="KT47" s="20"/>
      <c r="KU47" s="20"/>
      <c r="KV47" s="20"/>
      <c r="KW47" s="20"/>
      <c r="KX47" s="20"/>
      <c r="KY47" s="20"/>
      <c r="KZ47" s="20"/>
      <c r="LA47" s="20"/>
      <c r="LB47" s="20"/>
      <c r="LC47" s="20"/>
      <c r="LD47" s="20"/>
      <c r="LE47" s="20"/>
      <c r="LF47" s="20"/>
      <c r="LG47" s="20"/>
      <c r="LH47" s="20"/>
      <c r="LI47" s="20"/>
      <c r="LJ47" s="20"/>
      <c r="LK47" s="20"/>
      <c r="LL47" s="20"/>
      <c r="LM47" s="20"/>
      <c r="LN47" s="20"/>
      <c r="LO47" s="20"/>
      <c r="LP47" s="20"/>
      <c r="LQ47" s="20"/>
      <c r="LR47" s="20"/>
      <c r="LS47" s="20"/>
      <c r="LT47" s="20"/>
      <c r="LU47" s="20"/>
      <c r="LV47" s="20"/>
      <c r="LW47" s="20"/>
      <c r="LX47" s="20"/>
    </row>
    <row r="48" spans="1:336" s="24" customFormat="1" x14ac:dyDescent="0.25">
      <c r="A48" s="21" t="s">
        <v>16</v>
      </c>
      <c r="B48" s="22" t="s">
        <v>17</v>
      </c>
      <c r="C48" s="23" t="s">
        <v>114</v>
      </c>
      <c r="D48" s="16" t="s">
        <v>115</v>
      </c>
      <c r="E48" s="8">
        <v>2</v>
      </c>
      <c r="F48" s="26" t="s">
        <v>74</v>
      </c>
      <c r="G48" s="10" t="s">
        <v>20</v>
      </c>
      <c r="H48" s="11">
        <v>1</v>
      </c>
      <c r="I48" s="12">
        <v>44</v>
      </c>
      <c r="J48" s="13">
        <v>3132.6</v>
      </c>
      <c r="K48" s="13">
        <v>0</v>
      </c>
      <c r="L48" s="13">
        <v>0</v>
      </c>
      <c r="M48" s="13">
        <f>892+209</f>
        <v>1101</v>
      </c>
      <c r="N48" s="13">
        <v>0</v>
      </c>
      <c r="O48" s="13">
        <f>14.92+451.63+214.81</f>
        <v>681.36</v>
      </c>
      <c r="P48" s="14">
        <f t="shared" si="1"/>
        <v>3552.2400000000002</v>
      </c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  <c r="IW48" s="20"/>
      <c r="IX48" s="20"/>
      <c r="IY48" s="20"/>
      <c r="IZ48" s="20"/>
      <c r="JA48" s="20"/>
      <c r="JB48" s="20"/>
      <c r="JC48" s="20"/>
      <c r="JD48" s="20"/>
      <c r="JE48" s="20"/>
      <c r="JF48" s="20"/>
      <c r="JG48" s="20"/>
      <c r="JH48" s="20"/>
      <c r="JI48" s="20"/>
      <c r="JJ48" s="20"/>
      <c r="JK48" s="20"/>
      <c r="JL48" s="20"/>
      <c r="JM48" s="20"/>
      <c r="JN48" s="20"/>
      <c r="JO48" s="20"/>
      <c r="JP48" s="20"/>
      <c r="JQ48" s="20"/>
      <c r="JR48" s="20"/>
      <c r="JS48" s="20"/>
      <c r="JT48" s="20"/>
      <c r="JU48" s="20"/>
      <c r="JV48" s="20"/>
      <c r="JW48" s="20"/>
      <c r="JX48" s="20"/>
      <c r="JY48" s="20"/>
      <c r="JZ48" s="20"/>
      <c r="KA48" s="20"/>
      <c r="KB48" s="20"/>
      <c r="KC48" s="20"/>
      <c r="KD48" s="20"/>
      <c r="KE48" s="20"/>
      <c r="KF48" s="20"/>
      <c r="KG48" s="20"/>
      <c r="KH48" s="20"/>
      <c r="KI48" s="20"/>
      <c r="KJ48" s="20"/>
      <c r="KK48" s="20"/>
      <c r="KL48" s="20"/>
      <c r="KM48" s="20"/>
      <c r="KN48" s="20"/>
      <c r="KO48" s="20"/>
      <c r="KP48" s="20"/>
      <c r="KQ48" s="20"/>
      <c r="KR48" s="20"/>
      <c r="KS48" s="20"/>
      <c r="KT48" s="20"/>
      <c r="KU48" s="20"/>
      <c r="KV48" s="20"/>
      <c r="KW48" s="20"/>
      <c r="KX48" s="20"/>
      <c r="KY48" s="20"/>
      <c r="KZ48" s="20"/>
      <c r="LA48" s="20"/>
      <c r="LB48" s="20"/>
      <c r="LC48" s="20"/>
      <c r="LD48" s="20"/>
      <c r="LE48" s="20"/>
      <c r="LF48" s="20"/>
      <c r="LG48" s="20"/>
      <c r="LH48" s="20"/>
      <c r="LI48" s="20"/>
      <c r="LJ48" s="20"/>
      <c r="LK48" s="20"/>
      <c r="LL48" s="20"/>
      <c r="LM48" s="20"/>
      <c r="LN48" s="20"/>
      <c r="LO48" s="20"/>
      <c r="LP48" s="20"/>
      <c r="LQ48" s="20"/>
      <c r="LR48" s="20"/>
      <c r="LS48" s="20"/>
      <c r="LT48" s="20"/>
      <c r="LU48" s="20"/>
      <c r="LV48" s="20"/>
      <c r="LW48" s="20"/>
      <c r="LX48" s="20"/>
    </row>
    <row r="49" spans="1:336" s="24" customFormat="1" x14ac:dyDescent="0.25">
      <c r="A49" s="21" t="s">
        <v>16</v>
      </c>
      <c r="B49" s="22" t="s">
        <v>17</v>
      </c>
      <c r="C49" s="23" t="s">
        <v>116</v>
      </c>
      <c r="D49" s="8" t="s">
        <v>117</v>
      </c>
      <c r="E49" s="8">
        <v>2</v>
      </c>
      <c r="F49" s="9" t="s">
        <v>19</v>
      </c>
      <c r="G49" s="10" t="s">
        <v>20</v>
      </c>
      <c r="H49" s="11">
        <v>1</v>
      </c>
      <c r="I49" s="12">
        <v>44</v>
      </c>
      <c r="J49" s="13">
        <v>1212.4000000000001</v>
      </c>
      <c r="K49" s="13">
        <v>0</v>
      </c>
      <c r="L49" s="13">
        <v>0</v>
      </c>
      <c r="M49" s="13">
        <f>209+64</f>
        <v>273</v>
      </c>
      <c r="N49" s="13">
        <v>0</v>
      </c>
      <c r="O49" s="13">
        <f>24.25+112.24+72.74</f>
        <v>209.23000000000002</v>
      </c>
      <c r="P49" s="14">
        <f t="shared" si="1"/>
        <v>1276.17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  <c r="IW49" s="20"/>
      <c r="IX49" s="20"/>
      <c r="IY49" s="20"/>
      <c r="IZ49" s="20"/>
      <c r="JA49" s="20"/>
      <c r="JB49" s="20"/>
      <c r="JC49" s="20"/>
      <c r="JD49" s="20"/>
      <c r="JE49" s="20"/>
      <c r="JF49" s="20"/>
      <c r="JG49" s="20"/>
      <c r="JH49" s="20"/>
      <c r="JI49" s="20"/>
      <c r="JJ49" s="20"/>
      <c r="JK49" s="20"/>
      <c r="JL49" s="20"/>
      <c r="JM49" s="20"/>
      <c r="JN49" s="20"/>
      <c r="JO49" s="20"/>
      <c r="JP49" s="20"/>
      <c r="JQ49" s="20"/>
      <c r="JR49" s="20"/>
      <c r="JS49" s="20"/>
      <c r="JT49" s="20"/>
      <c r="JU49" s="20"/>
      <c r="JV49" s="20"/>
      <c r="JW49" s="20"/>
      <c r="JX49" s="20"/>
      <c r="JY49" s="20"/>
      <c r="JZ49" s="20"/>
      <c r="KA49" s="20"/>
      <c r="KB49" s="20"/>
      <c r="KC49" s="20"/>
      <c r="KD49" s="20"/>
      <c r="KE49" s="20"/>
      <c r="KF49" s="20"/>
      <c r="KG49" s="20"/>
      <c r="KH49" s="20"/>
      <c r="KI49" s="20"/>
      <c r="KJ49" s="20"/>
      <c r="KK49" s="20"/>
      <c r="KL49" s="20"/>
      <c r="KM49" s="20"/>
      <c r="KN49" s="20"/>
      <c r="KO49" s="20"/>
      <c r="KP49" s="20"/>
      <c r="KQ49" s="20"/>
      <c r="KR49" s="20"/>
      <c r="KS49" s="20"/>
      <c r="KT49" s="20"/>
      <c r="KU49" s="20"/>
      <c r="KV49" s="20"/>
      <c r="KW49" s="20"/>
      <c r="KX49" s="20"/>
      <c r="KY49" s="20"/>
      <c r="KZ49" s="20"/>
      <c r="LA49" s="20"/>
      <c r="LB49" s="20"/>
      <c r="LC49" s="20"/>
      <c r="LD49" s="20"/>
      <c r="LE49" s="20"/>
      <c r="LF49" s="20"/>
      <c r="LG49" s="20"/>
      <c r="LH49" s="20"/>
      <c r="LI49" s="20"/>
      <c r="LJ49" s="20"/>
      <c r="LK49" s="20"/>
      <c r="LL49" s="20"/>
      <c r="LM49" s="20"/>
      <c r="LN49" s="20"/>
      <c r="LO49" s="20"/>
      <c r="LP49" s="20"/>
      <c r="LQ49" s="20"/>
      <c r="LR49" s="20"/>
      <c r="LS49" s="20"/>
      <c r="LT49" s="20"/>
      <c r="LU49" s="20"/>
      <c r="LV49" s="20"/>
      <c r="LW49" s="20"/>
      <c r="LX49" s="20"/>
    </row>
    <row r="50" spans="1:336" s="24" customFormat="1" x14ac:dyDescent="0.25">
      <c r="A50" s="21" t="s">
        <v>16</v>
      </c>
      <c r="B50" s="22" t="s">
        <v>17</v>
      </c>
      <c r="C50" s="23" t="s">
        <v>118</v>
      </c>
      <c r="D50" s="8" t="s">
        <v>119</v>
      </c>
      <c r="E50" s="8">
        <v>2</v>
      </c>
      <c r="F50" s="18" t="s">
        <v>30</v>
      </c>
      <c r="G50" s="10" t="s">
        <v>20</v>
      </c>
      <c r="H50" s="11">
        <v>1</v>
      </c>
      <c r="I50" s="12">
        <v>44</v>
      </c>
      <c r="J50" s="13">
        <v>1771.76</v>
      </c>
      <c r="K50" s="13">
        <v>0</v>
      </c>
      <c r="L50" s="13">
        <v>0</v>
      </c>
      <c r="M50" s="13">
        <f>209+12.7+66.03+122.68</f>
        <v>410.41</v>
      </c>
      <c r="N50" s="13">
        <v>0</v>
      </c>
      <c r="O50" s="13">
        <f>2.43+169.67</f>
        <v>172.1</v>
      </c>
      <c r="P50" s="14">
        <f t="shared" si="1"/>
        <v>2010.0700000000002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  <c r="IW50" s="20"/>
      <c r="IX50" s="20"/>
      <c r="IY50" s="20"/>
      <c r="IZ50" s="20"/>
      <c r="JA50" s="20"/>
      <c r="JB50" s="20"/>
      <c r="JC50" s="20"/>
      <c r="JD50" s="20"/>
      <c r="JE50" s="20"/>
      <c r="JF50" s="20"/>
      <c r="JG50" s="20"/>
      <c r="JH50" s="20"/>
      <c r="JI50" s="20"/>
      <c r="JJ50" s="20"/>
      <c r="JK50" s="20"/>
      <c r="JL50" s="20"/>
      <c r="JM50" s="20"/>
      <c r="JN50" s="20"/>
      <c r="JO50" s="20"/>
      <c r="JP50" s="20"/>
      <c r="JQ50" s="20"/>
      <c r="JR50" s="20"/>
      <c r="JS50" s="20"/>
      <c r="JT50" s="20"/>
      <c r="JU50" s="20"/>
      <c r="JV50" s="20"/>
      <c r="JW50" s="20"/>
      <c r="JX50" s="20"/>
      <c r="JY50" s="20"/>
      <c r="JZ50" s="20"/>
      <c r="KA50" s="20"/>
      <c r="KB50" s="20"/>
      <c r="KC50" s="20"/>
      <c r="KD50" s="20"/>
      <c r="KE50" s="20"/>
      <c r="KF50" s="20"/>
      <c r="KG50" s="20"/>
      <c r="KH50" s="20"/>
      <c r="KI50" s="20"/>
      <c r="KJ50" s="20"/>
      <c r="KK50" s="20"/>
      <c r="KL50" s="20"/>
      <c r="KM50" s="20"/>
      <c r="KN50" s="20"/>
      <c r="KO50" s="20"/>
      <c r="KP50" s="20"/>
      <c r="KQ50" s="20"/>
      <c r="KR50" s="20"/>
      <c r="KS50" s="20"/>
      <c r="KT50" s="20"/>
      <c r="KU50" s="20"/>
      <c r="KV50" s="20"/>
      <c r="KW50" s="20"/>
      <c r="KX50" s="20"/>
      <c r="KY50" s="20"/>
      <c r="KZ50" s="20"/>
      <c r="LA50" s="20"/>
      <c r="LB50" s="20"/>
      <c r="LC50" s="20"/>
      <c r="LD50" s="20"/>
      <c r="LE50" s="20"/>
      <c r="LF50" s="20"/>
      <c r="LG50" s="20"/>
      <c r="LH50" s="20"/>
      <c r="LI50" s="20"/>
      <c r="LJ50" s="20"/>
      <c r="LK50" s="20"/>
      <c r="LL50" s="20"/>
      <c r="LM50" s="20"/>
      <c r="LN50" s="20"/>
      <c r="LO50" s="20"/>
      <c r="LP50" s="20"/>
      <c r="LQ50" s="20"/>
      <c r="LR50" s="20"/>
      <c r="LS50" s="20"/>
      <c r="LT50" s="20"/>
      <c r="LU50" s="20"/>
      <c r="LV50" s="20"/>
      <c r="LW50" s="20"/>
      <c r="LX50" s="20"/>
    </row>
    <row r="51" spans="1:336" s="24" customFormat="1" x14ac:dyDescent="0.25">
      <c r="A51" s="21" t="s">
        <v>16</v>
      </c>
      <c r="B51" s="22" t="s">
        <v>17</v>
      </c>
      <c r="C51" s="23" t="s">
        <v>120</v>
      </c>
      <c r="D51" s="8" t="s">
        <v>121</v>
      </c>
      <c r="E51" s="8">
        <v>2</v>
      </c>
      <c r="F51" s="9" t="s">
        <v>35</v>
      </c>
      <c r="G51" s="10" t="s">
        <v>20</v>
      </c>
      <c r="H51" s="11">
        <v>1</v>
      </c>
      <c r="I51" s="12">
        <v>44</v>
      </c>
      <c r="J51" s="13">
        <v>2030.47</v>
      </c>
      <c r="K51" s="13">
        <v>0</v>
      </c>
      <c r="L51" s="13">
        <v>0</v>
      </c>
      <c r="M51" s="13">
        <f>54.67+284.27+812.19</f>
        <v>1151.1300000000001</v>
      </c>
      <c r="N51" s="13">
        <v>0</v>
      </c>
      <c r="O51" s="13">
        <f>304.35+58.77</f>
        <v>363.12</v>
      </c>
      <c r="P51" s="14">
        <f t="shared" si="1"/>
        <v>2818.4800000000005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0"/>
      <c r="IX51" s="20"/>
      <c r="IY51" s="20"/>
      <c r="IZ51" s="20"/>
      <c r="JA51" s="20"/>
      <c r="JB51" s="20"/>
      <c r="JC51" s="20"/>
      <c r="JD51" s="20"/>
      <c r="JE51" s="20"/>
      <c r="JF51" s="20"/>
      <c r="JG51" s="20"/>
      <c r="JH51" s="20"/>
      <c r="JI51" s="20"/>
      <c r="JJ51" s="20"/>
      <c r="JK51" s="20"/>
      <c r="JL51" s="20"/>
      <c r="JM51" s="20"/>
      <c r="JN51" s="20"/>
      <c r="JO51" s="20"/>
      <c r="JP51" s="20"/>
      <c r="JQ51" s="20"/>
      <c r="JR51" s="20"/>
      <c r="JS51" s="20"/>
      <c r="JT51" s="20"/>
      <c r="JU51" s="20"/>
      <c r="JV51" s="20"/>
      <c r="JW51" s="20"/>
      <c r="JX51" s="20"/>
      <c r="JY51" s="20"/>
      <c r="JZ51" s="20"/>
      <c r="KA51" s="20"/>
      <c r="KB51" s="20"/>
      <c r="KC51" s="20"/>
      <c r="KD51" s="20"/>
      <c r="KE51" s="20"/>
      <c r="KF51" s="20"/>
      <c r="KG51" s="20"/>
      <c r="KH51" s="20"/>
      <c r="KI51" s="20"/>
      <c r="KJ51" s="20"/>
      <c r="KK51" s="20"/>
      <c r="KL51" s="20"/>
      <c r="KM51" s="20"/>
      <c r="KN51" s="20"/>
      <c r="KO51" s="20"/>
      <c r="KP51" s="20"/>
      <c r="KQ51" s="20"/>
      <c r="KR51" s="20"/>
      <c r="KS51" s="20"/>
      <c r="KT51" s="20"/>
      <c r="KU51" s="20"/>
      <c r="KV51" s="20"/>
      <c r="KW51" s="20"/>
      <c r="KX51" s="20"/>
      <c r="KY51" s="20"/>
      <c r="KZ51" s="20"/>
      <c r="LA51" s="20"/>
      <c r="LB51" s="20"/>
      <c r="LC51" s="20"/>
      <c r="LD51" s="20"/>
      <c r="LE51" s="20"/>
      <c r="LF51" s="20"/>
      <c r="LG51" s="20"/>
      <c r="LH51" s="20"/>
      <c r="LI51" s="20"/>
      <c r="LJ51" s="20"/>
      <c r="LK51" s="20"/>
      <c r="LL51" s="20"/>
      <c r="LM51" s="20"/>
      <c r="LN51" s="20"/>
      <c r="LO51" s="20"/>
      <c r="LP51" s="20"/>
      <c r="LQ51" s="20"/>
      <c r="LR51" s="20"/>
      <c r="LS51" s="20"/>
      <c r="LT51" s="20"/>
      <c r="LU51" s="20"/>
      <c r="LV51" s="20"/>
      <c r="LW51" s="20"/>
      <c r="LX51" s="20"/>
    </row>
    <row r="52" spans="1:336" s="24" customFormat="1" x14ac:dyDescent="0.25">
      <c r="A52" s="21" t="s">
        <v>16</v>
      </c>
      <c r="B52" s="22" t="s">
        <v>17</v>
      </c>
      <c r="C52" s="23" t="s">
        <v>122</v>
      </c>
      <c r="D52" s="8" t="s">
        <v>123</v>
      </c>
      <c r="E52" s="8">
        <v>3</v>
      </c>
      <c r="F52" s="9" t="s">
        <v>124</v>
      </c>
      <c r="G52" s="10" t="s">
        <v>20</v>
      </c>
      <c r="H52" s="11">
        <v>2</v>
      </c>
      <c r="I52" s="12">
        <v>44</v>
      </c>
      <c r="J52" s="13">
        <v>5175</v>
      </c>
      <c r="K52" s="13">
        <v>0</v>
      </c>
      <c r="L52" s="13">
        <v>0</v>
      </c>
      <c r="M52" s="13">
        <v>209</v>
      </c>
      <c r="N52" s="13">
        <v>0</v>
      </c>
      <c r="O52" s="13">
        <f>612.69+442.75</f>
        <v>1055.44</v>
      </c>
      <c r="P52" s="14">
        <f t="shared" si="1"/>
        <v>4328.5599999999995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  <c r="KM52" s="20"/>
      <c r="KN52" s="20"/>
      <c r="KO52" s="20"/>
      <c r="KP52" s="20"/>
      <c r="KQ52" s="20"/>
      <c r="KR52" s="20"/>
      <c r="KS52" s="20"/>
      <c r="KT52" s="20"/>
      <c r="KU52" s="20"/>
      <c r="KV52" s="20"/>
      <c r="KW52" s="20"/>
      <c r="KX52" s="20"/>
      <c r="KY52" s="20"/>
      <c r="KZ52" s="20"/>
      <c r="LA52" s="20"/>
      <c r="LB52" s="20"/>
      <c r="LC52" s="20"/>
      <c r="LD52" s="20"/>
      <c r="LE52" s="20"/>
      <c r="LF52" s="20"/>
      <c r="LG52" s="20"/>
      <c r="LH52" s="20"/>
      <c r="LI52" s="20"/>
      <c r="LJ52" s="20"/>
      <c r="LK52" s="20"/>
      <c r="LL52" s="20"/>
      <c r="LM52" s="20"/>
      <c r="LN52" s="20"/>
      <c r="LO52" s="20"/>
      <c r="LP52" s="20"/>
      <c r="LQ52" s="20"/>
      <c r="LR52" s="20"/>
      <c r="LS52" s="20"/>
      <c r="LT52" s="20"/>
      <c r="LU52" s="20"/>
      <c r="LV52" s="20"/>
      <c r="LW52" s="20"/>
      <c r="LX52" s="20"/>
    </row>
    <row r="53" spans="1:336" s="24" customFormat="1" x14ac:dyDescent="0.25">
      <c r="A53" s="21" t="s">
        <v>16</v>
      </c>
      <c r="B53" s="22" t="s">
        <v>17</v>
      </c>
      <c r="C53" s="23" t="s">
        <v>125</v>
      </c>
      <c r="D53" s="16" t="s">
        <v>126</v>
      </c>
      <c r="E53" s="8">
        <v>3</v>
      </c>
      <c r="F53" s="25" t="s">
        <v>109</v>
      </c>
      <c r="G53" s="10" t="s">
        <v>20</v>
      </c>
      <c r="H53" s="11">
        <v>1</v>
      </c>
      <c r="I53" s="12">
        <v>44</v>
      </c>
      <c r="J53" s="13">
        <v>1261.3800000000001</v>
      </c>
      <c r="K53" s="13">
        <v>0</v>
      </c>
      <c r="L53" s="13">
        <v>0</v>
      </c>
      <c r="M53" s="13">
        <f>209+64+47.13+245.06</f>
        <v>565.19000000000005</v>
      </c>
      <c r="N53" s="13">
        <v>0</v>
      </c>
      <c r="O53" s="13">
        <f>25.23+142.95+75.68</f>
        <v>243.85999999999999</v>
      </c>
      <c r="P53" s="14">
        <f t="shared" si="1"/>
        <v>1582.7100000000003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  <c r="IW53" s="20"/>
      <c r="IX53" s="20"/>
      <c r="IY53" s="20"/>
      <c r="IZ53" s="20"/>
      <c r="JA53" s="20"/>
      <c r="JB53" s="20"/>
      <c r="JC53" s="20"/>
      <c r="JD53" s="20"/>
      <c r="JE53" s="20"/>
      <c r="JF53" s="20"/>
      <c r="JG53" s="20"/>
      <c r="JH53" s="20"/>
      <c r="JI53" s="20"/>
      <c r="JJ53" s="20"/>
      <c r="JK53" s="20"/>
      <c r="JL53" s="20"/>
      <c r="JM53" s="20"/>
      <c r="JN53" s="20"/>
      <c r="JO53" s="20"/>
      <c r="JP53" s="20"/>
      <c r="JQ53" s="20"/>
      <c r="JR53" s="20"/>
      <c r="JS53" s="20"/>
      <c r="JT53" s="20"/>
      <c r="JU53" s="20"/>
      <c r="JV53" s="20"/>
      <c r="JW53" s="20"/>
      <c r="JX53" s="20"/>
      <c r="JY53" s="20"/>
      <c r="JZ53" s="20"/>
      <c r="KA53" s="20"/>
      <c r="KB53" s="20"/>
      <c r="KC53" s="20"/>
      <c r="KD53" s="20"/>
      <c r="KE53" s="20"/>
      <c r="KF53" s="20"/>
      <c r="KG53" s="20"/>
      <c r="KH53" s="20"/>
      <c r="KI53" s="20"/>
      <c r="KJ53" s="20"/>
      <c r="KK53" s="20"/>
      <c r="KL53" s="20"/>
      <c r="KM53" s="20"/>
      <c r="KN53" s="20"/>
      <c r="KO53" s="20"/>
      <c r="KP53" s="20"/>
      <c r="KQ53" s="20"/>
      <c r="KR53" s="20"/>
      <c r="KS53" s="20"/>
      <c r="KT53" s="20"/>
      <c r="KU53" s="20"/>
      <c r="KV53" s="20"/>
      <c r="KW53" s="20"/>
      <c r="KX53" s="20"/>
      <c r="KY53" s="20"/>
      <c r="KZ53" s="20"/>
      <c r="LA53" s="20"/>
      <c r="LB53" s="20"/>
      <c r="LC53" s="20"/>
      <c r="LD53" s="20"/>
      <c r="LE53" s="20"/>
      <c r="LF53" s="20"/>
      <c r="LG53" s="20"/>
      <c r="LH53" s="20"/>
      <c r="LI53" s="20"/>
      <c r="LJ53" s="20"/>
      <c r="LK53" s="20"/>
      <c r="LL53" s="20"/>
      <c r="LM53" s="20"/>
      <c r="LN53" s="20"/>
      <c r="LO53" s="20"/>
      <c r="LP53" s="20"/>
      <c r="LQ53" s="20"/>
      <c r="LR53" s="20"/>
      <c r="LS53" s="20"/>
      <c r="LT53" s="20"/>
      <c r="LU53" s="20"/>
      <c r="LV53" s="20"/>
      <c r="LW53" s="20"/>
      <c r="LX53" s="20"/>
    </row>
    <row r="54" spans="1:336" s="24" customFormat="1" x14ac:dyDescent="0.25">
      <c r="A54" s="21" t="s">
        <v>16</v>
      </c>
      <c r="B54" s="22" t="s">
        <v>17</v>
      </c>
      <c r="C54" s="23">
        <v>39960544400</v>
      </c>
      <c r="D54" s="8" t="s">
        <v>127</v>
      </c>
      <c r="E54" s="8">
        <v>2</v>
      </c>
      <c r="F54" s="9" t="s">
        <v>35</v>
      </c>
      <c r="G54" s="10" t="s">
        <v>20</v>
      </c>
      <c r="H54" s="11">
        <v>1</v>
      </c>
      <c r="I54" s="12">
        <v>44</v>
      </c>
      <c r="J54" s="13">
        <v>2030.47</v>
      </c>
      <c r="K54" s="13">
        <v>0</v>
      </c>
      <c r="L54" s="13">
        <v>0</v>
      </c>
      <c r="M54" s="13">
        <f>54.67+284.27+812.19</f>
        <v>1151.1300000000001</v>
      </c>
      <c r="N54" s="13">
        <v>0</v>
      </c>
      <c r="O54" s="13">
        <f>304.35+76.79</f>
        <v>381.14000000000004</v>
      </c>
      <c r="P54" s="14">
        <f t="shared" si="1"/>
        <v>2800.4600000000005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  <c r="JH54" s="20"/>
      <c r="JI54" s="20"/>
      <c r="JJ54" s="20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0"/>
      <c r="JX54" s="20"/>
      <c r="JY54" s="20"/>
      <c r="JZ54" s="20"/>
      <c r="KA54" s="20"/>
      <c r="KB54" s="20"/>
      <c r="KC54" s="20"/>
      <c r="KD54" s="20"/>
      <c r="KE54" s="20"/>
      <c r="KF54" s="20"/>
      <c r="KG54" s="20"/>
      <c r="KH54" s="20"/>
      <c r="KI54" s="20"/>
      <c r="KJ54" s="20"/>
      <c r="KK54" s="20"/>
      <c r="KL54" s="20"/>
      <c r="KM54" s="20"/>
      <c r="KN54" s="20"/>
      <c r="KO54" s="20"/>
      <c r="KP54" s="20"/>
      <c r="KQ54" s="20"/>
      <c r="KR54" s="20"/>
      <c r="KS54" s="20"/>
      <c r="KT54" s="20"/>
      <c r="KU54" s="20"/>
      <c r="KV54" s="20"/>
      <c r="KW54" s="20"/>
      <c r="KX54" s="20"/>
      <c r="KY54" s="20"/>
      <c r="KZ54" s="20"/>
      <c r="LA54" s="20"/>
      <c r="LB54" s="20"/>
      <c r="LC54" s="20"/>
      <c r="LD54" s="20"/>
      <c r="LE54" s="20"/>
      <c r="LF54" s="20"/>
      <c r="LG54" s="20"/>
      <c r="LH54" s="20"/>
      <c r="LI54" s="20"/>
      <c r="LJ54" s="20"/>
      <c r="LK54" s="20"/>
      <c r="LL54" s="20"/>
      <c r="LM54" s="20"/>
      <c r="LN54" s="20"/>
      <c r="LO54" s="20"/>
      <c r="LP54" s="20"/>
      <c r="LQ54" s="20"/>
      <c r="LR54" s="20"/>
      <c r="LS54" s="20"/>
      <c r="LT54" s="20"/>
      <c r="LU54" s="20"/>
      <c r="LV54" s="20"/>
      <c r="LW54" s="20"/>
      <c r="LX54" s="20"/>
    </row>
    <row r="55" spans="1:336" s="24" customFormat="1" x14ac:dyDescent="0.25">
      <c r="A55" s="21" t="s">
        <v>16</v>
      </c>
      <c r="B55" s="22" t="s">
        <v>17</v>
      </c>
      <c r="C55" s="23" t="s">
        <v>128</v>
      </c>
      <c r="D55" s="8" t="s">
        <v>129</v>
      </c>
      <c r="E55" s="8">
        <v>2</v>
      </c>
      <c r="F55" s="9" t="s">
        <v>19</v>
      </c>
      <c r="G55" s="10" t="s">
        <v>20</v>
      </c>
      <c r="H55" s="11">
        <v>1</v>
      </c>
      <c r="I55" s="12">
        <v>44</v>
      </c>
      <c r="J55" s="13">
        <v>484.96</v>
      </c>
      <c r="K55" s="13">
        <v>1152.99</v>
      </c>
      <c r="L55" s="13">
        <v>0</v>
      </c>
      <c r="M55" s="13">
        <f>83.6</f>
        <v>83.6</v>
      </c>
      <c r="N55" s="13">
        <v>0</v>
      </c>
      <c r="O55" s="13">
        <f>24.25+1152.99+51.17+88.08+62.1</f>
        <v>1378.59</v>
      </c>
      <c r="P55" s="14">
        <f t="shared" si="1"/>
        <v>342.96000000000004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  <c r="IX55" s="20"/>
      <c r="IY55" s="20"/>
      <c r="IZ55" s="20"/>
      <c r="JA55" s="20"/>
      <c r="JB55" s="20"/>
      <c r="JC55" s="20"/>
      <c r="JD55" s="20"/>
      <c r="JE55" s="20"/>
      <c r="JF55" s="20"/>
      <c r="JG55" s="20"/>
      <c r="JH55" s="20"/>
      <c r="JI55" s="20"/>
      <c r="JJ55" s="20"/>
      <c r="JK55" s="20"/>
      <c r="JL55" s="20"/>
      <c r="JM55" s="20"/>
      <c r="JN55" s="20"/>
      <c r="JO55" s="20"/>
      <c r="JP55" s="20"/>
      <c r="JQ55" s="20"/>
      <c r="JR55" s="20"/>
      <c r="JS55" s="20"/>
      <c r="JT55" s="20"/>
      <c r="JU55" s="20"/>
      <c r="JV55" s="20"/>
      <c r="JW55" s="20"/>
      <c r="JX55" s="20"/>
      <c r="JY55" s="20"/>
      <c r="JZ55" s="20"/>
      <c r="KA55" s="20"/>
      <c r="KB55" s="20"/>
      <c r="KC55" s="20"/>
      <c r="KD55" s="20"/>
      <c r="KE55" s="20"/>
      <c r="KF55" s="20"/>
      <c r="KG55" s="20"/>
      <c r="KH55" s="20"/>
      <c r="KI55" s="20"/>
      <c r="KJ55" s="20"/>
      <c r="KK55" s="20"/>
      <c r="KL55" s="20"/>
      <c r="KM55" s="20"/>
      <c r="KN55" s="20"/>
      <c r="KO55" s="20"/>
      <c r="KP55" s="20"/>
      <c r="KQ55" s="20"/>
      <c r="KR55" s="20"/>
      <c r="KS55" s="20"/>
      <c r="KT55" s="20"/>
      <c r="KU55" s="20"/>
      <c r="KV55" s="20"/>
      <c r="KW55" s="20"/>
      <c r="KX55" s="20"/>
      <c r="KY55" s="20"/>
      <c r="KZ55" s="20"/>
      <c r="LA55" s="20"/>
      <c r="LB55" s="20"/>
      <c r="LC55" s="20"/>
      <c r="LD55" s="20"/>
      <c r="LE55" s="20"/>
      <c r="LF55" s="20"/>
      <c r="LG55" s="20"/>
      <c r="LH55" s="20"/>
      <c r="LI55" s="20"/>
      <c r="LJ55" s="20"/>
      <c r="LK55" s="20"/>
      <c r="LL55" s="20"/>
      <c r="LM55" s="20"/>
      <c r="LN55" s="20"/>
      <c r="LO55" s="20"/>
      <c r="LP55" s="20"/>
      <c r="LQ55" s="20"/>
      <c r="LR55" s="20"/>
      <c r="LS55" s="20"/>
      <c r="LT55" s="20"/>
      <c r="LU55" s="20"/>
      <c r="LV55" s="20"/>
      <c r="LW55" s="20"/>
      <c r="LX55" s="20"/>
    </row>
    <row r="56" spans="1:336" s="24" customFormat="1" x14ac:dyDescent="0.25">
      <c r="A56" s="21" t="s">
        <v>16</v>
      </c>
      <c r="B56" s="22" t="s">
        <v>17</v>
      </c>
      <c r="C56" s="23" t="s">
        <v>130</v>
      </c>
      <c r="D56" s="8" t="s">
        <v>131</v>
      </c>
      <c r="E56" s="8">
        <v>3</v>
      </c>
      <c r="F56" s="9" t="s">
        <v>23</v>
      </c>
      <c r="G56" s="10" t="s">
        <v>20</v>
      </c>
      <c r="H56" s="11">
        <v>2</v>
      </c>
      <c r="I56" s="12">
        <v>44</v>
      </c>
      <c r="J56" s="13">
        <v>870.83</v>
      </c>
      <c r="K56" s="13">
        <v>0</v>
      </c>
      <c r="L56" s="13">
        <v>0</v>
      </c>
      <c r="M56" s="13">
        <v>174.17</v>
      </c>
      <c r="N56" s="13">
        <v>0</v>
      </c>
      <c r="O56" s="13">
        <v>78.37</v>
      </c>
      <c r="P56" s="14">
        <f t="shared" si="1"/>
        <v>966.63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  <c r="IW56" s="20"/>
      <c r="IX56" s="20"/>
      <c r="IY56" s="20"/>
      <c r="IZ56" s="20"/>
      <c r="JA56" s="20"/>
      <c r="JB56" s="20"/>
      <c r="JC56" s="20"/>
      <c r="JD56" s="20"/>
      <c r="JE56" s="20"/>
      <c r="JF56" s="20"/>
      <c r="JG56" s="20"/>
      <c r="JH56" s="20"/>
      <c r="JI56" s="20"/>
      <c r="JJ56" s="20"/>
      <c r="JK56" s="20"/>
      <c r="JL56" s="20"/>
      <c r="JM56" s="20"/>
      <c r="JN56" s="20"/>
      <c r="JO56" s="20"/>
      <c r="JP56" s="20"/>
      <c r="JQ56" s="20"/>
      <c r="JR56" s="20"/>
      <c r="JS56" s="20"/>
      <c r="JT56" s="20"/>
      <c r="JU56" s="20"/>
      <c r="JV56" s="20"/>
      <c r="JW56" s="20"/>
      <c r="JX56" s="20"/>
      <c r="JY56" s="20"/>
      <c r="JZ56" s="20"/>
      <c r="KA56" s="20"/>
      <c r="KB56" s="20"/>
      <c r="KC56" s="20"/>
      <c r="KD56" s="20"/>
      <c r="KE56" s="20"/>
      <c r="KF56" s="20"/>
      <c r="KG56" s="20"/>
      <c r="KH56" s="20"/>
      <c r="KI56" s="20"/>
      <c r="KJ56" s="20"/>
      <c r="KK56" s="20"/>
      <c r="KL56" s="20"/>
      <c r="KM56" s="20"/>
      <c r="KN56" s="20"/>
      <c r="KO56" s="20"/>
      <c r="KP56" s="20"/>
      <c r="KQ56" s="20"/>
      <c r="KR56" s="20"/>
      <c r="KS56" s="20"/>
      <c r="KT56" s="20"/>
      <c r="KU56" s="20"/>
      <c r="KV56" s="20"/>
      <c r="KW56" s="20"/>
      <c r="KX56" s="20"/>
      <c r="KY56" s="20"/>
      <c r="KZ56" s="20"/>
      <c r="LA56" s="20"/>
      <c r="LB56" s="20"/>
      <c r="LC56" s="20"/>
      <c r="LD56" s="20"/>
      <c r="LE56" s="20"/>
      <c r="LF56" s="20"/>
      <c r="LG56" s="20"/>
      <c r="LH56" s="20"/>
      <c r="LI56" s="20"/>
      <c r="LJ56" s="20"/>
      <c r="LK56" s="20"/>
      <c r="LL56" s="20"/>
      <c r="LM56" s="20"/>
      <c r="LN56" s="20"/>
      <c r="LO56" s="20"/>
      <c r="LP56" s="20"/>
      <c r="LQ56" s="20"/>
      <c r="LR56" s="20"/>
      <c r="LS56" s="20"/>
      <c r="LT56" s="20"/>
      <c r="LU56" s="20"/>
      <c r="LV56" s="20"/>
      <c r="LW56" s="20"/>
      <c r="LX56" s="20"/>
    </row>
    <row r="57" spans="1:336" s="24" customFormat="1" x14ac:dyDescent="0.25">
      <c r="A57" s="21" t="s">
        <v>16</v>
      </c>
      <c r="B57" s="22" t="s">
        <v>17</v>
      </c>
      <c r="C57" s="23" t="s">
        <v>132</v>
      </c>
      <c r="D57" s="8" t="s">
        <v>133</v>
      </c>
      <c r="E57" s="8">
        <v>2</v>
      </c>
      <c r="F57" s="15" t="s">
        <v>74</v>
      </c>
      <c r="G57" s="10" t="s">
        <v>20</v>
      </c>
      <c r="H57" s="11">
        <v>1</v>
      </c>
      <c r="I57" s="12">
        <v>44</v>
      </c>
      <c r="J57" s="13">
        <v>3132.6</v>
      </c>
      <c r="K57" s="13">
        <v>0</v>
      </c>
      <c r="L57" s="13">
        <v>0</v>
      </c>
      <c r="M57" s="13">
        <f>209+128.52+668.32</f>
        <v>1005.84</v>
      </c>
      <c r="N57" s="13">
        <v>0</v>
      </c>
      <c r="O57" s="13">
        <f>15.66+438.31+200.22</f>
        <v>654.19000000000005</v>
      </c>
      <c r="P57" s="14">
        <f t="shared" si="1"/>
        <v>3484.2499999999995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  <c r="JH57" s="20"/>
      <c r="JI57" s="20"/>
      <c r="JJ57" s="20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0"/>
      <c r="JX57" s="20"/>
      <c r="JY57" s="20"/>
      <c r="JZ57" s="20"/>
      <c r="KA57" s="20"/>
      <c r="KB57" s="20"/>
      <c r="KC57" s="20"/>
      <c r="KD57" s="20"/>
      <c r="KE57" s="20"/>
      <c r="KF57" s="20"/>
      <c r="KG57" s="20"/>
      <c r="KH57" s="20"/>
      <c r="KI57" s="20"/>
      <c r="KJ57" s="20"/>
      <c r="KK57" s="20"/>
      <c r="KL57" s="20"/>
      <c r="KM57" s="20"/>
      <c r="KN57" s="20"/>
      <c r="KO57" s="20"/>
      <c r="KP57" s="20"/>
      <c r="KQ57" s="20"/>
      <c r="KR57" s="20"/>
      <c r="KS57" s="20"/>
      <c r="KT57" s="20"/>
      <c r="KU57" s="20"/>
      <c r="KV57" s="20"/>
      <c r="KW57" s="20"/>
      <c r="KX57" s="20"/>
      <c r="KY57" s="20"/>
      <c r="KZ57" s="20"/>
      <c r="LA57" s="20"/>
      <c r="LB57" s="20"/>
      <c r="LC57" s="20"/>
      <c r="LD57" s="20"/>
      <c r="LE57" s="20"/>
      <c r="LF57" s="20"/>
      <c r="LG57" s="20"/>
      <c r="LH57" s="20"/>
      <c r="LI57" s="20"/>
      <c r="LJ57" s="20"/>
      <c r="LK57" s="20"/>
      <c r="LL57" s="20"/>
      <c r="LM57" s="20"/>
      <c r="LN57" s="20"/>
      <c r="LO57" s="20"/>
      <c r="LP57" s="20"/>
      <c r="LQ57" s="20"/>
      <c r="LR57" s="20"/>
      <c r="LS57" s="20"/>
      <c r="LT57" s="20"/>
      <c r="LU57" s="20"/>
      <c r="LV57" s="20"/>
      <c r="LW57" s="20"/>
      <c r="LX57" s="20"/>
    </row>
    <row r="58" spans="1:336" s="24" customFormat="1" x14ac:dyDescent="0.25">
      <c r="A58" s="21" t="s">
        <v>16</v>
      </c>
      <c r="B58" s="22" t="s">
        <v>17</v>
      </c>
      <c r="C58" s="23" t="s">
        <v>134</v>
      </c>
      <c r="D58" s="8" t="s">
        <v>135</v>
      </c>
      <c r="E58" s="8">
        <v>3</v>
      </c>
      <c r="F58" s="15" t="s">
        <v>136</v>
      </c>
      <c r="G58" s="10" t="s">
        <v>20</v>
      </c>
      <c r="H58" s="11">
        <v>2</v>
      </c>
      <c r="I58" s="12">
        <v>44</v>
      </c>
      <c r="J58" s="13">
        <v>1552.5</v>
      </c>
      <c r="K58" s="13">
        <v>0</v>
      </c>
      <c r="L58" s="13">
        <v>0</v>
      </c>
      <c r="M58" s="13">
        <f>209+128</f>
        <v>337</v>
      </c>
      <c r="N58" s="13">
        <v>0</v>
      </c>
      <c r="O58" s="13">
        <f>31.05+142.85</f>
        <v>173.9</v>
      </c>
      <c r="P58" s="14">
        <f t="shared" si="1"/>
        <v>1715.6</v>
      </c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</row>
    <row r="59" spans="1:336" s="24" customFormat="1" x14ac:dyDescent="0.25">
      <c r="A59" s="21" t="s">
        <v>16</v>
      </c>
      <c r="B59" s="22" t="s">
        <v>17</v>
      </c>
      <c r="C59" s="23" t="s">
        <v>137</v>
      </c>
      <c r="D59" s="8" t="s">
        <v>138</v>
      </c>
      <c r="E59" s="8">
        <v>3</v>
      </c>
      <c r="F59" s="15" t="s">
        <v>78</v>
      </c>
      <c r="G59" s="10" t="s">
        <v>20</v>
      </c>
      <c r="H59" s="11">
        <v>1</v>
      </c>
      <c r="I59" s="12">
        <v>44</v>
      </c>
      <c r="J59" s="13">
        <v>1892.07</v>
      </c>
      <c r="K59" s="13">
        <v>0</v>
      </c>
      <c r="L59" s="13">
        <v>0</v>
      </c>
      <c r="M59" s="13">
        <f>209+64</f>
        <v>273</v>
      </c>
      <c r="N59" s="13">
        <v>0</v>
      </c>
      <c r="O59" s="13">
        <f>37.84+173.75</f>
        <v>211.59</v>
      </c>
      <c r="P59" s="14">
        <f t="shared" si="1"/>
        <v>1953.4799999999998</v>
      </c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20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</row>
    <row r="60" spans="1:336" s="24" customFormat="1" x14ac:dyDescent="0.25">
      <c r="A60" s="21" t="s">
        <v>16</v>
      </c>
      <c r="B60" s="22" t="s">
        <v>17</v>
      </c>
      <c r="C60" s="23">
        <v>61087300487</v>
      </c>
      <c r="D60" s="8" t="s">
        <v>139</v>
      </c>
      <c r="E60" s="8">
        <v>2</v>
      </c>
      <c r="F60" s="9" t="s">
        <v>19</v>
      </c>
      <c r="G60" s="10" t="s">
        <v>20</v>
      </c>
      <c r="H60" s="11">
        <v>1</v>
      </c>
      <c r="I60" s="12">
        <v>44</v>
      </c>
      <c r="J60" s="13">
        <v>1212.4000000000001</v>
      </c>
      <c r="K60" s="13">
        <v>0</v>
      </c>
      <c r="L60" s="13">
        <v>0</v>
      </c>
      <c r="M60" s="13">
        <f>209+6.08+31.59</f>
        <v>246.67000000000002</v>
      </c>
      <c r="N60" s="13">
        <v>0</v>
      </c>
      <c r="O60" s="13">
        <f>24.25+115.63+72.74</f>
        <v>212.62</v>
      </c>
      <c r="P60" s="14">
        <f t="shared" si="1"/>
        <v>1246.4500000000003</v>
      </c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</row>
    <row r="61" spans="1:336" s="24" customFormat="1" x14ac:dyDescent="0.25">
      <c r="A61" s="21" t="s">
        <v>16</v>
      </c>
      <c r="B61" s="22" t="s">
        <v>17</v>
      </c>
      <c r="C61" s="23">
        <v>11293575461</v>
      </c>
      <c r="D61" s="8" t="s">
        <v>140</v>
      </c>
      <c r="E61" s="8">
        <v>3</v>
      </c>
      <c r="F61" s="9" t="s">
        <v>63</v>
      </c>
      <c r="G61" s="10" t="s">
        <v>20</v>
      </c>
      <c r="H61" s="11">
        <v>1</v>
      </c>
      <c r="I61" s="12">
        <v>44</v>
      </c>
      <c r="J61" s="13">
        <v>1045</v>
      </c>
      <c r="K61" s="13">
        <v>0</v>
      </c>
      <c r="L61" s="13">
        <v>0</v>
      </c>
      <c r="M61" s="13">
        <f>48.62+209+64+2.68+13.93</f>
        <v>338.23</v>
      </c>
      <c r="N61" s="13">
        <v>0</v>
      </c>
      <c r="O61" s="13">
        <f>20.9+98.67</f>
        <v>119.57</v>
      </c>
      <c r="P61" s="14">
        <f t="shared" si="1"/>
        <v>1263.6600000000001</v>
      </c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</row>
    <row r="62" spans="1:336" s="24" customFormat="1" x14ac:dyDescent="0.25">
      <c r="A62" s="21" t="s">
        <v>16</v>
      </c>
      <c r="B62" s="22" t="s">
        <v>17</v>
      </c>
      <c r="C62" s="23">
        <v>28651282885</v>
      </c>
      <c r="D62" s="8" t="s">
        <v>141</v>
      </c>
      <c r="E62" s="8">
        <v>3</v>
      </c>
      <c r="F62" s="15" t="s">
        <v>99</v>
      </c>
      <c r="G62" s="10" t="s">
        <v>20</v>
      </c>
      <c r="H62" s="11">
        <v>1</v>
      </c>
      <c r="I62" s="12">
        <v>44</v>
      </c>
      <c r="J62" s="13">
        <v>1045</v>
      </c>
      <c r="K62" s="13">
        <v>0</v>
      </c>
      <c r="L62" s="13">
        <v>0</v>
      </c>
      <c r="M62" s="13">
        <v>209</v>
      </c>
      <c r="N62" s="13">
        <v>0</v>
      </c>
      <c r="O62" s="13">
        <f>20.9+97.18+62.7</f>
        <v>180.78000000000003</v>
      </c>
      <c r="P62" s="14">
        <f t="shared" si="1"/>
        <v>1073.22</v>
      </c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</row>
    <row r="63" spans="1:336" s="24" customFormat="1" x14ac:dyDescent="0.25">
      <c r="A63" s="21" t="s">
        <v>16</v>
      </c>
      <c r="B63" s="22" t="s">
        <v>17</v>
      </c>
      <c r="C63" s="23">
        <v>92120482420</v>
      </c>
      <c r="D63" s="8" t="s">
        <v>142</v>
      </c>
      <c r="E63" s="8">
        <v>2</v>
      </c>
      <c r="F63" s="9" t="s">
        <v>19</v>
      </c>
      <c r="G63" s="10" t="s">
        <v>20</v>
      </c>
      <c r="H63" s="11">
        <v>1</v>
      </c>
      <c r="I63" s="12">
        <v>44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4">
        <f t="shared" si="1"/>
        <v>0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</row>
    <row r="64" spans="1:336" s="24" customFormat="1" x14ac:dyDescent="0.25">
      <c r="A64" s="21" t="s">
        <v>16</v>
      </c>
      <c r="B64" s="22" t="s">
        <v>17</v>
      </c>
      <c r="C64" s="23" t="s">
        <v>143</v>
      </c>
      <c r="D64" s="8" t="s">
        <v>144</v>
      </c>
      <c r="E64" s="8">
        <v>2</v>
      </c>
      <c r="F64" s="9" t="s">
        <v>19</v>
      </c>
      <c r="G64" s="10" t="s">
        <v>20</v>
      </c>
      <c r="H64" s="11">
        <v>1</v>
      </c>
      <c r="I64" s="12">
        <v>44</v>
      </c>
      <c r="J64" s="13">
        <v>1212.4000000000001</v>
      </c>
      <c r="K64" s="13">
        <v>0</v>
      </c>
      <c r="L64" s="13">
        <v>0</v>
      </c>
      <c r="M64" s="13">
        <f>209</f>
        <v>209</v>
      </c>
      <c r="N64" s="13">
        <v>0</v>
      </c>
      <c r="O64" s="13">
        <f>24.25+112.24+72.74</f>
        <v>209.23000000000002</v>
      </c>
      <c r="P64" s="14">
        <f t="shared" si="1"/>
        <v>1212.17</v>
      </c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  <c r="IX64" s="20"/>
      <c r="IY64" s="20"/>
      <c r="IZ64" s="20"/>
      <c r="JA64" s="20"/>
      <c r="JB64" s="20"/>
      <c r="JC64" s="20"/>
      <c r="JD64" s="20"/>
      <c r="JE64" s="20"/>
      <c r="JF64" s="20"/>
      <c r="JG64" s="20"/>
      <c r="JH64" s="20"/>
      <c r="JI64" s="20"/>
      <c r="JJ64" s="20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0"/>
      <c r="JX64" s="20"/>
      <c r="JY64" s="20"/>
      <c r="JZ64" s="20"/>
      <c r="KA64" s="20"/>
      <c r="KB64" s="20"/>
      <c r="KC64" s="20"/>
      <c r="KD64" s="20"/>
      <c r="KE64" s="20"/>
      <c r="KF64" s="20"/>
      <c r="KG64" s="20"/>
      <c r="KH64" s="20"/>
      <c r="KI64" s="20"/>
      <c r="KJ64" s="20"/>
      <c r="KK64" s="20"/>
      <c r="KL64" s="20"/>
      <c r="KM64" s="20"/>
      <c r="KN64" s="20"/>
      <c r="KO64" s="20"/>
      <c r="KP64" s="20"/>
      <c r="KQ64" s="20"/>
      <c r="KR64" s="20"/>
      <c r="KS64" s="20"/>
      <c r="KT64" s="20"/>
      <c r="KU64" s="20"/>
      <c r="KV64" s="20"/>
      <c r="KW64" s="20"/>
      <c r="KX64" s="20"/>
      <c r="KY64" s="20"/>
      <c r="KZ64" s="20"/>
      <c r="LA64" s="20"/>
      <c r="LB64" s="20"/>
      <c r="LC64" s="20"/>
      <c r="LD64" s="20"/>
      <c r="LE64" s="20"/>
      <c r="LF64" s="20"/>
      <c r="LG64" s="20"/>
      <c r="LH64" s="20"/>
      <c r="LI64" s="20"/>
      <c r="LJ64" s="20"/>
      <c r="LK64" s="20"/>
      <c r="LL64" s="20"/>
      <c r="LM64" s="20"/>
      <c r="LN64" s="20"/>
      <c r="LO64" s="20"/>
      <c r="LP64" s="20"/>
      <c r="LQ64" s="20"/>
      <c r="LR64" s="20"/>
      <c r="LS64" s="20"/>
      <c r="LT64" s="20"/>
      <c r="LU64" s="20"/>
      <c r="LV64" s="20"/>
      <c r="LW64" s="20"/>
      <c r="LX64" s="20"/>
    </row>
    <row r="65" spans="1:336" s="24" customFormat="1" x14ac:dyDescent="0.25">
      <c r="A65" s="21" t="s">
        <v>16</v>
      </c>
      <c r="B65" s="22" t="s">
        <v>17</v>
      </c>
      <c r="C65" s="23" t="s">
        <v>145</v>
      </c>
      <c r="D65" s="8" t="s">
        <v>146</v>
      </c>
      <c r="E65" s="8">
        <v>2</v>
      </c>
      <c r="F65" s="15" t="s">
        <v>55</v>
      </c>
      <c r="G65" s="10" t="s">
        <v>20</v>
      </c>
      <c r="H65" s="11">
        <v>1</v>
      </c>
      <c r="I65" s="12">
        <v>44</v>
      </c>
      <c r="J65" s="13">
        <v>161.18</v>
      </c>
      <c r="K65" s="13">
        <f>1254.5</f>
        <v>1254.5</v>
      </c>
      <c r="L65" s="13">
        <v>0</v>
      </c>
      <c r="M65" s="13">
        <f>322.35+27.87</f>
        <v>350.22</v>
      </c>
      <c r="N65" s="13">
        <v>0</v>
      </c>
      <c r="O65" s="13">
        <f>24.18+1254.5+46.03+97.22</f>
        <v>1421.93</v>
      </c>
      <c r="P65" s="14">
        <f t="shared" ref="P65:P95" si="2">SUM(J65:N65)-O65</f>
        <v>343.97</v>
      </c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  <c r="JH65" s="20"/>
      <c r="JI65" s="20"/>
      <c r="JJ65" s="20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0"/>
      <c r="JX65" s="20"/>
      <c r="JY65" s="20"/>
      <c r="JZ65" s="20"/>
      <c r="KA65" s="20"/>
      <c r="KB65" s="20"/>
      <c r="KC65" s="20"/>
      <c r="KD65" s="20"/>
      <c r="KE65" s="20"/>
      <c r="KF65" s="20"/>
      <c r="KG65" s="20"/>
      <c r="KH65" s="20"/>
      <c r="KI65" s="20"/>
      <c r="KJ65" s="20"/>
      <c r="KK65" s="20"/>
      <c r="KL65" s="20"/>
      <c r="KM65" s="20"/>
      <c r="KN65" s="20"/>
      <c r="KO65" s="20"/>
      <c r="KP65" s="20"/>
      <c r="KQ65" s="20"/>
      <c r="KR65" s="20"/>
      <c r="KS65" s="20"/>
      <c r="KT65" s="20"/>
      <c r="KU65" s="20"/>
      <c r="KV65" s="20"/>
      <c r="KW65" s="20"/>
      <c r="KX65" s="20"/>
      <c r="KY65" s="20"/>
      <c r="KZ65" s="20"/>
      <c r="LA65" s="20"/>
      <c r="LB65" s="20"/>
      <c r="LC65" s="20"/>
      <c r="LD65" s="20"/>
      <c r="LE65" s="20"/>
      <c r="LF65" s="20"/>
      <c r="LG65" s="20"/>
      <c r="LH65" s="20"/>
      <c r="LI65" s="20"/>
      <c r="LJ65" s="20"/>
      <c r="LK65" s="20"/>
      <c r="LL65" s="20"/>
      <c r="LM65" s="20"/>
      <c r="LN65" s="20"/>
      <c r="LO65" s="20"/>
      <c r="LP65" s="20"/>
      <c r="LQ65" s="20"/>
      <c r="LR65" s="20"/>
      <c r="LS65" s="20"/>
      <c r="LT65" s="20"/>
      <c r="LU65" s="20"/>
      <c r="LV65" s="20"/>
      <c r="LW65" s="20"/>
      <c r="LX65" s="20"/>
    </row>
    <row r="66" spans="1:336" s="24" customFormat="1" x14ac:dyDescent="0.25">
      <c r="A66" s="21" t="s">
        <v>16</v>
      </c>
      <c r="B66" s="22" t="s">
        <v>17</v>
      </c>
      <c r="C66" s="23" t="s">
        <v>147</v>
      </c>
      <c r="D66" s="8" t="s">
        <v>148</v>
      </c>
      <c r="E66" s="8">
        <v>2</v>
      </c>
      <c r="F66" s="15" t="s">
        <v>74</v>
      </c>
      <c r="G66" s="10" t="s">
        <v>20</v>
      </c>
      <c r="H66" s="11">
        <v>1</v>
      </c>
      <c r="I66" s="12">
        <v>44</v>
      </c>
      <c r="J66" s="13">
        <v>3132.6</v>
      </c>
      <c r="K66" s="13">
        <v>0</v>
      </c>
      <c r="L66" s="13">
        <v>0</v>
      </c>
      <c r="M66" s="13">
        <f>209+115.61+601.49</f>
        <v>926.1</v>
      </c>
      <c r="N66" s="13">
        <v>0</v>
      </c>
      <c r="O66" s="13">
        <f>14.92+427.16+161.5</f>
        <v>603.58000000000004</v>
      </c>
      <c r="P66" s="14">
        <f t="shared" si="2"/>
        <v>3455.12</v>
      </c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  <c r="JH66" s="20"/>
      <c r="JI66" s="20"/>
      <c r="JJ66" s="20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0"/>
      <c r="JX66" s="20"/>
      <c r="JY66" s="20"/>
      <c r="JZ66" s="20"/>
      <c r="KA66" s="20"/>
      <c r="KB66" s="20"/>
      <c r="KC66" s="20"/>
      <c r="KD66" s="20"/>
      <c r="KE66" s="20"/>
      <c r="KF66" s="20"/>
      <c r="KG66" s="20"/>
      <c r="KH66" s="20"/>
      <c r="KI66" s="20"/>
      <c r="KJ66" s="20"/>
      <c r="KK66" s="20"/>
      <c r="KL66" s="20"/>
      <c r="KM66" s="20"/>
      <c r="KN66" s="20"/>
      <c r="KO66" s="20"/>
      <c r="KP66" s="20"/>
      <c r="KQ66" s="20"/>
      <c r="KR66" s="20"/>
      <c r="KS66" s="20"/>
      <c r="KT66" s="20"/>
      <c r="KU66" s="20"/>
      <c r="KV66" s="20"/>
      <c r="KW66" s="20"/>
      <c r="KX66" s="20"/>
      <c r="KY66" s="20"/>
      <c r="KZ66" s="20"/>
      <c r="LA66" s="20"/>
      <c r="LB66" s="20"/>
      <c r="LC66" s="20"/>
      <c r="LD66" s="20"/>
      <c r="LE66" s="20"/>
      <c r="LF66" s="20"/>
      <c r="LG66" s="20"/>
      <c r="LH66" s="20"/>
      <c r="LI66" s="20"/>
      <c r="LJ66" s="20"/>
      <c r="LK66" s="20"/>
      <c r="LL66" s="20"/>
      <c r="LM66" s="20"/>
      <c r="LN66" s="20"/>
      <c r="LO66" s="20"/>
      <c r="LP66" s="20"/>
      <c r="LQ66" s="20"/>
      <c r="LR66" s="20"/>
      <c r="LS66" s="20"/>
      <c r="LT66" s="20"/>
      <c r="LU66" s="20"/>
      <c r="LV66" s="20"/>
      <c r="LW66" s="20"/>
      <c r="LX66" s="20"/>
    </row>
    <row r="67" spans="1:336" s="24" customFormat="1" x14ac:dyDescent="0.25">
      <c r="A67" s="21" t="s">
        <v>16</v>
      </c>
      <c r="B67" s="22" t="s">
        <v>17</v>
      </c>
      <c r="C67" s="23" t="s">
        <v>149</v>
      </c>
      <c r="D67" s="8" t="s">
        <v>150</v>
      </c>
      <c r="E67" s="8">
        <v>2</v>
      </c>
      <c r="F67" s="9" t="s">
        <v>30</v>
      </c>
      <c r="G67" s="10" t="s">
        <v>20</v>
      </c>
      <c r="H67" s="11">
        <v>1</v>
      </c>
      <c r="I67" s="12">
        <v>44</v>
      </c>
      <c r="J67" s="13">
        <v>1081.24</v>
      </c>
      <c r="K67" s="13">
        <v>0</v>
      </c>
      <c r="L67" s="13">
        <v>0</v>
      </c>
      <c r="M67" s="13">
        <f>826.83+118.43+42.34+211.71+826.43</f>
        <v>2025.7399999999998</v>
      </c>
      <c r="N67" s="13">
        <v>0</v>
      </c>
      <c r="O67" s="13">
        <f>2.43+195.29+13.59</f>
        <v>211.31</v>
      </c>
      <c r="P67" s="14">
        <f t="shared" si="2"/>
        <v>2895.6699999999996</v>
      </c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</row>
    <row r="68" spans="1:336" s="24" customFormat="1" x14ac:dyDescent="0.25">
      <c r="A68" s="21" t="s">
        <v>16</v>
      </c>
      <c r="B68" s="22" t="s">
        <v>17</v>
      </c>
      <c r="C68" s="23" t="s">
        <v>151</v>
      </c>
      <c r="D68" s="8" t="s">
        <v>152</v>
      </c>
      <c r="E68" s="8">
        <v>3</v>
      </c>
      <c r="F68" s="18" t="s">
        <v>60</v>
      </c>
      <c r="G68" s="10" t="s">
        <v>20</v>
      </c>
      <c r="H68" s="11">
        <v>1</v>
      </c>
      <c r="I68" s="12">
        <v>44</v>
      </c>
      <c r="J68" s="13">
        <v>1045</v>
      </c>
      <c r="K68" s="13">
        <v>0</v>
      </c>
      <c r="L68" s="13">
        <v>0</v>
      </c>
      <c r="M68" s="13">
        <f>48.62+209+5.36+27.87</f>
        <v>290.85000000000002</v>
      </c>
      <c r="N68" s="13">
        <v>0</v>
      </c>
      <c r="O68" s="13">
        <f>20.9+100.17+62.7</f>
        <v>183.76999999999998</v>
      </c>
      <c r="P68" s="14">
        <f t="shared" si="2"/>
        <v>1152.08</v>
      </c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  <c r="IX68" s="20"/>
      <c r="IY68" s="20"/>
      <c r="IZ68" s="20"/>
      <c r="JA68" s="20"/>
      <c r="JB68" s="20"/>
      <c r="JC68" s="20"/>
      <c r="JD68" s="20"/>
      <c r="JE68" s="20"/>
      <c r="JF68" s="20"/>
      <c r="JG68" s="20"/>
      <c r="JH68" s="20"/>
      <c r="JI68" s="20"/>
      <c r="JJ68" s="20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0"/>
      <c r="JX68" s="20"/>
      <c r="JY68" s="20"/>
      <c r="JZ68" s="20"/>
      <c r="KA68" s="20"/>
      <c r="KB68" s="20"/>
      <c r="KC68" s="20"/>
      <c r="KD68" s="20"/>
      <c r="KE68" s="20"/>
      <c r="KF68" s="20"/>
      <c r="KG68" s="20"/>
      <c r="KH68" s="20"/>
      <c r="KI68" s="20"/>
      <c r="KJ68" s="20"/>
      <c r="KK68" s="20"/>
      <c r="KL68" s="20"/>
      <c r="KM68" s="20"/>
      <c r="KN68" s="20"/>
      <c r="KO68" s="20"/>
      <c r="KP68" s="20"/>
      <c r="KQ68" s="20"/>
      <c r="KR68" s="20"/>
      <c r="KS68" s="20"/>
      <c r="KT68" s="20"/>
      <c r="KU68" s="20"/>
      <c r="KV68" s="20"/>
      <c r="KW68" s="20"/>
      <c r="KX68" s="20"/>
      <c r="KY68" s="20"/>
      <c r="KZ68" s="20"/>
      <c r="LA68" s="20"/>
      <c r="LB68" s="20"/>
      <c r="LC68" s="20"/>
      <c r="LD68" s="20"/>
      <c r="LE68" s="20"/>
      <c r="LF68" s="20"/>
      <c r="LG68" s="20"/>
      <c r="LH68" s="20"/>
      <c r="LI68" s="20"/>
      <c r="LJ68" s="20"/>
      <c r="LK68" s="20"/>
      <c r="LL68" s="20"/>
      <c r="LM68" s="20"/>
      <c r="LN68" s="20"/>
      <c r="LO68" s="20"/>
      <c r="LP68" s="20"/>
      <c r="LQ68" s="20"/>
      <c r="LR68" s="20"/>
      <c r="LS68" s="20"/>
      <c r="LT68" s="20"/>
      <c r="LU68" s="20"/>
      <c r="LV68" s="20"/>
      <c r="LW68" s="20"/>
      <c r="LX68" s="20"/>
    </row>
    <row r="69" spans="1:336" s="24" customFormat="1" x14ac:dyDescent="0.25">
      <c r="A69" s="21" t="s">
        <v>16</v>
      </c>
      <c r="B69" s="22" t="s">
        <v>17</v>
      </c>
      <c r="C69" s="23">
        <v>10505042401</v>
      </c>
      <c r="D69" s="8" t="s">
        <v>153</v>
      </c>
      <c r="E69" s="8">
        <v>2</v>
      </c>
      <c r="F69" s="9" t="s">
        <v>19</v>
      </c>
      <c r="G69" s="10" t="s">
        <v>20</v>
      </c>
      <c r="H69" s="11">
        <v>1</v>
      </c>
      <c r="I69" s="12">
        <v>44</v>
      </c>
      <c r="J69" s="13">
        <v>1212.4000000000001</v>
      </c>
      <c r="K69" s="13">
        <v>0</v>
      </c>
      <c r="L69" s="13">
        <v>0</v>
      </c>
      <c r="M69" s="13">
        <f>209+48.62+64</f>
        <v>321.62</v>
      </c>
      <c r="N69" s="13">
        <v>0</v>
      </c>
      <c r="O69" s="13">
        <f>24.25+112.24+72.74</f>
        <v>209.23000000000002</v>
      </c>
      <c r="P69" s="14">
        <f t="shared" si="2"/>
        <v>1324.79</v>
      </c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  <c r="IX69" s="20"/>
      <c r="IY69" s="20"/>
      <c r="IZ69" s="20"/>
      <c r="JA69" s="20"/>
      <c r="JB69" s="20"/>
      <c r="JC69" s="20"/>
      <c r="JD69" s="20"/>
      <c r="JE69" s="20"/>
      <c r="JF69" s="20"/>
      <c r="JG69" s="20"/>
      <c r="JH69" s="20"/>
      <c r="JI69" s="20"/>
      <c r="JJ69" s="20"/>
      <c r="JK69" s="20"/>
      <c r="JL69" s="20"/>
      <c r="JM69" s="20"/>
      <c r="JN69" s="20"/>
      <c r="JO69" s="20"/>
      <c r="JP69" s="20"/>
      <c r="JQ69" s="20"/>
      <c r="JR69" s="20"/>
      <c r="JS69" s="20"/>
      <c r="JT69" s="20"/>
      <c r="JU69" s="20"/>
      <c r="JV69" s="20"/>
      <c r="JW69" s="20"/>
      <c r="JX69" s="20"/>
      <c r="JY69" s="20"/>
      <c r="JZ69" s="20"/>
      <c r="KA69" s="20"/>
      <c r="KB69" s="20"/>
      <c r="KC69" s="20"/>
      <c r="KD69" s="20"/>
      <c r="KE69" s="20"/>
      <c r="KF69" s="20"/>
      <c r="KG69" s="20"/>
      <c r="KH69" s="20"/>
      <c r="KI69" s="20"/>
      <c r="KJ69" s="20"/>
      <c r="KK69" s="20"/>
      <c r="KL69" s="20"/>
      <c r="KM69" s="20"/>
      <c r="KN69" s="20"/>
      <c r="KO69" s="20"/>
      <c r="KP69" s="20"/>
      <c r="KQ69" s="20"/>
      <c r="KR69" s="20"/>
      <c r="KS69" s="20"/>
      <c r="KT69" s="20"/>
      <c r="KU69" s="20"/>
      <c r="KV69" s="20"/>
      <c r="KW69" s="20"/>
      <c r="KX69" s="20"/>
      <c r="KY69" s="20"/>
      <c r="KZ69" s="20"/>
      <c r="LA69" s="20"/>
      <c r="LB69" s="20"/>
      <c r="LC69" s="20"/>
      <c r="LD69" s="20"/>
      <c r="LE69" s="20"/>
      <c r="LF69" s="20"/>
      <c r="LG69" s="20"/>
      <c r="LH69" s="20"/>
      <c r="LI69" s="20"/>
      <c r="LJ69" s="20"/>
      <c r="LK69" s="20"/>
      <c r="LL69" s="20"/>
      <c r="LM69" s="20"/>
      <c r="LN69" s="20"/>
      <c r="LO69" s="20"/>
      <c r="LP69" s="20"/>
      <c r="LQ69" s="20"/>
      <c r="LR69" s="20"/>
      <c r="LS69" s="20"/>
      <c r="LT69" s="20"/>
      <c r="LU69" s="20"/>
      <c r="LV69" s="20"/>
      <c r="LW69" s="20"/>
      <c r="LX69" s="20"/>
    </row>
    <row r="70" spans="1:336" s="24" customFormat="1" x14ac:dyDescent="0.25">
      <c r="A70" s="21" t="s">
        <v>16</v>
      </c>
      <c r="B70" s="22" t="s">
        <v>17</v>
      </c>
      <c r="C70" s="23" t="s">
        <v>154</v>
      </c>
      <c r="D70" s="16" t="s">
        <v>155</v>
      </c>
      <c r="E70" s="8">
        <v>2</v>
      </c>
      <c r="F70" s="9" t="s">
        <v>19</v>
      </c>
      <c r="G70" s="10" t="s">
        <v>20</v>
      </c>
      <c r="H70" s="11">
        <v>1</v>
      </c>
      <c r="I70" s="12">
        <v>44</v>
      </c>
      <c r="J70" s="13">
        <v>1212.24</v>
      </c>
      <c r="K70" s="13">
        <v>0</v>
      </c>
      <c r="L70" s="13">
        <v>0</v>
      </c>
      <c r="M70" s="13">
        <f>209+33.41+173.73</f>
        <v>416.14</v>
      </c>
      <c r="N70" s="13">
        <v>0</v>
      </c>
      <c r="O70" s="13">
        <f>24.25+130.88</f>
        <v>155.13</v>
      </c>
      <c r="P70" s="14">
        <f t="shared" si="2"/>
        <v>1473.25</v>
      </c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  <c r="LR70" s="20"/>
      <c r="LS70" s="20"/>
      <c r="LT70" s="20"/>
      <c r="LU70" s="20"/>
      <c r="LV70" s="20"/>
      <c r="LW70" s="20"/>
      <c r="LX70" s="20"/>
    </row>
    <row r="71" spans="1:336" s="24" customFormat="1" x14ac:dyDescent="0.25">
      <c r="A71" s="21" t="s">
        <v>16</v>
      </c>
      <c r="B71" s="22" t="s">
        <v>17</v>
      </c>
      <c r="C71" s="23">
        <v>77307950430</v>
      </c>
      <c r="D71" s="8" t="s">
        <v>156</v>
      </c>
      <c r="E71" s="8">
        <v>3</v>
      </c>
      <c r="F71" s="18" t="s">
        <v>60</v>
      </c>
      <c r="G71" s="10" t="s">
        <v>20</v>
      </c>
      <c r="H71" s="11">
        <v>1</v>
      </c>
      <c r="I71" s="12">
        <v>44</v>
      </c>
      <c r="J71" s="13">
        <v>696.67</v>
      </c>
      <c r="K71" s="13">
        <v>0</v>
      </c>
      <c r="L71" s="13">
        <v>0</v>
      </c>
      <c r="M71" s="13">
        <f>348.33+139.33+16.39+69.67</f>
        <v>573.71999999999991</v>
      </c>
      <c r="N71" s="13">
        <v>0</v>
      </c>
      <c r="O71" s="13">
        <f>20.9+98.65+62.7</f>
        <v>182.25</v>
      </c>
      <c r="P71" s="14">
        <f t="shared" si="2"/>
        <v>1088.1399999999999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  <c r="IX71" s="20"/>
      <c r="IY71" s="20"/>
      <c r="IZ71" s="20"/>
      <c r="JA71" s="20"/>
      <c r="JB71" s="20"/>
      <c r="JC71" s="20"/>
      <c r="JD71" s="20"/>
      <c r="JE71" s="20"/>
      <c r="JF71" s="20"/>
      <c r="JG71" s="20"/>
      <c r="JH71" s="20"/>
      <c r="JI71" s="20"/>
      <c r="JJ71" s="20"/>
      <c r="JK71" s="20"/>
      <c r="JL71" s="20"/>
      <c r="JM71" s="20"/>
      <c r="JN71" s="20"/>
      <c r="JO71" s="20"/>
      <c r="JP71" s="20"/>
      <c r="JQ71" s="20"/>
      <c r="JR71" s="20"/>
      <c r="JS71" s="20"/>
      <c r="JT71" s="20"/>
      <c r="JU71" s="20"/>
      <c r="JV71" s="20"/>
      <c r="JW71" s="20"/>
      <c r="JX71" s="20"/>
      <c r="JY71" s="20"/>
      <c r="JZ71" s="20"/>
      <c r="KA71" s="20"/>
      <c r="KB71" s="20"/>
      <c r="KC71" s="20"/>
      <c r="KD71" s="20"/>
      <c r="KE71" s="20"/>
      <c r="KF71" s="20"/>
      <c r="KG71" s="20"/>
      <c r="KH71" s="20"/>
      <c r="KI71" s="20"/>
      <c r="KJ71" s="20"/>
      <c r="KK71" s="20"/>
      <c r="KL71" s="20"/>
      <c r="KM71" s="20"/>
      <c r="KN71" s="20"/>
      <c r="KO71" s="20"/>
      <c r="KP71" s="20"/>
      <c r="KQ71" s="20"/>
      <c r="KR71" s="20"/>
      <c r="KS71" s="20"/>
      <c r="KT71" s="20"/>
      <c r="KU71" s="20"/>
      <c r="KV71" s="20"/>
      <c r="KW71" s="20"/>
      <c r="KX71" s="20"/>
      <c r="KY71" s="20"/>
      <c r="KZ71" s="20"/>
      <c r="LA71" s="20"/>
      <c r="LB71" s="20"/>
      <c r="LC71" s="20"/>
      <c r="LD71" s="20"/>
      <c r="LE71" s="20"/>
      <c r="LF71" s="20"/>
      <c r="LG71" s="20"/>
      <c r="LH71" s="20"/>
      <c r="LI71" s="20"/>
      <c r="LJ71" s="20"/>
      <c r="LK71" s="20"/>
      <c r="LL71" s="20"/>
      <c r="LM71" s="20"/>
      <c r="LN71" s="20"/>
      <c r="LO71" s="20"/>
      <c r="LP71" s="20"/>
      <c r="LQ71" s="20"/>
      <c r="LR71" s="20"/>
      <c r="LS71" s="20"/>
      <c r="LT71" s="20"/>
      <c r="LU71" s="20"/>
      <c r="LV71" s="20"/>
      <c r="LW71" s="20"/>
      <c r="LX71" s="20"/>
    </row>
    <row r="72" spans="1:336" s="24" customFormat="1" x14ac:dyDescent="0.25">
      <c r="A72" s="21" t="s">
        <v>16</v>
      </c>
      <c r="B72" s="22" t="s">
        <v>17</v>
      </c>
      <c r="C72" s="23" t="s">
        <v>157</v>
      </c>
      <c r="D72" s="8" t="s">
        <v>158</v>
      </c>
      <c r="E72" s="8">
        <v>2</v>
      </c>
      <c r="F72" s="15" t="s">
        <v>74</v>
      </c>
      <c r="G72" s="10" t="s">
        <v>20</v>
      </c>
      <c r="H72" s="11">
        <v>1</v>
      </c>
      <c r="I72" s="12">
        <v>44</v>
      </c>
      <c r="J72" s="13">
        <v>3132.6</v>
      </c>
      <c r="K72" s="13">
        <v>0</v>
      </c>
      <c r="L72" s="13">
        <v>0</v>
      </c>
      <c r="M72" s="13">
        <v>209</v>
      </c>
      <c r="N72" s="13">
        <v>0</v>
      </c>
      <c r="O72" s="13">
        <f>14.92+326.75+97.43</f>
        <v>439.1</v>
      </c>
      <c r="P72" s="14">
        <f t="shared" si="2"/>
        <v>2902.5</v>
      </c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0"/>
      <c r="IX72" s="20"/>
      <c r="IY72" s="20"/>
      <c r="IZ72" s="20"/>
      <c r="JA72" s="20"/>
      <c r="JB72" s="20"/>
      <c r="JC72" s="20"/>
      <c r="JD72" s="20"/>
      <c r="JE72" s="20"/>
      <c r="JF72" s="20"/>
      <c r="JG72" s="20"/>
      <c r="JH72" s="20"/>
      <c r="JI72" s="20"/>
      <c r="JJ72" s="20"/>
      <c r="JK72" s="20"/>
      <c r="JL72" s="20"/>
      <c r="JM72" s="20"/>
      <c r="JN72" s="20"/>
      <c r="JO72" s="20"/>
      <c r="JP72" s="20"/>
      <c r="JQ72" s="20"/>
      <c r="JR72" s="20"/>
      <c r="JS72" s="20"/>
      <c r="JT72" s="20"/>
      <c r="JU72" s="20"/>
      <c r="JV72" s="20"/>
      <c r="JW72" s="20"/>
      <c r="JX72" s="20"/>
      <c r="JY72" s="20"/>
      <c r="JZ72" s="20"/>
      <c r="KA72" s="20"/>
      <c r="KB72" s="20"/>
      <c r="KC72" s="20"/>
      <c r="KD72" s="20"/>
      <c r="KE72" s="20"/>
      <c r="KF72" s="20"/>
      <c r="KG72" s="20"/>
      <c r="KH72" s="20"/>
      <c r="KI72" s="20"/>
      <c r="KJ72" s="20"/>
      <c r="KK72" s="20"/>
      <c r="KL72" s="20"/>
      <c r="KM72" s="20"/>
      <c r="KN72" s="20"/>
      <c r="KO72" s="20"/>
      <c r="KP72" s="20"/>
      <c r="KQ72" s="20"/>
      <c r="KR72" s="20"/>
      <c r="KS72" s="20"/>
      <c r="KT72" s="20"/>
      <c r="KU72" s="20"/>
      <c r="KV72" s="20"/>
      <c r="KW72" s="20"/>
      <c r="KX72" s="20"/>
      <c r="KY72" s="20"/>
      <c r="KZ72" s="20"/>
      <c r="LA72" s="20"/>
      <c r="LB72" s="20"/>
      <c r="LC72" s="20"/>
      <c r="LD72" s="20"/>
      <c r="LE72" s="20"/>
      <c r="LF72" s="20"/>
      <c r="LG72" s="20"/>
      <c r="LH72" s="20"/>
      <c r="LI72" s="20"/>
      <c r="LJ72" s="20"/>
      <c r="LK72" s="20"/>
      <c r="LL72" s="20"/>
      <c r="LM72" s="20"/>
      <c r="LN72" s="20"/>
      <c r="LO72" s="20"/>
      <c r="LP72" s="20"/>
      <c r="LQ72" s="20"/>
      <c r="LR72" s="20"/>
      <c r="LS72" s="20"/>
      <c r="LT72" s="20"/>
      <c r="LU72" s="20"/>
      <c r="LV72" s="20"/>
      <c r="LW72" s="20"/>
      <c r="LX72" s="20"/>
    </row>
    <row r="73" spans="1:336" s="24" customFormat="1" x14ac:dyDescent="0.25">
      <c r="A73" s="21" t="s">
        <v>16</v>
      </c>
      <c r="B73" s="22" t="s">
        <v>17</v>
      </c>
      <c r="C73" s="23" t="s">
        <v>159</v>
      </c>
      <c r="D73" s="8" t="s">
        <v>160</v>
      </c>
      <c r="E73" s="8">
        <v>3</v>
      </c>
      <c r="F73" s="25" t="s">
        <v>109</v>
      </c>
      <c r="G73" s="10" t="s">
        <v>20</v>
      </c>
      <c r="H73" s="11">
        <v>1</v>
      </c>
      <c r="I73" s="12">
        <v>44</v>
      </c>
      <c r="J73" s="13">
        <v>3105</v>
      </c>
      <c r="K73" s="13">
        <v>0</v>
      </c>
      <c r="L73" s="13">
        <v>0</v>
      </c>
      <c r="M73" s="13">
        <f>209+64</f>
        <v>273</v>
      </c>
      <c r="N73" s="13">
        <v>0</v>
      </c>
      <c r="O73" s="13">
        <f>62.1+322.89+38.88</f>
        <v>423.87</v>
      </c>
      <c r="P73" s="14">
        <f t="shared" si="2"/>
        <v>2954.13</v>
      </c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0"/>
      <c r="IX73" s="20"/>
      <c r="IY73" s="20"/>
      <c r="IZ73" s="20"/>
      <c r="JA73" s="20"/>
      <c r="JB73" s="20"/>
      <c r="JC73" s="20"/>
      <c r="JD73" s="20"/>
      <c r="JE73" s="20"/>
      <c r="JF73" s="20"/>
      <c r="JG73" s="20"/>
      <c r="JH73" s="20"/>
      <c r="JI73" s="20"/>
      <c r="JJ73" s="20"/>
      <c r="JK73" s="20"/>
      <c r="JL73" s="20"/>
      <c r="JM73" s="20"/>
      <c r="JN73" s="20"/>
      <c r="JO73" s="20"/>
      <c r="JP73" s="20"/>
      <c r="JQ73" s="20"/>
      <c r="JR73" s="20"/>
      <c r="JS73" s="20"/>
      <c r="JT73" s="20"/>
      <c r="JU73" s="20"/>
      <c r="JV73" s="20"/>
      <c r="JW73" s="20"/>
      <c r="JX73" s="20"/>
      <c r="JY73" s="20"/>
      <c r="JZ73" s="20"/>
      <c r="KA73" s="20"/>
      <c r="KB73" s="20"/>
      <c r="KC73" s="20"/>
      <c r="KD73" s="20"/>
      <c r="KE73" s="20"/>
      <c r="KF73" s="20"/>
      <c r="KG73" s="20"/>
      <c r="KH73" s="20"/>
      <c r="KI73" s="20"/>
      <c r="KJ73" s="20"/>
      <c r="KK73" s="20"/>
      <c r="KL73" s="20"/>
      <c r="KM73" s="20"/>
      <c r="KN73" s="20"/>
      <c r="KO73" s="20"/>
      <c r="KP73" s="20"/>
      <c r="KQ73" s="20"/>
      <c r="KR73" s="20"/>
      <c r="KS73" s="20"/>
      <c r="KT73" s="20"/>
      <c r="KU73" s="20"/>
      <c r="KV73" s="20"/>
      <c r="KW73" s="20"/>
      <c r="KX73" s="20"/>
      <c r="KY73" s="20"/>
      <c r="KZ73" s="20"/>
      <c r="LA73" s="20"/>
      <c r="LB73" s="20"/>
      <c r="LC73" s="20"/>
      <c r="LD73" s="20"/>
      <c r="LE73" s="20"/>
      <c r="LF73" s="20"/>
      <c r="LG73" s="20"/>
      <c r="LH73" s="20"/>
      <c r="LI73" s="20"/>
      <c r="LJ73" s="20"/>
      <c r="LK73" s="20"/>
      <c r="LL73" s="20"/>
      <c r="LM73" s="20"/>
      <c r="LN73" s="20"/>
      <c r="LO73" s="20"/>
      <c r="LP73" s="20"/>
      <c r="LQ73" s="20"/>
      <c r="LR73" s="20"/>
      <c r="LS73" s="20"/>
      <c r="LT73" s="20"/>
      <c r="LU73" s="20"/>
      <c r="LV73" s="20"/>
      <c r="LW73" s="20"/>
      <c r="LX73" s="20"/>
    </row>
    <row r="74" spans="1:336" s="24" customFormat="1" x14ac:dyDescent="0.25">
      <c r="A74" s="21" t="s">
        <v>16</v>
      </c>
      <c r="B74" s="22" t="s">
        <v>17</v>
      </c>
      <c r="C74" s="23" t="s">
        <v>161</v>
      </c>
      <c r="D74" s="8" t="s">
        <v>162</v>
      </c>
      <c r="E74" s="8">
        <v>2</v>
      </c>
      <c r="F74" s="9" t="s">
        <v>30</v>
      </c>
      <c r="G74" s="10" t="s">
        <v>20</v>
      </c>
      <c r="H74" s="11">
        <v>1</v>
      </c>
      <c r="I74" s="12">
        <v>44</v>
      </c>
      <c r="J74" s="13">
        <v>1908.07</v>
      </c>
      <c r="K74" s="13">
        <v>0</v>
      </c>
      <c r="L74" s="13">
        <v>0</v>
      </c>
      <c r="M74" s="13">
        <f>209+62.13+323.06+868.96+104.94</f>
        <v>1568.0900000000001</v>
      </c>
      <c r="N74" s="13">
        <v>0</v>
      </c>
      <c r="O74" s="13">
        <f>2.43+234.49+35.15</f>
        <v>272.07</v>
      </c>
      <c r="P74" s="14">
        <f t="shared" si="2"/>
        <v>3204.0899999999997</v>
      </c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  <c r="IX74" s="20"/>
      <c r="IY74" s="20"/>
      <c r="IZ74" s="20"/>
      <c r="JA74" s="20"/>
      <c r="JB74" s="20"/>
      <c r="JC74" s="20"/>
      <c r="JD74" s="20"/>
      <c r="JE74" s="20"/>
      <c r="JF74" s="20"/>
      <c r="JG74" s="20"/>
      <c r="JH74" s="20"/>
      <c r="JI74" s="20"/>
      <c r="JJ74" s="20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0"/>
      <c r="JX74" s="20"/>
      <c r="JY74" s="20"/>
      <c r="JZ74" s="20"/>
      <c r="KA74" s="20"/>
      <c r="KB74" s="20"/>
      <c r="KC74" s="20"/>
      <c r="KD74" s="20"/>
      <c r="KE74" s="20"/>
      <c r="KF74" s="20"/>
      <c r="KG74" s="20"/>
      <c r="KH74" s="20"/>
      <c r="KI74" s="20"/>
      <c r="KJ74" s="20"/>
      <c r="KK74" s="20"/>
      <c r="KL74" s="20"/>
      <c r="KM74" s="20"/>
      <c r="KN74" s="20"/>
      <c r="KO74" s="20"/>
      <c r="KP74" s="20"/>
      <c r="KQ74" s="20"/>
      <c r="KR74" s="20"/>
      <c r="KS74" s="20"/>
      <c r="KT74" s="20"/>
      <c r="KU74" s="20"/>
      <c r="KV74" s="20"/>
      <c r="KW74" s="20"/>
      <c r="KX74" s="20"/>
      <c r="KY74" s="20"/>
      <c r="KZ74" s="20"/>
      <c r="LA74" s="20"/>
      <c r="LB74" s="20"/>
      <c r="LC74" s="20"/>
      <c r="LD74" s="20"/>
      <c r="LE74" s="20"/>
      <c r="LF74" s="20"/>
      <c r="LG74" s="20"/>
      <c r="LH74" s="20"/>
      <c r="LI74" s="20"/>
      <c r="LJ74" s="20"/>
      <c r="LK74" s="20"/>
      <c r="LL74" s="20"/>
      <c r="LM74" s="20"/>
      <c r="LN74" s="20"/>
      <c r="LO74" s="20"/>
      <c r="LP74" s="20"/>
      <c r="LQ74" s="20"/>
      <c r="LR74" s="20"/>
      <c r="LS74" s="20"/>
      <c r="LT74" s="20"/>
      <c r="LU74" s="20"/>
      <c r="LV74" s="20"/>
      <c r="LW74" s="20"/>
      <c r="LX74" s="20"/>
    </row>
    <row r="75" spans="1:336" s="24" customFormat="1" x14ac:dyDescent="0.25">
      <c r="A75" s="21" t="s">
        <v>16</v>
      </c>
      <c r="B75" s="22" t="s">
        <v>17</v>
      </c>
      <c r="C75" s="23" t="s">
        <v>163</v>
      </c>
      <c r="D75" s="8" t="s">
        <v>164</v>
      </c>
      <c r="E75" s="8">
        <v>3</v>
      </c>
      <c r="F75" s="15" t="s">
        <v>25</v>
      </c>
      <c r="G75" s="10" t="s">
        <v>20</v>
      </c>
      <c r="H75" s="11">
        <v>1</v>
      </c>
      <c r="I75" s="12">
        <v>44</v>
      </c>
      <c r="J75" s="13">
        <v>1055.93</v>
      </c>
      <c r="K75" s="13">
        <v>0</v>
      </c>
      <c r="L75" s="13">
        <v>0</v>
      </c>
      <c r="M75" s="13">
        <f>97.24+209+2.7+14.05</f>
        <v>322.99</v>
      </c>
      <c r="N75" s="13">
        <v>0</v>
      </c>
      <c r="O75" s="13">
        <f>21.12+99.67+63.36</f>
        <v>184.15</v>
      </c>
      <c r="P75" s="14">
        <f t="shared" si="2"/>
        <v>1194.77</v>
      </c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  <c r="IX75" s="20"/>
      <c r="IY75" s="20"/>
      <c r="IZ75" s="20"/>
      <c r="JA75" s="20"/>
      <c r="JB75" s="20"/>
      <c r="JC75" s="20"/>
      <c r="JD75" s="20"/>
      <c r="JE75" s="20"/>
      <c r="JF75" s="20"/>
      <c r="JG75" s="20"/>
      <c r="JH75" s="20"/>
      <c r="JI75" s="20"/>
      <c r="JJ75" s="20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0"/>
      <c r="JX75" s="20"/>
      <c r="JY75" s="20"/>
      <c r="JZ75" s="20"/>
      <c r="KA75" s="20"/>
      <c r="KB75" s="20"/>
      <c r="KC75" s="20"/>
      <c r="KD75" s="20"/>
      <c r="KE75" s="20"/>
      <c r="KF75" s="20"/>
      <c r="KG75" s="20"/>
      <c r="KH75" s="20"/>
      <c r="KI75" s="20"/>
      <c r="KJ75" s="20"/>
      <c r="KK75" s="20"/>
      <c r="KL75" s="20"/>
      <c r="KM75" s="20"/>
      <c r="KN75" s="20"/>
      <c r="KO75" s="20"/>
      <c r="KP75" s="20"/>
      <c r="KQ75" s="20"/>
      <c r="KR75" s="20"/>
      <c r="KS75" s="20"/>
      <c r="KT75" s="20"/>
      <c r="KU75" s="20"/>
      <c r="KV75" s="20"/>
      <c r="KW75" s="20"/>
      <c r="KX75" s="20"/>
      <c r="KY75" s="20"/>
      <c r="KZ75" s="20"/>
      <c r="LA75" s="20"/>
      <c r="LB75" s="20"/>
      <c r="LC75" s="20"/>
      <c r="LD75" s="20"/>
      <c r="LE75" s="20"/>
      <c r="LF75" s="20"/>
      <c r="LG75" s="20"/>
      <c r="LH75" s="20"/>
      <c r="LI75" s="20"/>
      <c r="LJ75" s="20"/>
      <c r="LK75" s="20"/>
      <c r="LL75" s="20"/>
      <c r="LM75" s="20"/>
      <c r="LN75" s="20"/>
      <c r="LO75" s="20"/>
      <c r="LP75" s="20"/>
      <c r="LQ75" s="20"/>
      <c r="LR75" s="20"/>
      <c r="LS75" s="20"/>
      <c r="LT75" s="20"/>
      <c r="LU75" s="20"/>
      <c r="LV75" s="20"/>
      <c r="LW75" s="20"/>
      <c r="LX75" s="20"/>
    </row>
    <row r="76" spans="1:336" s="24" customFormat="1" x14ac:dyDescent="0.25">
      <c r="A76" s="21" t="s">
        <v>16</v>
      </c>
      <c r="B76" s="22" t="s">
        <v>17</v>
      </c>
      <c r="C76" s="23">
        <v>10068012438</v>
      </c>
      <c r="D76" s="16" t="s">
        <v>165</v>
      </c>
      <c r="E76" s="8">
        <v>3</v>
      </c>
      <c r="F76" s="15" t="s">
        <v>25</v>
      </c>
      <c r="G76" s="10" t="s">
        <v>20</v>
      </c>
      <c r="H76" s="11">
        <v>1</v>
      </c>
      <c r="I76" s="12">
        <v>44</v>
      </c>
      <c r="J76" s="13">
        <v>1055.93</v>
      </c>
      <c r="K76" s="13">
        <v>0</v>
      </c>
      <c r="L76" s="13">
        <v>0</v>
      </c>
      <c r="M76" s="13">
        <f>209+128+29.73+154.6</f>
        <v>521.33000000000004</v>
      </c>
      <c r="N76" s="13">
        <v>0</v>
      </c>
      <c r="O76" s="13">
        <f>21.12+114.75+63.36</f>
        <v>199.23000000000002</v>
      </c>
      <c r="P76" s="14">
        <f t="shared" si="2"/>
        <v>1378.0300000000002</v>
      </c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0"/>
      <c r="IX76" s="20"/>
      <c r="IY76" s="20"/>
      <c r="IZ76" s="20"/>
      <c r="JA76" s="20"/>
      <c r="JB76" s="20"/>
      <c r="JC76" s="20"/>
      <c r="JD76" s="20"/>
      <c r="JE76" s="20"/>
      <c r="JF76" s="20"/>
      <c r="JG76" s="20"/>
      <c r="JH76" s="20"/>
      <c r="JI76" s="20"/>
      <c r="JJ76" s="20"/>
      <c r="JK76" s="20"/>
      <c r="JL76" s="20"/>
      <c r="JM76" s="20"/>
      <c r="JN76" s="20"/>
      <c r="JO76" s="20"/>
      <c r="JP76" s="20"/>
      <c r="JQ76" s="20"/>
      <c r="JR76" s="20"/>
      <c r="JS76" s="20"/>
      <c r="JT76" s="20"/>
      <c r="JU76" s="20"/>
      <c r="JV76" s="20"/>
      <c r="JW76" s="20"/>
      <c r="JX76" s="20"/>
      <c r="JY76" s="20"/>
      <c r="JZ76" s="20"/>
      <c r="KA76" s="20"/>
      <c r="KB76" s="20"/>
      <c r="KC76" s="20"/>
      <c r="KD76" s="20"/>
      <c r="KE76" s="20"/>
      <c r="KF76" s="20"/>
      <c r="KG76" s="20"/>
      <c r="KH76" s="20"/>
      <c r="KI76" s="20"/>
      <c r="KJ76" s="20"/>
      <c r="KK76" s="20"/>
      <c r="KL76" s="20"/>
      <c r="KM76" s="20"/>
      <c r="KN76" s="20"/>
      <c r="KO76" s="20"/>
      <c r="KP76" s="20"/>
      <c r="KQ76" s="20"/>
      <c r="KR76" s="20"/>
      <c r="KS76" s="20"/>
      <c r="KT76" s="20"/>
      <c r="KU76" s="20"/>
      <c r="KV76" s="20"/>
      <c r="KW76" s="20"/>
      <c r="KX76" s="20"/>
      <c r="KY76" s="20"/>
      <c r="KZ76" s="20"/>
      <c r="LA76" s="20"/>
      <c r="LB76" s="20"/>
      <c r="LC76" s="20"/>
      <c r="LD76" s="20"/>
      <c r="LE76" s="20"/>
      <c r="LF76" s="20"/>
      <c r="LG76" s="20"/>
      <c r="LH76" s="20"/>
      <c r="LI76" s="20"/>
      <c r="LJ76" s="20"/>
      <c r="LK76" s="20"/>
      <c r="LL76" s="20"/>
      <c r="LM76" s="20"/>
      <c r="LN76" s="20"/>
      <c r="LO76" s="20"/>
      <c r="LP76" s="20"/>
      <c r="LQ76" s="20"/>
      <c r="LR76" s="20"/>
      <c r="LS76" s="20"/>
      <c r="LT76" s="20"/>
      <c r="LU76" s="20"/>
      <c r="LV76" s="20"/>
      <c r="LW76" s="20"/>
      <c r="LX76" s="20"/>
    </row>
    <row r="77" spans="1:336" s="24" customFormat="1" x14ac:dyDescent="0.25">
      <c r="A77" s="21" t="s">
        <v>16</v>
      </c>
      <c r="B77" s="22" t="s">
        <v>17</v>
      </c>
      <c r="C77" s="23" t="s">
        <v>166</v>
      </c>
      <c r="D77" s="8" t="s">
        <v>167</v>
      </c>
      <c r="E77" s="8">
        <v>2</v>
      </c>
      <c r="F77" s="17" t="s">
        <v>53</v>
      </c>
      <c r="G77" s="10" t="s">
        <v>20</v>
      </c>
      <c r="H77" s="11">
        <v>1</v>
      </c>
      <c r="I77" s="12">
        <v>44</v>
      </c>
      <c r="J77" s="13">
        <v>1500</v>
      </c>
      <c r="K77" s="13">
        <v>0</v>
      </c>
      <c r="L77" s="13">
        <v>0</v>
      </c>
      <c r="M77" s="13">
        <f>209</f>
        <v>209</v>
      </c>
      <c r="N77" s="13">
        <v>0</v>
      </c>
      <c r="O77" s="13">
        <v>138.13</v>
      </c>
      <c r="P77" s="14">
        <f t="shared" si="2"/>
        <v>1570.87</v>
      </c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0"/>
      <c r="IX77" s="20"/>
      <c r="IY77" s="20"/>
      <c r="IZ77" s="20"/>
      <c r="JA77" s="20"/>
      <c r="JB77" s="20"/>
      <c r="JC77" s="20"/>
      <c r="JD77" s="20"/>
      <c r="JE77" s="20"/>
      <c r="JF77" s="20"/>
      <c r="JG77" s="20"/>
      <c r="JH77" s="20"/>
      <c r="JI77" s="20"/>
      <c r="JJ77" s="20"/>
      <c r="JK77" s="20"/>
      <c r="JL77" s="20"/>
      <c r="JM77" s="20"/>
      <c r="JN77" s="20"/>
      <c r="JO77" s="20"/>
      <c r="JP77" s="20"/>
      <c r="JQ77" s="20"/>
      <c r="JR77" s="20"/>
      <c r="JS77" s="20"/>
      <c r="JT77" s="20"/>
      <c r="JU77" s="20"/>
      <c r="JV77" s="20"/>
      <c r="JW77" s="20"/>
      <c r="JX77" s="20"/>
      <c r="JY77" s="20"/>
      <c r="JZ77" s="20"/>
      <c r="KA77" s="20"/>
      <c r="KB77" s="20"/>
      <c r="KC77" s="20"/>
      <c r="KD77" s="20"/>
      <c r="KE77" s="20"/>
      <c r="KF77" s="20"/>
      <c r="KG77" s="20"/>
      <c r="KH77" s="20"/>
      <c r="KI77" s="20"/>
      <c r="KJ77" s="20"/>
      <c r="KK77" s="20"/>
      <c r="KL77" s="20"/>
      <c r="KM77" s="20"/>
      <c r="KN77" s="20"/>
      <c r="KO77" s="20"/>
      <c r="KP77" s="20"/>
      <c r="KQ77" s="20"/>
      <c r="KR77" s="20"/>
      <c r="KS77" s="20"/>
      <c r="KT77" s="20"/>
      <c r="KU77" s="20"/>
      <c r="KV77" s="20"/>
      <c r="KW77" s="20"/>
      <c r="KX77" s="20"/>
      <c r="KY77" s="20"/>
      <c r="KZ77" s="20"/>
      <c r="LA77" s="20"/>
      <c r="LB77" s="20"/>
      <c r="LC77" s="20"/>
      <c r="LD77" s="20"/>
      <c r="LE77" s="20"/>
      <c r="LF77" s="20"/>
      <c r="LG77" s="20"/>
      <c r="LH77" s="20"/>
      <c r="LI77" s="20"/>
      <c r="LJ77" s="20"/>
      <c r="LK77" s="20"/>
      <c r="LL77" s="20"/>
      <c r="LM77" s="20"/>
      <c r="LN77" s="20"/>
      <c r="LO77" s="20"/>
      <c r="LP77" s="20"/>
      <c r="LQ77" s="20"/>
      <c r="LR77" s="20"/>
      <c r="LS77" s="20"/>
      <c r="LT77" s="20"/>
      <c r="LU77" s="20"/>
      <c r="LV77" s="20"/>
      <c r="LW77" s="20"/>
      <c r="LX77" s="20"/>
    </row>
    <row r="78" spans="1:336" s="24" customFormat="1" x14ac:dyDescent="0.25">
      <c r="A78" s="21" t="s">
        <v>16</v>
      </c>
      <c r="B78" s="22" t="s">
        <v>17</v>
      </c>
      <c r="C78" s="23" t="s">
        <v>168</v>
      </c>
      <c r="D78" s="8" t="s">
        <v>169</v>
      </c>
      <c r="E78" s="8">
        <v>3</v>
      </c>
      <c r="F78" s="15" t="s">
        <v>25</v>
      </c>
      <c r="G78" s="10" t="s">
        <v>20</v>
      </c>
      <c r="H78" s="11">
        <v>1</v>
      </c>
      <c r="I78" s="12">
        <v>44</v>
      </c>
      <c r="J78" s="13">
        <v>1055.93</v>
      </c>
      <c r="K78" s="13">
        <v>0</v>
      </c>
      <c r="L78" s="13">
        <v>0</v>
      </c>
      <c r="M78" s="13">
        <f>209+64+35.14+182.71</f>
        <v>490.85</v>
      </c>
      <c r="N78" s="13">
        <v>0</v>
      </c>
      <c r="O78" s="13">
        <f>21.12+117.77+63.36</f>
        <v>202.25</v>
      </c>
      <c r="P78" s="14">
        <f t="shared" si="2"/>
        <v>1344.5300000000002</v>
      </c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0"/>
      <c r="IX78" s="20"/>
      <c r="IY78" s="20"/>
      <c r="IZ78" s="20"/>
      <c r="JA78" s="20"/>
      <c r="JB78" s="20"/>
      <c r="JC78" s="20"/>
      <c r="JD78" s="20"/>
      <c r="JE78" s="20"/>
      <c r="JF78" s="20"/>
      <c r="JG78" s="20"/>
      <c r="JH78" s="20"/>
      <c r="JI78" s="20"/>
      <c r="JJ78" s="20"/>
      <c r="JK78" s="20"/>
      <c r="JL78" s="20"/>
      <c r="JM78" s="20"/>
      <c r="JN78" s="20"/>
      <c r="JO78" s="20"/>
      <c r="JP78" s="20"/>
      <c r="JQ78" s="20"/>
      <c r="JR78" s="20"/>
      <c r="JS78" s="20"/>
      <c r="JT78" s="20"/>
      <c r="JU78" s="20"/>
      <c r="JV78" s="20"/>
      <c r="JW78" s="20"/>
      <c r="JX78" s="20"/>
      <c r="JY78" s="20"/>
      <c r="JZ78" s="20"/>
      <c r="KA78" s="20"/>
      <c r="KB78" s="20"/>
      <c r="KC78" s="20"/>
      <c r="KD78" s="20"/>
      <c r="KE78" s="20"/>
      <c r="KF78" s="20"/>
      <c r="KG78" s="20"/>
      <c r="KH78" s="20"/>
      <c r="KI78" s="20"/>
      <c r="KJ78" s="20"/>
      <c r="KK78" s="20"/>
      <c r="KL78" s="20"/>
      <c r="KM78" s="20"/>
      <c r="KN78" s="20"/>
      <c r="KO78" s="20"/>
      <c r="KP78" s="20"/>
      <c r="KQ78" s="20"/>
      <c r="KR78" s="20"/>
      <c r="KS78" s="20"/>
      <c r="KT78" s="20"/>
      <c r="KU78" s="20"/>
      <c r="KV78" s="20"/>
      <c r="KW78" s="20"/>
      <c r="KX78" s="20"/>
      <c r="KY78" s="20"/>
      <c r="KZ78" s="20"/>
      <c r="LA78" s="20"/>
      <c r="LB78" s="20"/>
      <c r="LC78" s="20"/>
      <c r="LD78" s="20"/>
      <c r="LE78" s="20"/>
      <c r="LF78" s="20"/>
      <c r="LG78" s="20"/>
      <c r="LH78" s="20"/>
      <c r="LI78" s="20"/>
      <c r="LJ78" s="20"/>
      <c r="LK78" s="20"/>
      <c r="LL78" s="20"/>
      <c r="LM78" s="20"/>
      <c r="LN78" s="20"/>
      <c r="LO78" s="20"/>
      <c r="LP78" s="20"/>
      <c r="LQ78" s="20"/>
      <c r="LR78" s="20"/>
      <c r="LS78" s="20"/>
      <c r="LT78" s="20"/>
      <c r="LU78" s="20"/>
      <c r="LV78" s="20"/>
      <c r="LW78" s="20"/>
      <c r="LX78" s="20"/>
    </row>
    <row r="79" spans="1:336" s="24" customFormat="1" x14ac:dyDescent="0.25">
      <c r="A79" s="21" t="s">
        <v>16</v>
      </c>
      <c r="B79" s="22" t="s">
        <v>17</v>
      </c>
      <c r="C79" s="23" t="s">
        <v>170</v>
      </c>
      <c r="D79" s="8" t="s">
        <v>171</v>
      </c>
      <c r="E79" s="8">
        <v>2</v>
      </c>
      <c r="F79" s="9" t="s">
        <v>35</v>
      </c>
      <c r="G79" s="10" t="s">
        <v>20</v>
      </c>
      <c r="H79" s="11">
        <v>1</v>
      </c>
      <c r="I79" s="12">
        <v>44</v>
      </c>
      <c r="J79" s="13">
        <v>2030.47</v>
      </c>
      <c r="K79" s="13">
        <v>0</v>
      </c>
      <c r="L79" s="13">
        <v>0</v>
      </c>
      <c r="M79" s="13">
        <f>54.67+284.27+812.19</f>
        <v>1151.1300000000001</v>
      </c>
      <c r="N79" s="13">
        <v>0</v>
      </c>
      <c r="O79" s="13">
        <f>304.53+44.56</f>
        <v>349.09</v>
      </c>
      <c r="P79" s="14">
        <f t="shared" si="2"/>
        <v>2832.51</v>
      </c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0"/>
      <c r="IX79" s="20"/>
      <c r="IY79" s="20"/>
      <c r="IZ79" s="20"/>
      <c r="JA79" s="20"/>
      <c r="JB79" s="20"/>
      <c r="JC79" s="20"/>
      <c r="JD79" s="20"/>
      <c r="JE79" s="20"/>
      <c r="JF79" s="20"/>
      <c r="JG79" s="20"/>
      <c r="JH79" s="20"/>
      <c r="JI79" s="20"/>
      <c r="JJ79" s="20"/>
      <c r="JK79" s="20"/>
      <c r="JL79" s="20"/>
      <c r="JM79" s="20"/>
      <c r="JN79" s="20"/>
      <c r="JO79" s="20"/>
      <c r="JP79" s="20"/>
      <c r="JQ79" s="20"/>
      <c r="JR79" s="20"/>
      <c r="JS79" s="20"/>
      <c r="JT79" s="20"/>
      <c r="JU79" s="20"/>
      <c r="JV79" s="20"/>
      <c r="JW79" s="20"/>
      <c r="JX79" s="20"/>
      <c r="JY79" s="20"/>
      <c r="JZ79" s="20"/>
      <c r="KA79" s="20"/>
      <c r="KB79" s="20"/>
      <c r="KC79" s="20"/>
      <c r="KD79" s="20"/>
      <c r="KE79" s="20"/>
      <c r="KF79" s="20"/>
      <c r="KG79" s="20"/>
      <c r="KH79" s="20"/>
      <c r="KI79" s="20"/>
      <c r="KJ79" s="20"/>
      <c r="KK79" s="20"/>
      <c r="KL79" s="20"/>
      <c r="KM79" s="20"/>
      <c r="KN79" s="20"/>
      <c r="KO79" s="20"/>
      <c r="KP79" s="20"/>
      <c r="KQ79" s="20"/>
      <c r="KR79" s="20"/>
      <c r="KS79" s="20"/>
      <c r="KT79" s="20"/>
      <c r="KU79" s="20"/>
      <c r="KV79" s="20"/>
      <c r="KW79" s="20"/>
      <c r="KX79" s="20"/>
      <c r="KY79" s="20"/>
      <c r="KZ79" s="20"/>
      <c r="LA79" s="20"/>
      <c r="LB79" s="20"/>
      <c r="LC79" s="20"/>
      <c r="LD79" s="20"/>
      <c r="LE79" s="20"/>
      <c r="LF79" s="20"/>
      <c r="LG79" s="20"/>
      <c r="LH79" s="20"/>
      <c r="LI79" s="20"/>
      <c r="LJ79" s="20"/>
      <c r="LK79" s="20"/>
      <c r="LL79" s="20"/>
      <c r="LM79" s="20"/>
      <c r="LN79" s="20"/>
      <c r="LO79" s="20"/>
      <c r="LP79" s="20"/>
      <c r="LQ79" s="20"/>
      <c r="LR79" s="20"/>
      <c r="LS79" s="20"/>
      <c r="LT79" s="20"/>
      <c r="LU79" s="20"/>
      <c r="LV79" s="20"/>
      <c r="LW79" s="20"/>
      <c r="LX79" s="20"/>
    </row>
    <row r="80" spans="1:336" s="24" customFormat="1" x14ac:dyDescent="0.25">
      <c r="A80" s="21" t="s">
        <v>16</v>
      </c>
      <c r="B80" s="22" t="s">
        <v>17</v>
      </c>
      <c r="C80" s="23" t="s">
        <v>172</v>
      </c>
      <c r="D80" s="8" t="s">
        <v>173</v>
      </c>
      <c r="E80" s="8">
        <v>3</v>
      </c>
      <c r="F80" s="15" t="s">
        <v>68</v>
      </c>
      <c r="G80" s="10" t="s">
        <v>20</v>
      </c>
      <c r="H80" s="11">
        <v>1</v>
      </c>
      <c r="I80" s="12">
        <v>44</v>
      </c>
      <c r="J80" s="13">
        <v>1254.55</v>
      </c>
      <c r="K80" s="13">
        <v>0</v>
      </c>
      <c r="L80" s="13">
        <v>0</v>
      </c>
      <c r="M80" s="13">
        <f>209+50.04+260.19</f>
        <v>519.23</v>
      </c>
      <c r="N80" s="13">
        <v>0</v>
      </c>
      <c r="O80" s="13">
        <f>25.09+143.96+75.27</f>
        <v>244.32</v>
      </c>
      <c r="P80" s="14">
        <f t="shared" si="2"/>
        <v>1529.46</v>
      </c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  <c r="IH80" s="20"/>
      <c r="II80" s="20"/>
      <c r="IJ80" s="20"/>
      <c r="IK80" s="20"/>
      <c r="IL80" s="20"/>
      <c r="IM80" s="20"/>
      <c r="IN80" s="20"/>
      <c r="IO80" s="20"/>
      <c r="IP80" s="20"/>
      <c r="IQ80" s="20"/>
      <c r="IR80" s="20"/>
      <c r="IS80" s="20"/>
      <c r="IT80" s="20"/>
      <c r="IU80" s="20"/>
      <c r="IV80" s="20"/>
      <c r="IW80" s="20"/>
      <c r="IX80" s="20"/>
      <c r="IY80" s="20"/>
      <c r="IZ80" s="20"/>
      <c r="JA80" s="20"/>
      <c r="JB80" s="20"/>
      <c r="JC80" s="20"/>
      <c r="JD80" s="20"/>
      <c r="JE80" s="20"/>
      <c r="JF80" s="20"/>
      <c r="JG80" s="20"/>
      <c r="JH80" s="20"/>
      <c r="JI80" s="20"/>
      <c r="JJ80" s="20"/>
      <c r="JK80" s="20"/>
      <c r="JL80" s="20"/>
      <c r="JM80" s="20"/>
      <c r="JN80" s="20"/>
      <c r="JO80" s="20"/>
      <c r="JP80" s="20"/>
      <c r="JQ80" s="20"/>
      <c r="JR80" s="20"/>
      <c r="JS80" s="20"/>
      <c r="JT80" s="20"/>
      <c r="JU80" s="20"/>
      <c r="JV80" s="20"/>
      <c r="JW80" s="20"/>
      <c r="JX80" s="20"/>
      <c r="JY80" s="20"/>
      <c r="JZ80" s="20"/>
      <c r="KA80" s="20"/>
      <c r="KB80" s="20"/>
      <c r="KC80" s="20"/>
      <c r="KD80" s="20"/>
      <c r="KE80" s="20"/>
      <c r="KF80" s="20"/>
      <c r="KG80" s="20"/>
      <c r="KH80" s="20"/>
      <c r="KI80" s="20"/>
      <c r="KJ80" s="20"/>
      <c r="KK80" s="20"/>
      <c r="KL80" s="20"/>
      <c r="KM80" s="20"/>
      <c r="KN80" s="20"/>
      <c r="KO80" s="20"/>
      <c r="KP80" s="20"/>
      <c r="KQ80" s="20"/>
      <c r="KR80" s="20"/>
      <c r="KS80" s="20"/>
      <c r="KT80" s="20"/>
      <c r="KU80" s="20"/>
      <c r="KV80" s="20"/>
      <c r="KW80" s="20"/>
      <c r="KX80" s="20"/>
      <c r="KY80" s="20"/>
      <c r="KZ80" s="20"/>
      <c r="LA80" s="20"/>
      <c r="LB80" s="20"/>
      <c r="LC80" s="20"/>
      <c r="LD80" s="20"/>
      <c r="LE80" s="20"/>
      <c r="LF80" s="20"/>
      <c r="LG80" s="20"/>
      <c r="LH80" s="20"/>
      <c r="LI80" s="20"/>
      <c r="LJ80" s="20"/>
      <c r="LK80" s="20"/>
      <c r="LL80" s="20"/>
      <c r="LM80" s="20"/>
      <c r="LN80" s="20"/>
      <c r="LO80" s="20"/>
      <c r="LP80" s="20"/>
      <c r="LQ80" s="20"/>
      <c r="LR80" s="20"/>
      <c r="LS80" s="20"/>
      <c r="LT80" s="20"/>
      <c r="LU80" s="20"/>
      <c r="LV80" s="20"/>
      <c r="LW80" s="20"/>
      <c r="LX80" s="20"/>
    </row>
    <row r="81" spans="1:336" s="24" customFormat="1" x14ac:dyDescent="0.25">
      <c r="A81" s="21" t="s">
        <v>16</v>
      </c>
      <c r="B81" s="22" t="s">
        <v>17</v>
      </c>
      <c r="C81" s="23">
        <v>89967100400</v>
      </c>
      <c r="D81" s="8" t="s">
        <v>174</v>
      </c>
      <c r="E81" s="8">
        <v>3</v>
      </c>
      <c r="F81" s="9" t="s">
        <v>63</v>
      </c>
      <c r="G81" s="10" t="s">
        <v>20</v>
      </c>
      <c r="H81" s="11">
        <v>1</v>
      </c>
      <c r="I81" s="12">
        <v>44</v>
      </c>
      <c r="J81" s="13">
        <v>1045</v>
      </c>
      <c r="K81" s="13">
        <v>0</v>
      </c>
      <c r="L81" s="13">
        <v>0</v>
      </c>
      <c r="M81" s="13">
        <f>48.62+209</f>
        <v>257.62</v>
      </c>
      <c r="N81" s="13">
        <v>0</v>
      </c>
      <c r="O81" s="13">
        <f>20.9+97.18</f>
        <v>118.08000000000001</v>
      </c>
      <c r="P81" s="14">
        <f t="shared" si="2"/>
        <v>1184.54</v>
      </c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  <c r="IX81" s="20"/>
      <c r="IY81" s="20"/>
      <c r="IZ81" s="20"/>
      <c r="JA81" s="20"/>
      <c r="JB81" s="20"/>
      <c r="JC81" s="20"/>
      <c r="JD81" s="20"/>
      <c r="JE81" s="20"/>
      <c r="JF81" s="20"/>
      <c r="JG81" s="20"/>
      <c r="JH81" s="20"/>
      <c r="JI81" s="20"/>
      <c r="JJ81" s="20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0"/>
      <c r="JX81" s="20"/>
      <c r="JY81" s="20"/>
      <c r="JZ81" s="20"/>
      <c r="KA81" s="20"/>
      <c r="KB81" s="20"/>
      <c r="KC81" s="20"/>
      <c r="KD81" s="20"/>
      <c r="KE81" s="20"/>
      <c r="KF81" s="20"/>
      <c r="KG81" s="20"/>
      <c r="KH81" s="20"/>
      <c r="KI81" s="20"/>
      <c r="KJ81" s="20"/>
      <c r="KK81" s="20"/>
      <c r="KL81" s="20"/>
      <c r="KM81" s="20"/>
      <c r="KN81" s="20"/>
      <c r="KO81" s="20"/>
      <c r="KP81" s="20"/>
      <c r="KQ81" s="20"/>
      <c r="KR81" s="20"/>
      <c r="KS81" s="20"/>
      <c r="KT81" s="20"/>
      <c r="KU81" s="20"/>
      <c r="KV81" s="20"/>
      <c r="KW81" s="20"/>
      <c r="KX81" s="20"/>
      <c r="KY81" s="20"/>
      <c r="KZ81" s="20"/>
      <c r="LA81" s="20"/>
      <c r="LB81" s="20"/>
      <c r="LC81" s="20"/>
      <c r="LD81" s="20"/>
      <c r="LE81" s="20"/>
      <c r="LF81" s="20"/>
      <c r="LG81" s="20"/>
      <c r="LH81" s="20"/>
      <c r="LI81" s="20"/>
      <c r="LJ81" s="20"/>
      <c r="LK81" s="20"/>
      <c r="LL81" s="20"/>
      <c r="LM81" s="20"/>
      <c r="LN81" s="20"/>
      <c r="LO81" s="20"/>
      <c r="LP81" s="20"/>
      <c r="LQ81" s="20"/>
      <c r="LR81" s="20"/>
      <c r="LS81" s="20"/>
      <c r="LT81" s="20"/>
      <c r="LU81" s="20"/>
      <c r="LV81" s="20"/>
      <c r="LW81" s="20"/>
      <c r="LX81" s="20"/>
    </row>
    <row r="82" spans="1:336" s="24" customFormat="1" x14ac:dyDescent="0.25">
      <c r="A82" s="21" t="s">
        <v>16</v>
      </c>
      <c r="B82" s="22" t="s">
        <v>17</v>
      </c>
      <c r="C82" s="23" t="s">
        <v>175</v>
      </c>
      <c r="D82" s="8" t="s">
        <v>176</v>
      </c>
      <c r="E82" s="8">
        <v>2</v>
      </c>
      <c r="F82" s="9" t="s">
        <v>30</v>
      </c>
      <c r="G82" s="10" t="s">
        <v>20</v>
      </c>
      <c r="H82" s="11">
        <v>1</v>
      </c>
      <c r="I82" s="12">
        <v>44</v>
      </c>
      <c r="J82" s="13">
        <v>1771.76</v>
      </c>
      <c r="K82" s="13">
        <v>0</v>
      </c>
      <c r="L82" s="13">
        <v>0</v>
      </c>
      <c r="M82" s="13">
        <f>209+6.35+33.01+696.47+97.45</f>
        <v>1042.28</v>
      </c>
      <c r="N82" s="13">
        <v>0</v>
      </c>
      <c r="O82" s="13">
        <f>2.43+175.73</f>
        <v>178.16</v>
      </c>
      <c r="P82" s="14">
        <f t="shared" si="2"/>
        <v>2635.88</v>
      </c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</row>
    <row r="83" spans="1:336" s="24" customFormat="1" x14ac:dyDescent="0.25">
      <c r="A83" s="21" t="s">
        <v>16</v>
      </c>
      <c r="B83" s="22" t="s">
        <v>17</v>
      </c>
      <c r="C83" s="23" t="s">
        <v>177</v>
      </c>
      <c r="D83" s="8" t="s">
        <v>178</v>
      </c>
      <c r="E83" s="8">
        <v>3</v>
      </c>
      <c r="F83" s="15" t="s">
        <v>136</v>
      </c>
      <c r="G83" s="10" t="s">
        <v>20</v>
      </c>
      <c r="H83" s="11">
        <v>1</v>
      </c>
      <c r="I83" s="12">
        <v>44</v>
      </c>
      <c r="J83" s="13">
        <v>1552.5</v>
      </c>
      <c r="K83" s="13">
        <v>0</v>
      </c>
      <c r="L83" s="13">
        <v>0</v>
      </c>
      <c r="M83" s="13">
        <v>209</v>
      </c>
      <c r="N83" s="13">
        <v>0</v>
      </c>
      <c r="O83" s="13">
        <f>142.85+93.15+31.05</f>
        <v>267.05</v>
      </c>
      <c r="P83" s="14">
        <f t="shared" si="2"/>
        <v>1494.45</v>
      </c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</row>
    <row r="84" spans="1:336" s="24" customFormat="1" x14ac:dyDescent="0.25">
      <c r="A84" s="21" t="s">
        <v>16</v>
      </c>
      <c r="B84" s="22" t="s">
        <v>17</v>
      </c>
      <c r="C84" s="23" t="s">
        <v>179</v>
      </c>
      <c r="D84" s="8" t="s">
        <v>180</v>
      </c>
      <c r="E84" s="8">
        <v>2</v>
      </c>
      <c r="F84" s="9" t="s">
        <v>19</v>
      </c>
      <c r="G84" s="10" t="s">
        <v>20</v>
      </c>
      <c r="H84" s="11">
        <v>1</v>
      </c>
      <c r="I84" s="12">
        <v>44</v>
      </c>
      <c r="J84" s="13">
        <v>1212.4000000000001</v>
      </c>
      <c r="K84" s="13">
        <v>0</v>
      </c>
      <c r="L84" s="13">
        <v>0</v>
      </c>
      <c r="M84" s="13">
        <f>209+45.56+236.9</f>
        <v>491.46000000000004</v>
      </c>
      <c r="N84" s="13">
        <v>0</v>
      </c>
      <c r="O84" s="13">
        <f>24.25+137.66+72.74</f>
        <v>234.64999999999998</v>
      </c>
      <c r="P84" s="14">
        <f t="shared" si="2"/>
        <v>1469.21</v>
      </c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</row>
    <row r="85" spans="1:336" s="24" customFormat="1" x14ac:dyDescent="0.25">
      <c r="A85" s="21" t="s">
        <v>16</v>
      </c>
      <c r="B85" s="22" t="s">
        <v>17</v>
      </c>
      <c r="C85" s="23">
        <v>93397941415</v>
      </c>
      <c r="D85" s="8" t="s">
        <v>181</v>
      </c>
      <c r="E85" s="8">
        <v>2</v>
      </c>
      <c r="F85" s="9" t="s">
        <v>19</v>
      </c>
      <c r="G85" s="10" t="s">
        <v>20</v>
      </c>
      <c r="H85" s="11">
        <v>1</v>
      </c>
      <c r="I85" s="12">
        <v>44</v>
      </c>
      <c r="J85" s="13">
        <v>1212.4000000000001</v>
      </c>
      <c r="K85" s="13">
        <v>0</v>
      </c>
      <c r="L85" s="13">
        <v>0</v>
      </c>
      <c r="M85" s="13">
        <f>209+39.21+203.88</f>
        <v>452.09000000000003</v>
      </c>
      <c r="N85" s="13">
        <v>0</v>
      </c>
      <c r="O85" s="13">
        <f>24.25+134.12</f>
        <v>158.37</v>
      </c>
      <c r="P85" s="14">
        <f t="shared" si="2"/>
        <v>1506.1200000000003</v>
      </c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  <c r="IB85" s="20"/>
      <c r="IC85" s="20"/>
      <c r="ID85" s="20"/>
      <c r="IE85" s="20"/>
      <c r="IF85" s="20"/>
      <c r="IG85" s="20"/>
      <c r="IH85" s="20"/>
      <c r="II85" s="20"/>
      <c r="IJ85" s="20"/>
      <c r="IK85" s="20"/>
      <c r="IL85" s="20"/>
      <c r="IM85" s="20"/>
      <c r="IN85" s="20"/>
      <c r="IO85" s="20"/>
      <c r="IP85" s="20"/>
      <c r="IQ85" s="20"/>
      <c r="IR85" s="20"/>
      <c r="IS85" s="20"/>
      <c r="IT85" s="20"/>
      <c r="IU85" s="20"/>
      <c r="IV85" s="20"/>
      <c r="IW85" s="20"/>
      <c r="IX85" s="20"/>
      <c r="IY85" s="20"/>
      <c r="IZ85" s="20"/>
      <c r="JA85" s="20"/>
      <c r="JB85" s="20"/>
      <c r="JC85" s="20"/>
      <c r="JD85" s="20"/>
      <c r="JE85" s="20"/>
      <c r="JF85" s="20"/>
      <c r="JG85" s="20"/>
      <c r="JH85" s="20"/>
      <c r="JI85" s="20"/>
      <c r="JJ85" s="20"/>
      <c r="JK85" s="20"/>
      <c r="JL85" s="20"/>
      <c r="JM85" s="20"/>
      <c r="JN85" s="20"/>
      <c r="JO85" s="20"/>
      <c r="JP85" s="20"/>
      <c r="JQ85" s="20"/>
      <c r="JR85" s="20"/>
      <c r="JS85" s="20"/>
      <c r="JT85" s="20"/>
      <c r="JU85" s="20"/>
      <c r="JV85" s="20"/>
      <c r="JW85" s="20"/>
      <c r="JX85" s="20"/>
      <c r="JY85" s="20"/>
      <c r="JZ85" s="20"/>
      <c r="KA85" s="20"/>
      <c r="KB85" s="20"/>
      <c r="KC85" s="20"/>
      <c r="KD85" s="20"/>
      <c r="KE85" s="20"/>
      <c r="KF85" s="20"/>
      <c r="KG85" s="20"/>
      <c r="KH85" s="20"/>
      <c r="KI85" s="20"/>
      <c r="KJ85" s="20"/>
      <c r="KK85" s="20"/>
      <c r="KL85" s="20"/>
      <c r="KM85" s="20"/>
      <c r="KN85" s="20"/>
      <c r="KO85" s="20"/>
      <c r="KP85" s="20"/>
      <c r="KQ85" s="20"/>
      <c r="KR85" s="20"/>
      <c r="KS85" s="20"/>
      <c r="KT85" s="20"/>
      <c r="KU85" s="20"/>
      <c r="KV85" s="20"/>
      <c r="KW85" s="20"/>
      <c r="KX85" s="20"/>
      <c r="KY85" s="20"/>
      <c r="KZ85" s="20"/>
      <c r="LA85" s="20"/>
      <c r="LB85" s="20"/>
      <c r="LC85" s="20"/>
      <c r="LD85" s="20"/>
      <c r="LE85" s="20"/>
      <c r="LF85" s="20"/>
      <c r="LG85" s="20"/>
      <c r="LH85" s="20"/>
      <c r="LI85" s="20"/>
      <c r="LJ85" s="20"/>
      <c r="LK85" s="20"/>
      <c r="LL85" s="20"/>
      <c r="LM85" s="20"/>
      <c r="LN85" s="20"/>
      <c r="LO85" s="20"/>
      <c r="LP85" s="20"/>
      <c r="LQ85" s="20"/>
      <c r="LR85" s="20"/>
      <c r="LS85" s="20"/>
      <c r="LT85" s="20"/>
      <c r="LU85" s="20"/>
      <c r="LV85" s="20"/>
      <c r="LW85" s="20"/>
      <c r="LX85" s="20"/>
    </row>
    <row r="86" spans="1:336" s="24" customFormat="1" x14ac:dyDescent="0.25">
      <c r="A86" s="21" t="s">
        <v>16</v>
      </c>
      <c r="B86" s="22" t="s">
        <v>17</v>
      </c>
      <c r="C86" s="23" t="s">
        <v>182</v>
      </c>
      <c r="D86" s="8" t="s">
        <v>183</v>
      </c>
      <c r="E86" s="8">
        <v>3</v>
      </c>
      <c r="F86" s="9" t="s">
        <v>184</v>
      </c>
      <c r="G86" s="10" t="s">
        <v>20</v>
      </c>
      <c r="H86" s="11">
        <v>2</v>
      </c>
      <c r="I86" s="12">
        <v>44</v>
      </c>
      <c r="J86" s="13">
        <v>1397.25</v>
      </c>
      <c r="K86" s="13">
        <v>0</v>
      </c>
      <c r="L86" s="13">
        <v>0</v>
      </c>
      <c r="M86" s="13">
        <f>155.25+188.1</f>
        <v>343.35</v>
      </c>
      <c r="N86" s="13">
        <v>0</v>
      </c>
      <c r="O86" s="13">
        <f>31.05+140.97</f>
        <v>172.02</v>
      </c>
      <c r="P86" s="14">
        <f t="shared" si="2"/>
        <v>1568.58</v>
      </c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</row>
    <row r="87" spans="1:336" s="24" customFormat="1" x14ac:dyDescent="0.25">
      <c r="A87" s="21" t="s">
        <v>16</v>
      </c>
      <c r="B87" s="22" t="s">
        <v>17</v>
      </c>
      <c r="C87" s="23">
        <v>89994140434</v>
      </c>
      <c r="D87" s="8" t="s">
        <v>185</v>
      </c>
      <c r="E87" s="8">
        <v>2</v>
      </c>
      <c r="F87" s="9" t="s">
        <v>19</v>
      </c>
      <c r="G87" s="10" t="s">
        <v>20</v>
      </c>
      <c r="H87" s="11">
        <v>1</v>
      </c>
      <c r="I87" s="12">
        <v>44</v>
      </c>
      <c r="J87" s="13">
        <v>484.96</v>
      </c>
      <c r="K87" s="13">
        <f>1230.77</f>
        <v>1230.77</v>
      </c>
      <c r="L87" s="13">
        <v>0</v>
      </c>
      <c r="M87" s="13">
        <f>83.6+2.87+15.79</f>
        <v>102.25999999999999</v>
      </c>
      <c r="N87" s="13">
        <v>0</v>
      </c>
      <c r="O87" s="13">
        <f>24.25+1230.77+52.85+95.08</f>
        <v>1402.9499999999998</v>
      </c>
      <c r="P87" s="14">
        <f t="shared" si="2"/>
        <v>415.04000000000019</v>
      </c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</row>
    <row r="88" spans="1:336" s="24" customFormat="1" x14ac:dyDescent="0.25">
      <c r="A88" s="21" t="s">
        <v>16</v>
      </c>
      <c r="B88" s="22" t="s">
        <v>17</v>
      </c>
      <c r="C88" s="23">
        <v>10560715404</v>
      </c>
      <c r="D88" s="8" t="s">
        <v>186</v>
      </c>
      <c r="E88" s="8">
        <v>2</v>
      </c>
      <c r="F88" s="17" t="s">
        <v>53</v>
      </c>
      <c r="G88" s="10" t="s">
        <v>20</v>
      </c>
      <c r="H88" s="11">
        <v>1</v>
      </c>
      <c r="I88" s="12">
        <v>44</v>
      </c>
      <c r="J88" s="13">
        <v>1500</v>
      </c>
      <c r="K88" s="13">
        <v>0</v>
      </c>
      <c r="L88" s="13">
        <v>0</v>
      </c>
      <c r="M88" s="13">
        <v>209</v>
      </c>
      <c r="N88" s="13">
        <v>0</v>
      </c>
      <c r="O88" s="13">
        <v>138.13</v>
      </c>
      <c r="P88" s="14">
        <f t="shared" si="2"/>
        <v>1570.87</v>
      </c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</row>
    <row r="89" spans="1:336" s="24" customFormat="1" x14ac:dyDescent="0.25">
      <c r="A89" s="21" t="s">
        <v>16</v>
      </c>
      <c r="B89" s="22" t="s">
        <v>17</v>
      </c>
      <c r="C89" s="23">
        <v>70306823438</v>
      </c>
      <c r="D89" s="8" t="s">
        <v>187</v>
      </c>
      <c r="E89" s="8">
        <v>2</v>
      </c>
      <c r="F89" s="17" t="s">
        <v>53</v>
      </c>
      <c r="G89" s="10" t="s">
        <v>20</v>
      </c>
      <c r="H89" s="11">
        <v>1</v>
      </c>
      <c r="I89" s="12">
        <v>44</v>
      </c>
      <c r="J89" s="13">
        <v>1500</v>
      </c>
      <c r="K89" s="13">
        <v>0</v>
      </c>
      <c r="L89" s="13">
        <v>0</v>
      </c>
      <c r="M89" s="13">
        <v>209</v>
      </c>
      <c r="N89" s="13">
        <v>0</v>
      </c>
      <c r="O89" s="13">
        <v>138.13</v>
      </c>
      <c r="P89" s="14">
        <f t="shared" si="2"/>
        <v>1570.87</v>
      </c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</row>
    <row r="90" spans="1:336" s="24" customFormat="1" x14ac:dyDescent="0.25">
      <c r="A90" s="21" t="s">
        <v>16</v>
      </c>
      <c r="B90" s="22" t="s">
        <v>17</v>
      </c>
      <c r="C90" s="23" t="s">
        <v>188</v>
      </c>
      <c r="D90" s="16" t="s">
        <v>189</v>
      </c>
      <c r="E90" s="8">
        <v>2</v>
      </c>
      <c r="F90" s="9" t="s">
        <v>35</v>
      </c>
      <c r="G90" s="10" t="s">
        <v>20</v>
      </c>
      <c r="H90" s="11">
        <v>1</v>
      </c>
      <c r="I90" s="12">
        <v>44</v>
      </c>
      <c r="J90" s="13">
        <v>2030.47</v>
      </c>
      <c r="K90" s="13">
        <v>0</v>
      </c>
      <c r="L90" s="13">
        <v>0</v>
      </c>
      <c r="M90" s="13">
        <f>54.67+284.27+812.19</f>
        <v>1151.1300000000001</v>
      </c>
      <c r="N90" s="13">
        <v>0</v>
      </c>
      <c r="O90" s="13">
        <f>304.35+12.19+431.59+121.83</f>
        <v>869.96</v>
      </c>
      <c r="P90" s="14">
        <f t="shared" si="2"/>
        <v>2311.6400000000003</v>
      </c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  <c r="IX90" s="20"/>
      <c r="IY90" s="20"/>
      <c r="IZ90" s="20"/>
      <c r="JA90" s="20"/>
      <c r="JB90" s="20"/>
      <c r="JC90" s="20"/>
      <c r="JD90" s="20"/>
      <c r="JE90" s="20"/>
      <c r="JF90" s="20"/>
      <c r="JG90" s="20"/>
      <c r="JH90" s="20"/>
      <c r="JI90" s="20"/>
      <c r="JJ90" s="20"/>
      <c r="JK90" s="20"/>
      <c r="JL90" s="20"/>
      <c r="JM90" s="20"/>
      <c r="JN90" s="20"/>
      <c r="JO90" s="20"/>
      <c r="JP90" s="20"/>
      <c r="JQ90" s="20"/>
      <c r="JR90" s="20"/>
      <c r="JS90" s="20"/>
      <c r="JT90" s="20"/>
      <c r="JU90" s="20"/>
      <c r="JV90" s="20"/>
      <c r="JW90" s="20"/>
      <c r="JX90" s="20"/>
      <c r="JY90" s="20"/>
      <c r="JZ90" s="20"/>
      <c r="KA90" s="20"/>
      <c r="KB90" s="20"/>
      <c r="KC90" s="20"/>
      <c r="KD90" s="20"/>
      <c r="KE90" s="20"/>
      <c r="KF90" s="20"/>
      <c r="KG90" s="20"/>
      <c r="KH90" s="20"/>
      <c r="KI90" s="20"/>
      <c r="KJ90" s="20"/>
      <c r="KK90" s="20"/>
      <c r="KL90" s="20"/>
      <c r="KM90" s="20"/>
      <c r="KN90" s="20"/>
      <c r="KO90" s="20"/>
      <c r="KP90" s="20"/>
      <c r="KQ90" s="20"/>
      <c r="KR90" s="20"/>
      <c r="KS90" s="20"/>
      <c r="KT90" s="20"/>
      <c r="KU90" s="20"/>
      <c r="KV90" s="20"/>
      <c r="KW90" s="20"/>
      <c r="KX90" s="20"/>
      <c r="KY90" s="20"/>
      <c r="KZ90" s="20"/>
      <c r="LA90" s="20"/>
      <c r="LB90" s="20"/>
      <c r="LC90" s="20"/>
      <c r="LD90" s="20"/>
      <c r="LE90" s="20"/>
      <c r="LF90" s="20"/>
      <c r="LG90" s="20"/>
      <c r="LH90" s="20"/>
      <c r="LI90" s="20"/>
      <c r="LJ90" s="20"/>
      <c r="LK90" s="20"/>
      <c r="LL90" s="20"/>
      <c r="LM90" s="20"/>
      <c r="LN90" s="20"/>
      <c r="LO90" s="20"/>
      <c r="LP90" s="20"/>
      <c r="LQ90" s="20"/>
      <c r="LR90" s="20"/>
      <c r="LS90" s="20"/>
      <c r="LT90" s="20"/>
      <c r="LU90" s="20"/>
      <c r="LV90" s="20"/>
      <c r="LW90" s="20"/>
      <c r="LX90" s="20"/>
    </row>
    <row r="91" spans="1:336" s="24" customFormat="1" x14ac:dyDescent="0.25">
      <c r="A91" s="21" t="s">
        <v>16</v>
      </c>
      <c r="B91" s="22" t="s">
        <v>17</v>
      </c>
      <c r="C91" s="23">
        <v>98694910497</v>
      </c>
      <c r="D91" s="8" t="s">
        <v>190</v>
      </c>
      <c r="E91" s="8">
        <v>2</v>
      </c>
      <c r="F91" s="9" t="s">
        <v>19</v>
      </c>
      <c r="G91" s="10" t="s">
        <v>20</v>
      </c>
      <c r="H91" s="11">
        <v>1</v>
      </c>
      <c r="I91" s="12">
        <v>44</v>
      </c>
      <c r="J91" s="13">
        <v>1212.4000000000001</v>
      </c>
      <c r="K91" s="13">
        <v>0</v>
      </c>
      <c r="L91" s="13">
        <v>0</v>
      </c>
      <c r="M91" s="13">
        <f>209+6.08+31.59</f>
        <v>246.67000000000002</v>
      </c>
      <c r="N91" s="13">
        <v>0</v>
      </c>
      <c r="O91" s="13">
        <f>24.25+115.63+72.74</f>
        <v>212.62</v>
      </c>
      <c r="P91" s="14">
        <f t="shared" si="2"/>
        <v>1246.4500000000003</v>
      </c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  <c r="IW91" s="20"/>
      <c r="IX91" s="20"/>
      <c r="IY91" s="20"/>
      <c r="IZ91" s="20"/>
      <c r="JA91" s="20"/>
      <c r="JB91" s="20"/>
      <c r="JC91" s="20"/>
      <c r="JD91" s="20"/>
      <c r="JE91" s="20"/>
      <c r="JF91" s="20"/>
      <c r="JG91" s="20"/>
      <c r="JH91" s="20"/>
      <c r="JI91" s="20"/>
      <c r="JJ91" s="20"/>
      <c r="JK91" s="20"/>
      <c r="JL91" s="20"/>
      <c r="JM91" s="20"/>
      <c r="JN91" s="20"/>
      <c r="JO91" s="20"/>
      <c r="JP91" s="20"/>
      <c r="JQ91" s="20"/>
      <c r="JR91" s="20"/>
      <c r="JS91" s="20"/>
      <c r="JT91" s="20"/>
      <c r="JU91" s="20"/>
      <c r="JV91" s="20"/>
      <c r="JW91" s="20"/>
      <c r="JX91" s="20"/>
      <c r="JY91" s="20"/>
      <c r="JZ91" s="20"/>
      <c r="KA91" s="20"/>
      <c r="KB91" s="20"/>
      <c r="KC91" s="20"/>
      <c r="KD91" s="20"/>
      <c r="KE91" s="20"/>
      <c r="KF91" s="20"/>
      <c r="KG91" s="20"/>
      <c r="KH91" s="20"/>
      <c r="KI91" s="20"/>
      <c r="KJ91" s="20"/>
      <c r="KK91" s="20"/>
      <c r="KL91" s="20"/>
      <c r="KM91" s="20"/>
      <c r="KN91" s="20"/>
      <c r="KO91" s="20"/>
      <c r="KP91" s="20"/>
      <c r="KQ91" s="20"/>
      <c r="KR91" s="20"/>
      <c r="KS91" s="20"/>
      <c r="KT91" s="20"/>
      <c r="KU91" s="20"/>
      <c r="KV91" s="20"/>
      <c r="KW91" s="20"/>
      <c r="KX91" s="20"/>
      <c r="KY91" s="20"/>
      <c r="KZ91" s="20"/>
      <c r="LA91" s="20"/>
      <c r="LB91" s="20"/>
      <c r="LC91" s="20"/>
      <c r="LD91" s="20"/>
      <c r="LE91" s="20"/>
      <c r="LF91" s="20"/>
      <c r="LG91" s="20"/>
      <c r="LH91" s="20"/>
      <c r="LI91" s="20"/>
      <c r="LJ91" s="20"/>
      <c r="LK91" s="20"/>
      <c r="LL91" s="20"/>
      <c r="LM91" s="20"/>
      <c r="LN91" s="20"/>
      <c r="LO91" s="20"/>
      <c r="LP91" s="20"/>
      <c r="LQ91" s="20"/>
      <c r="LR91" s="20"/>
      <c r="LS91" s="20"/>
      <c r="LT91" s="20"/>
      <c r="LU91" s="20"/>
      <c r="LV91" s="20"/>
      <c r="LW91" s="20"/>
      <c r="LX91" s="20"/>
    </row>
    <row r="92" spans="1:336" s="24" customFormat="1" x14ac:dyDescent="0.25">
      <c r="A92" s="21" t="s">
        <v>16</v>
      </c>
      <c r="B92" s="22" t="s">
        <v>17</v>
      </c>
      <c r="C92" s="23">
        <v>70315023490</v>
      </c>
      <c r="D92" s="8" t="s">
        <v>191</v>
      </c>
      <c r="E92" s="8">
        <v>3</v>
      </c>
      <c r="F92" s="15" t="s">
        <v>25</v>
      </c>
      <c r="G92" s="10" t="s">
        <v>20</v>
      </c>
      <c r="H92" s="11">
        <v>1</v>
      </c>
      <c r="I92" s="12">
        <v>44</v>
      </c>
      <c r="J92" s="13">
        <v>422.37</v>
      </c>
      <c r="K92" s="13">
        <v>1105.76</v>
      </c>
      <c r="L92" s="13">
        <v>0</v>
      </c>
      <c r="M92" s="13">
        <f>83.6</f>
        <v>83.6</v>
      </c>
      <c r="N92" s="13">
        <v>0</v>
      </c>
      <c r="O92" s="13">
        <f>21.12+1105.76+45.54+83.83+56.4</f>
        <v>1312.6499999999999</v>
      </c>
      <c r="P92" s="14">
        <f t="shared" si="2"/>
        <v>299.08000000000015</v>
      </c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  <c r="IB92" s="20"/>
      <c r="IC92" s="20"/>
      <c r="ID92" s="20"/>
      <c r="IE92" s="20"/>
      <c r="IF92" s="20"/>
      <c r="IG92" s="20"/>
      <c r="IH92" s="20"/>
      <c r="II92" s="20"/>
      <c r="IJ92" s="20"/>
      <c r="IK92" s="20"/>
      <c r="IL92" s="20"/>
      <c r="IM92" s="20"/>
      <c r="IN92" s="20"/>
      <c r="IO92" s="20"/>
      <c r="IP92" s="20"/>
      <c r="IQ92" s="20"/>
      <c r="IR92" s="20"/>
      <c r="IS92" s="20"/>
      <c r="IT92" s="20"/>
      <c r="IU92" s="20"/>
      <c r="IV92" s="20"/>
      <c r="IW92" s="20"/>
      <c r="IX92" s="20"/>
      <c r="IY92" s="20"/>
      <c r="IZ92" s="20"/>
      <c r="JA92" s="20"/>
      <c r="JB92" s="20"/>
      <c r="JC92" s="20"/>
      <c r="JD92" s="20"/>
      <c r="JE92" s="20"/>
      <c r="JF92" s="20"/>
      <c r="JG92" s="20"/>
      <c r="JH92" s="20"/>
      <c r="JI92" s="20"/>
      <c r="JJ92" s="20"/>
      <c r="JK92" s="20"/>
      <c r="JL92" s="20"/>
      <c r="JM92" s="20"/>
      <c r="JN92" s="20"/>
      <c r="JO92" s="20"/>
      <c r="JP92" s="20"/>
      <c r="JQ92" s="20"/>
      <c r="JR92" s="20"/>
      <c r="JS92" s="20"/>
      <c r="JT92" s="20"/>
      <c r="JU92" s="20"/>
      <c r="JV92" s="20"/>
      <c r="JW92" s="20"/>
      <c r="JX92" s="20"/>
      <c r="JY92" s="20"/>
      <c r="JZ92" s="20"/>
      <c r="KA92" s="20"/>
      <c r="KB92" s="20"/>
      <c r="KC92" s="20"/>
      <c r="KD92" s="20"/>
      <c r="KE92" s="20"/>
      <c r="KF92" s="20"/>
      <c r="KG92" s="20"/>
      <c r="KH92" s="20"/>
      <c r="KI92" s="20"/>
      <c r="KJ92" s="20"/>
      <c r="KK92" s="20"/>
      <c r="KL92" s="20"/>
      <c r="KM92" s="20"/>
      <c r="KN92" s="20"/>
      <c r="KO92" s="20"/>
      <c r="KP92" s="20"/>
      <c r="KQ92" s="20"/>
      <c r="KR92" s="20"/>
      <c r="KS92" s="20"/>
      <c r="KT92" s="20"/>
      <c r="KU92" s="20"/>
      <c r="KV92" s="20"/>
      <c r="KW92" s="20"/>
      <c r="KX92" s="20"/>
      <c r="KY92" s="20"/>
      <c r="KZ92" s="20"/>
      <c r="LA92" s="20"/>
      <c r="LB92" s="20"/>
      <c r="LC92" s="20"/>
      <c r="LD92" s="20"/>
      <c r="LE92" s="20"/>
      <c r="LF92" s="20"/>
      <c r="LG92" s="20"/>
      <c r="LH92" s="20"/>
      <c r="LI92" s="20"/>
      <c r="LJ92" s="20"/>
      <c r="LK92" s="20"/>
      <c r="LL92" s="20"/>
      <c r="LM92" s="20"/>
      <c r="LN92" s="20"/>
      <c r="LO92" s="20"/>
      <c r="LP92" s="20"/>
      <c r="LQ92" s="20"/>
      <c r="LR92" s="20"/>
      <c r="LS92" s="20"/>
      <c r="LT92" s="20"/>
      <c r="LU92" s="20"/>
      <c r="LV92" s="20"/>
      <c r="LW92" s="20"/>
      <c r="LX92" s="20"/>
    </row>
    <row r="93" spans="1:336" s="24" customFormat="1" x14ac:dyDescent="0.25">
      <c r="A93" s="21" t="s">
        <v>16</v>
      </c>
      <c r="B93" s="22" t="s">
        <v>17</v>
      </c>
      <c r="C93" s="23" t="s">
        <v>192</v>
      </c>
      <c r="D93" s="8" t="s">
        <v>193</v>
      </c>
      <c r="E93" s="8">
        <v>2</v>
      </c>
      <c r="F93" s="17" t="s">
        <v>53</v>
      </c>
      <c r="G93" s="10" t="s">
        <v>20</v>
      </c>
      <c r="H93" s="11">
        <v>1</v>
      </c>
      <c r="I93" s="12">
        <v>44</v>
      </c>
      <c r="J93" s="13">
        <v>1500</v>
      </c>
      <c r="K93" s="13">
        <v>0</v>
      </c>
      <c r="L93" s="13">
        <v>0</v>
      </c>
      <c r="M93" s="13">
        <f>209</f>
        <v>209</v>
      </c>
      <c r="N93" s="13">
        <v>0</v>
      </c>
      <c r="O93" s="13">
        <v>138.13</v>
      </c>
      <c r="P93" s="14">
        <f t="shared" si="2"/>
        <v>1570.87</v>
      </c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  <c r="IW93" s="20"/>
      <c r="IX93" s="20"/>
      <c r="IY93" s="20"/>
      <c r="IZ93" s="20"/>
      <c r="JA93" s="20"/>
      <c r="JB93" s="20"/>
      <c r="JC93" s="20"/>
      <c r="JD93" s="20"/>
      <c r="JE93" s="20"/>
      <c r="JF93" s="20"/>
      <c r="JG93" s="20"/>
      <c r="JH93" s="20"/>
      <c r="JI93" s="20"/>
      <c r="JJ93" s="20"/>
      <c r="JK93" s="20"/>
      <c r="JL93" s="20"/>
      <c r="JM93" s="20"/>
      <c r="JN93" s="20"/>
      <c r="JO93" s="20"/>
      <c r="JP93" s="20"/>
      <c r="JQ93" s="20"/>
      <c r="JR93" s="20"/>
      <c r="JS93" s="20"/>
      <c r="JT93" s="20"/>
      <c r="JU93" s="20"/>
      <c r="JV93" s="20"/>
      <c r="JW93" s="20"/>
      <c r="JX93" s="20"/>
      <c r="JY93" s="20"/>
      <c r="JZ93" s="20"/>
      <c r="KA93" s="20"/>
      <c r="KB93" s="20"/>
      <c r="KC93" s="20"/>
      <c r="KD93" s="20"/>
      <c r="KE93" s="20"/>
      <c r="KF93" s="20"/>
      <c r="KG93" s="20"/>
      <c r="KH93" s="20"/>
      <c r="KI93" s="20"/>
      <c r="KJ93" s="20"/>
      <c r="KK93" s="20"/>
      <c r="KL93" s="20"/>
      <c r="KM93" s="20"/>
      <c r="KN93" s="20"/>
      <c r="KO93" s="20"/>
      <c r="KP93" s="20"/>
      <c r="KQ93" s="20"/>
      <c r="KR93" s="20"/>
      <c r="KS93" s="20"/>
      <c r="KT93" s="20"/>
      <c r="KU93" s="20"/>
      <c r="KV93" s="20"/>
      <c r="KW93" s="20"/>
      <c r="KX93" s="20"/>
      <c r="KY93" s="20"/>
      <c r="KZ93" s="20"/>
      <c r="LA93" s="20"/>
      <c r="LB93" s="20"/>
      <c r="LC93" s="20"/>
      <c r="LD93" s="20"/>
      <c r="LE93" s="20"/>
      <c r="LF93" s="20"/>
      <c r="LG93" s="20"/>
      <c r="LH93" s="20"/>
      <c r="LI93" s="20"/>
      <c r="LJ93" s="20"/>
      <c r="LK93" s="20"/>
      <c r="LL93" s="20"/>
      <c r="LM93" s="20"/>
      <c r="LN93" s="20"/>
      <c r="LO93" s="20"/>
      <c r="LP93" s="20"/>
      <c r="LQ93" s="20"/>
      <c r="LR93" s="20"/>
      <c r="LS93" s="20"/>
      <c r="LT93" s="20"/>
      <c r="LU93" s="20"/>
      <c r="LV93" s="20"/>
      <c r="LW93" s="20"/>
      <c r="LX93" s="20"/>
    </row>
    <row r="94" spans="1:336" s="24" customFormat="1" x14ac:dyDescent="0.25">
      <c r="A94" s="21" t="s">
        <v>16</v>
      </c>
      <c r="B94" s="22" t="s">
        <v>17</v>
      </c>
      <c r="C94" s="23">
        <v>32024881807</v>
      </c>
      <c r="D94" s="8" t="s">
        <v>194</v>
      </c>
      <c r="E94" s="8">
        <v>3</v>
      </c>
      <c r="F94" s="15" t="s">
        <v>71</v>
      </c>
      <c r="G94" s="10" t="s">
        <v>20</v>
      </c>
      <c r="H94" s="11">
        <v>1</v>
      </c>
      <c r="I94" s="12">
        <v>44</v>
      </c>
      <c r="J94" s="13">
        <v>2000</v>
      </c>
      <c r="K94" s="13">
        <v>4000</v>
      </c>
      <c r="L94" s="13">
        <v>0</v>
      </c>
      <c r="M94" s="13">
        <f>260</f>
        <v>260</v>
      </c>
      <c r="N94" s="13">
        <v>0</v>
      </c>
      <c r="O94" s="13">
        <f>4000+280+418.93</f>
        <v>4698.93</v>
      </c>
      <c r="P94" s="14">
        <f t="shared" si="2"/>
        <v>1561.0699999999997</v>
      </c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  <c r="IW94" s="20"/>
      <c r="IX94" s="20"/>
      <c r="IY94" s="20"/>
      <c r="IZ94" s="20"/>
      <c r="JA94" s="20"/>
      <c r="JB94" s="20"/>
      <c r="JC94" s="20"/>
      <c r="JD94" s="20"/>
      <c r="JE94" s="20"/>
      <c r="JF94" s="20"/>
      <c r="JG94" s="20"/>
      <c r="JH94" s="20"/>
      <c r="JI94" s="20"/>
      <c r="JJ94" s="20"/>
      <c r="JK94" s="20"/>
      <c r="JL94" s="20"/>
      <c r="JM94" s="20"/>
      <c r="JN94" s="20"/>
      <c r="JO94" s="20"/>
      <c r="JP94" s="20"/>
      <c r="JQ94" s="20"/>
      <c r="JR94" s="20"/>
      <c r="JS94" s="20"/>
      <c r="JT94" s="20"/>
      <c r="JU94" s="20"/>
      <c r="JV94" s="20"/>
      <c r="JW94" s="20"/>
      <c r="JX94" s="20"/>
      <c r="JY94" s="20"/>
      <c r="JZ94" s="20"/>
      <c r="KA94" s="20"/>
      <c r="KB94" s="20"/>
      <c r="KC94" s="20"/>
      <c r="KD94" s="20"/>
      <c r="KE94" s="20"/>
      <c r="KF94" s="20"/>
      <c r="KG94" s="20"/>
      <c r="KH94" s="20"/>
      <c r="KI94" s="20"/>
      <c r="KJ94" s="20"/>
      <c r="KK94" s="20"/>
      <c r="KL94" s="20"/>
      <c r="KM94" s="20"/>
      <c r="KN94" s="20"/>
      <c r="KO94" s="20"/>
      <c r="KP94" s="20"/>
      <c r="KQ94" s="20"/>
      <c r="KR94" s="20"/>
      <c r="KS94" s="20"/>
      <c r="KT94" s="20"/>
      <c r="KU94" s="20"/>
      <c r="KV94" s="20"/>
      <c r="KW94" s="20"/>
      <c r="KX94" s="20"/>
      <c r="KY94" s="20"/>
      <c r="KZ94" s="20"/>
      <c r="LA94" s="20"/>
      <c r="LB94" s="20"/>
      <c r="LC94" s="20"/>
      <c r="LD94" s="20"/>
      <c r="LE94" s="20"/>
      <c r="LF94" s="20"/>
      <c r="LG94" s="20"/>
      <c r="LH94" s="20"/>
      <c r="LI94" s="20"/>
      <c r="LJ94" s="20"/>
      <c r="LK94" s="20"/>
      <c r="LL94" s="20"/>
      <c r="LM94" s="20"/>
      <c r="LN94" s="20"/>
      <c r="LO94" s="20"/>
      <c r="LP94" s="20"/>
      <c r="LQ94" s="20"/>
      <c r="LR94" s="20"/>
      <c r="LS94" s="20"/>
      <c r="LT94" s="20"/>
      <c r="LU94" s="20"/>
      <c r="LV94" s="20"/>
      <c r="LW94" s="20"/>
      <c r="LX94" s="20"/>
    </row>
    <row r="95" spans="1:336" s="24" customFormat="1" x14ac:dyDescent="0.25">
      <c r="A95" s="21" t="s">
        <v>16</v>
      </c>
      <c r="B95" s="22" t="s">
        <v>17</v>
      </c>
      <c r="C95" s="23">
        <v>61442607491</v>
      </c>
      <c r="D95" s="8" t="s">
        <v>195</v>
      </c>
      <c r="E95" s="8">
        <v>3</v>
      </c>
      <c r="F95" s="15" t="s">
        <v>196</v>
      </c>
      <c r="G95" s="10" t="s">
        <v>20</v>
      </c>
      <c r="H95" s="11">
        <v>1</v>
      </c>
      <c r="I95" s="12">
        <v>44</v>
      </c>
      <c r="J95" s="13">
        <v>16818.34</v>
      </c>
      <c r="K95" s="13">
        <v>0</v>
      </c>
      <c r="L95" s="13">
        <v>0</v>
      </c>
      <c r="M95" s="13">
        <v>209</v>
      </c>
      <c r="N95" s="13">
        <v>0</v>
      </c>
      <c r="O95" s="13">
        <f>713.08+3617.06</f>
        <v>4330.1400000000003</v>
      </c>
      <c r="P95" s="14">
        <f t="shared" si="2"/>
        <v>12697.2</v>
      </c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  <c r="IV95" s="20"/>
      <c r="IW95" s="20"/>
      <c r="IX95" s="20"/>
      <c r="IY95" s="20"/>
      <c r="IZ95" s="20"/>
      <c r="JA95" s="20"/>
      <c r="JB95" s="20"/>
      <c r="JC95" s="20"/>
      <c r="JD95" s="20"/>
      <c r="JE95" s="20"/>
      <c r="JF95" s="20"/>
      <c r="JG95" s="20"/>
      <c r="JH95" s="20"/>
      <c r="JI95" s="20"/>
      <c r="JJ95" s="20"/>
      <c r="JK95" s="20"/>
      <c r="JL95" s="20"/>
      <c r="JM95" s="20"/>
      <c r="JN95" s="20"/>
      <c r="JO95" s="20"/>
      <c r="JP95" s="20"/>
      <c r="JQ95" s="20"/>
      <c r="JR95" s="20"/>
      <c r="JS95" s="20"/>
      <c r="JT95" s="20"/>
      <c r="JU95" s="20"/>
      <c r="JV95" s="20"/>
      <c r="JW95" s="20"/>
      <c r="JX95" s="20"/>
      <c r="JY95" s="20"/>
      <c r="JZ95" s="20"/>
      <c r="KA95" s="20"/>
      <c r="KB95" s="20"/>
      <c r="KC95" s="20"/>
      <c r="KD95" s="20"/>
      <c r="KE95" s="20"/>
      <c r="KF95" s="20"/>
      <c r="KG95" s="20"/>
      <c r="KH95" s="20"/>
      <c r="KI95" s="20"/>
      <c r="KJ95" s="20"/>
      <c r="KK95" s="20"/>
      <c r="KL95" s="20"/>
      <c r="KM95" s="20"/>
      <c r="KN95" s="20"/>
      <c r="KO95" s="20"/>
      <c r="KP95" s="20"/>
      <c r="KQ95" s="20"/>
      <c r="KR95" s="20"/>
      <c r="KS95" s="20"/>
      <c r="KT95" s="20"/>
      <c r="KU95" s="20"/>
      <c r="KV95" s="20"/>
      <c r="KW95" s="20"/>
      <c r="KX95" s="20"/>
      <c r="KY95" s="20"/>
      <c r="KZ95" s="20"/>
      <c r="LA95" s="20"/>
      <c r="LB95" s="20"/>
      <c r="LC95" s="20"/>
      <c r="LD95" s="20"/>
      <c r="LE95" s="20"/>
      <c r="LF95" s="20"/>
      <c r="LG95" s="20"/>
      <c r="LH95" s="20"/>
      <c r="LI95" s="20"/>
      <c r="LJ95" s="20"/>
      <c r="LK95" s="20"/>
      <c r="LL95" s="20"/>
      <c r="LM95" s="20"/>
      <c r="LN95" s="20"/>
      <c r="LO95" s="20"/>
      <c r="LP95" s="20"/>
      <c r="LQ95" s="20"/>
      <c r="LR95" s="20"/>
      <c r="LS95" s="20"/>
      <c r="LT95" s="20"/>
      <c r="LU95" s="20"/>
      <c r="LV95" s="20"/>
      <c r="LW95" s="20"/>
      <c r="LX95" s="20"/>
    </row>
    <row r="96" spans="1:336" s="24" customFormat="1" x14ac:dyDescent="0.25">
      <c r="A96" s="21" t="s">
        <v>16</v>
      </c>
      <c r="B96" s="22" t="s">
        <v>17</v>
      </c>
      <c r="C96" s="23">
        <v>10205994482</v>
      </c>
      <c r="D96" s="8" t="s">
        <v>197</v>
      </c>
      <c r="E96" s="8">
        <v>2</v>
      </c>
      <c r="F96" s="9" t="s">
        <v>30</v>
      </c>
      <c r="G96" s="10" t="s">
        <v>20</v>
      </c>
      <c r="H96" s="11">
        <v>1</v>
      </c>
      <c r="I96" s="12">
        <v>44</v>
      </c>
      <c r="J96" s="13">
        <v>1908.07</v>
      </c>
      <c r="K96" s="13">
        <v>0</v>
      </c>
      <c r="L96" s="13">
        <v>0</v>
      </c>
      <c r="M96" s="13">
        <f>209+54.28+282.28+784.94</f>
        <v>1330.5</v>
      </c>
      <c r="N96" s="13">
        <v>0</v>
      </c>
      <c r="O96" s="13">
        <f>2.43+216.06+25.02+114.48</f>
        <v>357.99</v>
      </c>
      <c r="P96" s="14">
        <f t="shared" ref="P96:P126" si="3">SUM(J96:N96)-O96</f>
        <v>2880.58</v>
      </c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  <c r="IW96" s="20"/>
      <c r="IX96" s="20"/>
      <c r="IY96" s="20"/>
      <c r="IZ96" s="20"/>
      <c r="JA96" s="20"/>
      <c r="JB96" s="20"/>
      <c r="JC96" s="20"/>
      <c r="JD96" s="20"/>
      <c r="JE96" s="20"/>
      <c r="JF96" s="20"/>
      <c r="JG96" s="20"/>
      <c r="JH96" s="20"/>
      <c r="JI96" s="20"/>
      <c r="JJ96" s="20"/>
      <c r="JK96" s="20"/>
      <c r="JL96" s="20"/>
      <c r="JM96" s="20"/>
      <c r="JN96" s="20"/>
      <c r="JO96" s="20"/>
      <c r="JP96" s="20"/>
      <c r="JQ96" s="20"/>
      <c r="JR96" s="20"/>
      <c r="JS96" s="20"/>
      <c r="JT96" s="20"/>
      <c r="JU96" s="20"/>
      <c r="JV96" s="20"/>
      <c r="JW96" s="20"/>
      <c r="JX96" s="20"/>
      <c r="JY96" s="20"/>
      <c r="JZ96" s="20"/>
      <c r="KA96" s="20"/>
      <c r="KB96" s="20"/>
      <c r="KC96" s="20"/>
      <c r="KD96" s="20"/>
      <c r="KE96" s="20"/>
      <c r="KF96" s="20"/>
      <c r="KG96" s="20"/>
      <c r="KH96" s="20"/>
      <c r="KI96" s="20"/>
      <c r="KJ96" s="20"/>
      <c r="KK96" s="20"/>
      <c r="KL96" s="20"/>
      <c r="KM96" s="20"/>
      <c r="KN96" s="20"/>
      <c r="KO96" s="20"/>
      <c r="KP96" s="20"/>
      <c r="KQ96" s="20"/>
      <c r="KR96" s="20"/>
      <c r="KS96" s="20"/>
      <c r="KT96" s="20"/>
      <c r="KU96" s="20"/>
      <c r="KV96" s="20"/>
      <c r="KW96" s="20"/>
      <c r="KX96" s="20"/>
      <c r="KY96" s="20"/>
      <c r="KZ96" s="20"/>
      <c r="LA96" s="20"/>
      <c r="LB96" s="20"/>
      <c r="LC96" s="20"/>
      <c r="LD96" s="20"/>
      <c r="LE96" s="20"/>
      <c r="LF96" s="20"/>
      <c r="LG96" s="20"/>
      <c r="LH96" s="20"/>
      <c r="LI96" s="20"/>
      <c r="LJ96" s="20"/>
      <c r="LK96" s="20"/>
      <c r="LL96" s="20"/>
      <c r="LM96" s="20"/>
      <c r="LN96" s="20"/>
      <c r="LO96" s="20"/>
      <c r="LP96" s="20"/>
      <c r="LQ96" s="20"/>
      <c r="LR96" s="20"/>
      <c r="LS96" s="20"/>
      <c r="LT96" s="20"/>
      <c r="LU96" s="20"/>
      <c r="LV96" s="20"/>
      <c r="LW96" s="20"/>
      <c r="LX96" s="20"/>
    </row>
    <row r="97" spans="1:336" s="24" customFormat="1" x14ac:dyDescent="0.25">
      <c r="A97" s="21" t="s">
        <v>16</v>
      </c>
      <c r="B97" s="22" t="s">
        <v>17</v>
      </c>
      <c r="C97" s="23" t="s">
        <v>198</v>
      </c>
      <c r="D97" s="8" t="s">
        <v>199</v>
      </c>
      <c r="E97" s="8">
        <v>2</v>
      </c>
      <c r="F97" s="9" t="s">
        <v>30</v>
      </c>
      <c r="G97" s="10" t="s">
        <v>20</v>
      </c>
      <c r="H97" s="11">
        <v>1</v>
      </c>
      <c r="I97" s="12">
        <v>44</v>
      </c>
      <c r="J97" s="13">
        <v>1771.76</v>
      </c>
      <c r="K97" s="13">
        <v>0</v>
      </c>
      <c r="L97" s="13">
        <v>0</v>
      </c>
      <c r="M97" s="13">
        <f>209+76.18+396.15+722.47</f>
        <v>1403.8</v>
      </c>
      <c r="N97" s="13">
        <v>0</v>
      </c>
      <c r="O97" s="13">
        <f>2.43+215.99+10.76</f>
        <v>229.18</v>
      </c>
      <c r="P97" s="14">
        <f t="shared" si="3"/>
        <v>2946.38</v>
      </c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  <c r="IW97" s="20"/>
      <c r="IX97" s="20"/>
      <c r="IY97" s="20"/>
      <c r="IZ97" s="20"/>
      <c r="JA97" s="20"/>
      <c r="JB97" s="20"/>
      <c r="JC97" s="20"/>
      <c r="JD97" s="20"/>
      <c r="JE97" s="20"/>
      <c r="JF97" s="20"/>
      <c r="JG97" s="20"/>
      <c r="JH97" s="20"/>
      <c r="JI97" s="20"/>
      <c r="JJ97" s="20"/>
      <c r="JK97" s="20"/>
      <c r="JL97" s="20"/>
      <c r="JM97" s="20"/>
      <c r="JN97" s="20"/>
      <c r="JO97" s="20"/>
      <c r="JP97" s="20"/>
      <c r="JQ97" s="20"/>
      <c r="JR97" s="20"/>
      <c r="JS97" s="20"/>
      <c r="JT97" s="20"/>
      <c r="JU97" s="20"/>
      <c r="JV97" s="20"/>
      <c r="JW97" s="20"/>
      <c r="JX97" s="20"/>
      <c r="JY97" s="20"/>
      <c r="JZ97" s="20"/>
      <c r="KA97" s="20"/>
      <c r="KB97" s="20"/>
      <c r="KC97" s="20"/>
      <c r="KD97" s="20"/>
      <c r="KE97" s="20"/>
      <c r="KF97" s="20"/>
      <c r="KG97" s="20"/>
      <c r="KH97" s="20"/>
      <c r="KI97" s="20"/>
      <c r="KJ97" s="20"/>
      <c r="KK97" s="20"/>
      <c r="KL97" s="20"/>
      <c r="KM97" s="20"/>
      <c r="KN97" s="20"/>
      <c r="KO97" s="20"/>
      <c r="KP97" s="20"/>
      <c r="KQ97" s="20"/>
      <c r="KR97" s="20"/>
      <c r="KS97" s="20"/>
      <c r="KT97" s="20"/>
      <c r="KU97" s="20"/>
      <c r="KV97" s="20"/>
      <c r="KW97" s="20"/>
      <c r="KX97" s="20"/>
      <c r="KY97" s="20"/>
      <c r="KZ97" s="20"/>
      <c r="LA97" s="20"/>
      <c r="LB97" s="20"/>
      <c r="LC97" s="20"/>
      <c r="LD97" s="20"/>
      <c r="LE97" s="20"/>
      <c r="LF97" s="20"/>
      <c r="LG97" s="20"/>
      <c r="LH97" s="20"/>
      <c r="LI97" s="20"/>
      <c r="LJ97" s="20"/>
      <c r="LK97" s="20"/>
      <c r="LL97" s="20"/>
      <c r="LM97" s="20"/>
      <c r="LN97" s="20"/>
      <c r="LO97" s="20"/>
      <c r="LP97" s="20"/>
      <c r="LQ97" s="20"/>
      <c r="LR97" s="20"/>
      <c r="LS97" s="20"/>
      <c r="LT97" s="20"/>
      <c r="LU97" s="20"/>
      <c r="LV97" s="20"/>
      <c r="LW97" s="20"/>
      <c r="LX97" s="20"/>
    </row>
    <row r="98" spans="1:336" s="24" customFormat="1" x14ac:dyDescent="0.25">
      <c r="A98" s="21" t="s">
        <v>16</v>
      </c>
      <c r="B98" s="22" t="s">
        <v>17</v>
      </c>
      <c r="C98" s="23" t="s">
        <v>200</v>
      </c>
      <c r="D98" s="8" t="s">
        <v>201</v>
      </c>
      <c r="E98" s="8">
        <v>3</v>
      </c>
      <c r="F98" s="15" t="s">
        <v>68</v>
      </c>
      <c r="G98" s="10" t="s">
        <v>20</v>
      </c>
      <c r="H98" s="11">
        <v>1</v>
      </c>
      <c r="I98" s="12">
        <v>44</v>
      </c>
      <c r="J98" s="13">
        <v>1254.55</v>
      </c>
      <c r="K98" s="13">
        <v>0</v>
      </c>
      <c r="L98" s="13">
        <v>0</v>
      </c>
      <c r="M98" s="13">
        <v>209</v>
      </c>
      <c r="N98" s="13">
        <v>0</v>
      </c>
      <c r="O98" s="13">
        <f>25.09+116.03</f>
        <v>141.12</v>
      </c>
      <c r="P98" s="14">
        <f t="shared" si="3"/>
        <v>1322.4299999999998</v>
      </c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  <c r="IX98" s="20"/>
      <c r="IY98" s="20"/>
      <c r="IZ98" s="20"/>
      <c r="JA98" s="20"/>
      <c r="JB98" s="20"/>
      <c r="JC98" s="20"/>
      <c r="JD98" s="20"/>
      <c r="JE98" s="20"/>
      <c r="JF98" s="20"/>
      <c r="JG98" s="20"/>
      <c r="JH98" s="20"/>
      <c r="JI98" s="20"/>
      <c r="JJ98" s="20"/>
      <c r="JK98" s="20"/>
      <c r="JL98" s="20"/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0"/>
      <c r="JX98" s="20"/>
      <c r="JY98" s="20"/>
      <c r="JZ98" s="20"/>
      <c r="KA98" s="20"/>
      <c r="KB98" s="20"/>
      <c r="KC98" s="20"/>
      <c r="KD98" s="20"/>
      <c r="KE98" s="20"/>
      <c r="KF98" s="20"/>
      <c r="KG98" s="20"/>
      <c r="KH98" s="20"/>
      <c r="KI98" s="20"/>
      <c r="KJ98" s="20"/>
      <c r="KK98" s="20"/>
      <c r="KL98" s="20"/>
      <c r="KM98" s="20"/>
      <c r="KN98" s="20"/>
      <c r="KO98" s="20"/>
      <c r="KP98" s="20"/>
      <c r="KQ98" s="20"/>
      <c r="KR98" s="20"/>
      <c r="KS98" s="20"/>
      <c r="KT98" s="20"/>
      <c r="KU98" s="20"/>
      <c r="KV98" s="20"/>
      <c r="KW98" s="20"/>
      <c r="KX98" s="20"/>
      <c r="KY98" s="20"/>
      <c r="KZ98" s="20"/>
      <c r="LA98" s="20"/>
      <c r="LB98" s="20"/>
      <c r="LC98" s="20"/>
      <c r="LD98" s="20"/>
      <c r="LE98" s="20"/>
      <c r="LF98" s="20"/>
      <c r="LG98" s="20"/>
      <c r="LH98" s="20"/>
      <c r="LI98" s="20"/>
      <c r="LJ98" s="20"/>
      <c r="LK98" s="20"/>
      <c r="LL98" s="20"/>
      <c r="LM98" s="20"/>
      <c r="LN98" s="20"/>
      <c r="LO98" s="20"/>
      <c r="LP98" s="20"/>
      <c r="LQ98" s="20"/>
      <c r="LR98" s="20"/>
      <c r="LS98" s="20"/>
      <c r="LT98" s="20"/>
      <c r="LU98" s="20"/>
      <c r="LV98" s="20"/>
      <c r="LW98" s="20"/>
      <c r="LX98" s="20"/>
    </row>
    <row r="99" spans="1:336" s="24" customFormat="1" x14ac:dyDescent="0.25">
      <c r="A99" s="21" t="s">
        <v>16</v>
      </c>
      <c r="B99" s="22" t="s">
        <v>17</v>
      </c>
      <c r="C99" s="23" t="s">
        <v>202</v>
      </c>
      <c r="D99" s="8" t="s">
        <v>203</v>
      </c>
      <c r="E99" s="8">
        <v>3</v>
      </c>
      <c r="F99" s="15" t="s">
        <v>25</v>
      </c>
      <c r="G99" s="10" t="s">
        <v>20</v>
      </c>
      <c r="H99" s="11">
        <v>1</v>
      </c>
      <c r="I99" s="12">
        <v>44</v>
      </c>
      <c r="J99" s="13">
        <v>1055.93</v>
      </c>
      <c r="K99" s="13">
        <v>0</v>
      </c>
      <c r="L99" s="13">
        <v>0</v>
      </c>
      <c r="M99" s="13">
        <f>209+128+43.05+223.88</f>
        <v>603.93000000000006</v>
      </c>
      <c r="N99" s="13">
        <v>0</v>
      </c>
      <c r="O99" s="13">
        <f>21.12+122.18</f>
        <v>143.30000000000001</v>
      </c>
      <c r="P99" s="14">
        <f t="shared" si="3"/>
        <v>1516.5600000000002</v>
      </c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</row>
    <row r="100" spans="1:336" s="24" customFormat="1" x14ac:dyDescent="0.25">
      <c r="A100" s="21" t="s">
        <v>16</v>
      </c>
      <c r="B100" s="22" t="s">
        <v>17</v>
      </c>
      <c r="C100" s="23">
        <v>76656071449</v>
      </c>
      <c r="D100" s="8" t="s">
        <v>204</v>
      </c>
      <c r="E100" s="8">
        <v>3</v>
      </c>
      <c r="F100" s="18" t="s">
        <v>60</v>
      </c>
      <c r="G100" s="10" t="s">
        <v>20</v>
      </c>
      <c r="H100" s="11">
        <v>1</v>
      </c>
      <c r="I100" s="12">
        <v>44</v>
      </c>
      <c r="J100" s="13">
        <v>1045</v>
      </c>
      <c r="K100" s="13">
        <v>0</v>
      </c>
      <c r="L100" s="13">
        <v>0</v>
      </c>
      <c r="M100" s="13">
        <f>209+5.36+27.87</f>
        <v>242.23000000000002</v>
      </c>
      <c r="N100" s="13">
        <v>0</v>
      </c>
      <c r="O100" s="13">
        <f>20.9+100.17+62.7</f>
        <v>183.76999999999998</v>
      </c>
      <c r="P100" s="14">
        <f t="shared" si="3"/>
        <v>1103.46</v>
      </c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  <c r="IW100" s="20"/>
      <c r="IX100" s="20"/>
      <c r="IY100" s="20"/>
      <c r="IZ100" s="20"/>
      <c r="JA100" s="20"/>
      <c r="JB100" s="20"/>
      <c r="JC100" s="20"/>
      <c r="JD100" s="20"/>
      <c r="JE100" s="20"/>
      <c r="JF100" s="20"/>
      <c r="JG100" s="20"/>
      <c r="JH100" s="20"/>
      <c r="JI100" s="20"/>
      <c r="JJ100" s="20"/>
      <c r="JK100" s="20"/>
      <c r="JL100" s="20"/>
      <c r="JM100" s="20"/>
      <c r="JN100" s="20"/>
      <c r="JO100" s="20"/>
      <c r="JP100" s="20"/>
      <c r="JQ100" s="20"/>
      <c r="JR100" s="20"/>
      <c r="JS100" s="20"/>
      <c r="JT100" s="20"/>
      <c r="JU100" s="20"/>
      <c r="JV100" s="20"/>
      <c r="JW100" s="20"/>
      <c r="JX100" s="20"/>
      <c r="JY100" s="20"/>
      <c r="JZ100" s="20"/>
      <c r="KA100" s="20"/>
      <c r="KB100" s="20"/>
      <c r="KC100" s="20"/>
      <c r="KD100" s="20"/>
      <c r="KE100" s="20"/>
      <c r="KF100" s="20"/>
      <c r="KG100" s="20"/>
      <c r="KH100" s="20"/>
      <c r="KI100" s="20"/>
      <c r="KJ100" s="20"/>
      <c r="KK100" s="20"/>
      <c r="KL100" s="20"/>
      <c r="KM100" s="20"/>
      <c r="KN100" s="20"/>
      <c r="KO100" s="20"/>
      <c r="KP100" s="20"/>
      <c r="KQ100" s="20"/>
      <c r="KR100" s="20"/>
      <c r="KS100" s="20"/>
      <c r="KT100" s="20"/>
      <c r="KU100" s="20"/>
      <c r="KV100" s="20"/>
      <c r="KW100" s="20"/>
      <c r="KX100" s="20"/>
      <c r="KY100" s="20"/>
      <c r="KZ100" s="20"/>
      <c r="LA100" s="20"/>
      <c r="LB100" s="20"/>
      <c r="LC100" s="20"/>
      <c r="LD100" s="20"/>
      <c r="LE100" s="20"/>
      <c r="LF100" s="20"/>
      <c r="LG100" s="20"/>
      <c r="LH100" s="20"/>
      <c r="LI100" s="20"/>
      <c r="LJ100" s="20"/>
      <c r="LK100" s="20"/>
      <c r="LL100" s="20"/>
      <c r="LM100" s="20"/>
      <c r="LN100" s="20"/>
      <c r="LO100" s="20"/>
      <c r="LP100" s="20"/>
      <c r="LQ100" s="20"/>
      <c r="LR100" s="20"/>
      <c r="LS100" s="20"/>
      <c r="LT100" s="20"/>
      <c r="LU100" s="20"/>
      <c r="LV100" s="20"/>
      <c r="LW100" s="20"/>
      <c r="LX100" s="20"/>
    </row>
    <row r="101" spans="1:336" s="24" customFormat="1" x14ac:dyDescent="0.25">
      <c r="A101" s="21" t="s">
        <v>16</v>
      </c>
      <c r="B101" s="22" t="s">
        <v>17</v>
      </c>
      <c r="C101" s="23" t="s">
        <v>205</v>
      </c>
      <c r="D101" s="8" t="s">
        <v>206</v>
      </c>
      <c r="E101" s="8">
        <v>2</v>
      </c>
      <c r="F101" s="9" t="s">
        <v>19</v>
      </c>
      <c r="G101" s="10" t="s">
        <v>20</v>
      </c>
      <c r="H101" s="11">
        <v>1</v>
      </c>
      <c r="I101" s="12">
        <v>44</v>
      </c>
      <c r="J101" s="13">
        <v>1212.4000000000001</v>
      </c>
      <c r="K101" s="13">
        <v>0</v>
      </c>
      <c r="L101" s="13">
        <v>0</v>
      </c>
      <c r="M101" s="13">
        <f>209+64+45.05+234.25</f>
        <v>552.29999999999995</v>
      </c>
      <c r="N101" s="13">
        <v>0</v>
      </c>
      <c r="O101" s="13">
        <f>24.25+137.38+72.74</f>
        <v>234.37</v>
      </c>
      <c r="P101" s="14">
        <f t="shared" si="3"/>
        <v>1530.33</v>
      </c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  <c r="IW101" s="20"/>
      <c r="IX101" s="20"/>
      <c r="IY101" s="20"/>
      <c r="IZ101" s="20"/>
      <c r="JA101" s="20"/>
      <c r="JB101" s="20"/>
      <c r="JC101" s="20"/>
      <c r="JD101" s="20"/>
      <c r="JE101" s="20"/>
      <c r="JF101" s="20"/>
      <c r="JG101" s="20"/>
      <c r="JH101" s="20"/>
      <c r="JI101" s="20"/>
      <c r="JJ101" s="20"/>
      <c r="JK101" s="20"/>
      <c r="JL101" s="20"/>
      <c r="JM101" s="20"/>
      <c r="JN101" s="20"/>
      <c r="JO101" s="20"/>
      <c r="JP101" s="20"/>
      <c r="JQ101" s="20"/>
      <c r="JR101" s="20"/>
      <c r="JS101" s="20"/>
      <c r="JT101" s="20"/>
      <c r="JU101" s="20"/>
      <c r="JV101" s="20"/>
      <c r="JW101" s="20"/>
      <c r="JX101" s="20"/>
      <c r="JY101" s="20"/>
      <c r="JZ101" s="20"/>
      <c r="KA101" s="20"/>
      <c r="KB101" s="20"/>
      <c r="KC101" s="20"/>
      <c r="KD101" s="20"/>
      <c r="KE101" s="20"/>
      <c r="KF101" s="20"/>
      <c r="KG101" s="20"/>
      <c r="KH101" s="20"/>
      <c r="KI101" s="20"/>
      <c r="KJ101" s="20"/>
      <c r="KK101" s="20"/>
      <c r="KL101" s="20"/>
      <c r="KM101" s="20"/>
      <c r="KN101" s="20"/>
      <c r="KO101" s="20"/>
      <c r="KP101" s="20"/>
      <c r="KQ101" s="20"/>
      <c r="KR101" s="20"/>
      <c r="KS101" s="20"/>
      <c r="KT101" s="20"/>
      <c r="KU101" s="20"/>
      <c r="KV101" s="20"/>
      <c r="KW101" s="20"/>
      <c r="KX101" s="20"/>
      <c r="KY101" s="20"/>
      <c r="KZ101" s="20"/>
      <c r="LA101" s="20"/>
      <c r="LB101" s="20"/>
      <c r="LC101" s="20"/>
      <c r="LD101" s="20"/>
      <c r="LE101" s="20"/>
      <c r="LF101" s="20"/>
      <c r="LG101" s="20"/>
      <c r="LH101" s="20"/>
      <c r="LI101" s="20"/>
      <c r="LJ101" s="20"/>
      <c r="LK101" s="20"/>
      <c r="LL101" s="20"/>
      <c r="LM101" s="20"/>
      <c r="LN101" s="20"/>
      <c r="LO101" s="20"/>
      <c r="LP101" s="20"/>
      <c r="LQ101" s="20"/>
      <c r="LR101" s="20"/>
      <c r="LS101" s="20"/>
      <c r="LT101" s="20"/>
      <c r="LU101" s="20"/>
      <c r="LV101" s="20"/>
      <c r="LW101" s="20"/>
      <c r="LX101" s="20"/>
    </row>
    <row r="102" spans="1:336" s="24" customFormat="1" x14ac:dyDescent="0.25">
      <c r="A102" s="21" t="s">
        <v>16</v>
      </c>
      <c r="B102" s="22" t="s">
        <v>17</v>
      </c>
      <c r="C102" s="23" t="s">
        <v>207</v>
      </c>
      <c r="D102" s="8" t="s">
        <v>208</v>
      </c>
      <c r="E102" s="8">
        <v>2</v>
      </c>
      <c r="F102" s="9" t="s">
        <v>19</v>
      </c>
      <c r="G102" s="10" t="s">
        <v>20</v>
      </c>
      <c r="H102" s="11">
        <v>1</v>
      </c>
      <c r="I102" s="12">
        <v>44</v>
      </c>
      <c r="J102" s="13">
        <v>1212.24</v>
      </c>
      <c r="K102" s="13">
        <v>0</v>
      </c>
      <c r="L102" s="13">
        <v>0</v>
      </c>
      <c r="M102" s="13">
        <f>209+22.94+119.29</f>
        <v>351.23</v>
      </c>
      <c r="N102" s="13">
        <v>0</v>
      </c>
      <c r="O102" s="13">
        <f>24.25+347.45+93.77+72.74</f>
        <v>538.20999999999992</v>
      </c>
      <c r="P102" s="14">
        <f t="shared" si="3"/>
        <v>1025.2600000000002</v>
      </c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</row>
    <row r="103" spans="1:336" s="24" customFormat="1" x14ac:dyDescent="0.25">
      <c r="A103" s="21" t="s">
        <v>16</v>
      </c>
      <c r="B103" s="22" t="s">
        <v>17</v>
      </c>
      <c r="C103" s="23">
        <v>73554553468</v>
      </c>
      <c r="D103" s="8" t="s">
        <v>209</v>
      </c>
      <c r="E103" s="8">
        <v>2</v>
      </c>
      <c r="F103" s="9" t="s">
        <v>19</v>
      </c>
      <c r="G103" s="10" t="s">
        <v>20</v>
      </c>
      <c r="H103" s="11">
        <v>1</v>
      </c>
      <c r="I103" s="12">
        <v>44</v>
      </c>
      <c r="J103" s="13">
        <v>1212.24</v>
      </c>
      <c r="K103" s="13">
        <v>0</v>
      </c>
      <c r="L103" s="13">
        <v>0</v>
      </c>
      <c r="M103" s="13">
        <f>209+45.56+236.9</f>
        <v>491.46000000000004</v>
      </c>
      <c r="N103" s="13">
        <v>0</v>
      </c>
      <c r="O103" s="13">
        <f>24.25+137.66+72.74</f>
        <v>234.64999999999998</v>
      </c>
      <c r="P103" s="14">
        <f t="shared" si="3"/>
        <v>1469.0500000000002</v>
      </c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</row>
    <row r="104" spans="1:336" s="24" customFormat="1" x14ac:dyDescent="0.25">
      <c r="A104" s="21" t="s">
        <v>16</v>
      </c>
      <c r="B104" s="22" t="s">
        <v>17</v>
      </c>
      <c r="C104" s="23">
        <v>90002172453</v>
      </c>
      <c r="D104" s="8" t="s">
        <v>210</v>
      </c>
      <c r="E104" s="8">
        <v>3</v>
      </c>
      <c r="F104" s="15" t="s">
        <v>99</v>
      </c>
      <c r="G104" s="10" t="s">
        <v>20</v>
      </c>
      <c r="H104" s="11">
        <v>1</v>
      </c>
      <c r="I104" s="12">
        <v>44</v>
      </c>
      <c r="J104" s="13">
        <v>1045</v>
      </c>
      <c r="K104" s="13">
        <v>0</v>
      </c>
      <c r="L104" s="13">
        <v>0</v>
      </c>
      <c r="M104" s="13">
        <f>209+13.4+69.67</f>
        <v>292.07</v>
      </c>
      <c r="N104" s="13">
        <v>0</v>
      </c>
      <c r="O104" s="13">
        <f>20.9+104.65+62.7</f>
        <v>188.25</v>
      </c>
      <c r="P104" s="14">
        <f t="shared" si="3"/>
        <v>1148.82</v>
      </c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</row>
    <row r="105" spans="1:336" s="24" customFormat="1" x14ac:dyDescent="0.25">
      <c r="A105" s="21" t="s">
        <v>16</v>
      </c>
      <c r="B105" s="22" t="s">
        <v>17</v>
      </c>
      <c r="C105" s="23">
        <v>66049890463</v>
      </c>
      <c r="D105" s="8" t="s">
        <v>211</v>
      </c>
      <c r="E105" s="8">
        <v>3</v>
      </c>
      <c r="F105" s="18" t="s">
        <v>60</v>
      </c>
      <c r="G105" s="10" t="s">
        <v>20</v>
      </c>
      <c r="H105" s="11">
        <v>1</v>
      </c>
      <c r="I105" s="12">
        <v>44</v>
      </c>
      <c r="J105" s="13">
        <v>1045</v>
      </c>
      <c r="K105" s="13">
        <v>0</v>
      </c>
      <c r="L105" s="13">
        <v>0</v>
      </c>
      <c r="M105" s="13">
        <f>209+2.68+13.93</f>
        <v>225.61</v>
      </c>
      <c r="N105" s="13">
        <v>0</v>
      </c>
      <c r="O105" s="13">
        <f>20.9+98.61+62.7</f>
        <v>182.20999999999998</v>
      </c>
      <c r="P105" s="14">
        <f t="shared" si="3"/>
        <v>1088.4000000000001</v>
      </c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  <c r="IW105" s="20"/>
      <c r="IX105" s="20"/>
      <c r="IY105" s="20"/>
      <c r="IZ105" s="20"/>
      <c r="JA105" s="20"/>
      <c r="JB105" s="20"/>
      <c r="JC105" s="20"/>
      <c r="JD105" s="20"/>
      <c r="JE105" s="20"/>
      <c r="JF105" s="20"/>
      <c r="JG105" s="20"/>
      <c r="JH105" s="20"/>
      <c r="JI105" s="20"/>
      <c r="JJ105" s="20"/>
      <c r="JK105" s="20"/>
      <c r="JL105" s="20"/>
      <c r="JM105" s="20"/>
      <c r="JN105" s="20"/>
      <c r="JO105" s="20"/>
      <c r="JP105" s="20"/>
      <c r="JQ105" s="20"/>
      <c r="JR105" s="20"/>
      <c r="JS105" s="20"/>
      <c r="JT105" s="20"/>
      <c r="JU105" s="20"/>
      <c r="JV105" s="20"/>
      <c r="JW105" s="20"/>
      <c r="JX105" s="20"/>
      <c r="JY105" s="20"/>
      <c r="JZ105" s="20"/>
      <c r="KA105" s="20"/>
      <c r="KB105" s="20"/>
      <c r="KC105" s="20"/>
      <c r="KD105" s="20"/>
      <c r="KE105" s="20"/>
      <c r="KF105" s="20"/>
      <c r="KG105" s="20"/>
      <c r="KH105" s="20"/>
      <c r="KI105" s="20"/>
      <c r="KJ105" s="20"/>
      <c r="KK105" s="20"/>
      <c r="KL105" s="20"/>
      <c r="KM105" s="20"/>
      <c r="KN105" s="20"/>
      <c r="KO105" s="20"/>
      <c r="KP105" s="20"/>
      <c r="KQ105" s="20"/>
      <c r="KR105" s="20"/>
      <c r="KS105" s="20"/>
      <c r="KT105" s="20"/>
      <c r="KU105" s="20"/>
      <c r="KV105" s="20"/>
      <c r="KW105" s="20"/>
      <c r="KX105" s="20"/>
      <c r="KY105" s="20"/>
      <c r="KZ105" s="20"/>
      <c r="LA105" s="20"/>
      <c r="LB105" s="20"/>
      <c r="LC105" s="20"/>
      <c r="LD105" s="20"/>
      <c r="LE105" s="20"/>
      <c r="LF105" s="20"/>
      <c r="LG105" s="20"/>
      <c r="LH105" s="20"/>
      <c r="LI105" s="20"/>
      <c r="LJ105" s="20"/>
      <c r="LK105" s="20"/>
      <c r="LL105" s="20"/>
      <c r="LM105" s="20"/>
      <c r="LN105" s="20"/>
      <c r="LO105" s="20"/>
      <c r="LP105" s="20"/>
      <c r="LQ105" s="20"/>
      <c r="LR105" s="20"/>
      <c r="LS105" s="20"/>
      <c r="LT105" s="20"/>
      <c r="LU105" s="20"/>
      <c r="LV105" s="20"/>
      <c r="LW105" s="20"/>
      <c r="LX105" s="20"/>
    </row>
    <row r="106" spans="1:336" s="24" customFormat="1" x14ac:dyDescent="0.25">
      <c r="A106" s="21" t="s">
        <v>16</v>
      </c>
      <c r="B106" s="22" t="s">
        <v>17</v>
      </c>
      <c r="C106" s="23">
        <v>40791564487</v>
      </c>
      <c r="D106" s="8" t="s">
        <v>212</v>
      </c>
      <c r="E106" s="8">
        <v>2</v>
      </c>
      <c r="F106" s="9" t="s">
        <v>30</v>
      </c>
      <c r="G106" s="10" t="s">
        <v>20</v>
      </c>
      <c r="H106" s="11">
        <v>1</v>
      </c>
      <c r="I106" s="12">
        <v>44</v>
      </c>
      <c r="J106" s="13">
        <v>3449.65</v>
      </c>
      <c r="K106" s="13">
        <v>0</v>
      </c>
      <c r="L106" s="13">
        <v>0</v>
      </c>
      <c r="M106" s="13">
        <f>505+209+1774.25+189.73</f>
        <v>2677.98</v>
      </c>
      <c r="N106" s="13">
        <v>0</v>
      </c>
      <c r="O106" s="13">
        <f>2.43+468.4+237.99</f>
        <v>708.81999999999994</v>
      </c>
      <c r="P106" s="14">
        <f t="shared" si="3"/>
        <v>5418.81</v>
      </c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  <c r="IW106" s="20"/>
      <c r="IX106" s="20"/>
      <c r="IY106" s="20"/>
      <c r="IZ106" s="20"/>
      <c r="JA106" s="20"/>
      <c r="JB106" s="20"/>
      <c r="JC106" s="20"/>
      <c r="JD106" s="20"/>
      <c r="JE106" s="20"/>
      <c r="JF106" s="20"/>
      <c r="JG106" s="20"/>
      <c r="JH106" s="20"/>
      <c r="JI106" s="20"/>
      <c r="JJ106" s="20"/>
      <c r="JK106" s="20"/>
      <c r="JL106" s="20"/>
      <c r="JM106" s="20"/>
      <c r="JN106" s="20"/>
      <c r="JO106" s="20"/>
      <c r="JP106" s="20"/>
      <c r="JQ106" s="20"/>
      <c r="JR106" s="20"/>
      <c r="JS106" s="20"/>
      <c r="JT106" s="20"/>
      <c r="JU106" s="20"/>
      <c r="JV106" s="20"/>
      <c r="JW106" s="20"/>
      <c r="JX106" s="20"/>
      <c r="JY106" s="20"/>
      <c r="JZ106" s="20"/>
      <c r="KA106" s="20"/>
      <c r="KB106" s="20"/>
      <c r="KC106" s="20"/>
      <c r="KD106" s="20"/>
      <c r="KE106" s="20"/>
      <c r="KF106" s="20"/>
      <c r="KG106" s="20"/>
      <c r="KH106" s="20"/>
      <c r="KI106" s="20"/>
      <c r="KJ106" s="20"/>
      <c r="KK106" s="20"/>
      <c r="KL106" s="20"/>
      <c r="KM106" s="20"/>
      <c r="KN106" s="20"/>
      <c r="KO106" s="20"/>
      <c r="KP106" s="20"/>
      <c r="KQ106" s="20"/>
      <c r="KR106" s="20"/>
      <c r="KS106" s="20"/>
      <c r="KT106" s="20"/>
      <c r="KU106" s="20"/>
      <c r="KV106" s="20"/>
      <c r="KW106" s="20"/>
      <c r="KX106" s="20"/>
      <c r="KY106" s="20"/>
      <c r="KZ106" s="20"/>
      <c r="LA106" s="20"/>
      <c r="LB106" s="20"/>
      <c r="LC106" s="20"/>
      <c r="LD106" s="20"/>
      <c r="LE106" s="20"/>
      <c r="LF106" s="20"/>
      <c r="LG106" s="20"/>
      <c r="LH106" s="20"/>
      <c r="LI106" s="20"/>
      <c r="LJ106" s="20"/>
      <c r="LK106" s="20"/>
      <c r="LL106" s="20"/>
      <c r="LM106" s="20"/>
      <c r="LN106" s="20"/>
      <c r="LO106" s="20"/>
      <c r="LP106" s="20"/>
      <c r="LQ106" s="20"/>
      <c r="LR106" s="20"/>
      <c r="LS106" s="20"/>
      <c r="LT106" s="20"/>
      <c r="LU106" s="20"/>
      <c r="LV106" s="20"/>
      <c r="LW106" s="20"/>
      <c r="LX106" s="20"/>
    </row>
    <row r="107" spans="1:336" s="24" customFormat="1" x14ac:dyDescent="0.25">
      <c r="A107" s="21" t="s">
        <v>16</v>
      </c>
      <c r="B107" s="22" t="s">
        <v>17</v>
      </c>
      <c r="C107" s="23" t="s">
        <v>213</v>
      </c>
      <c r="D107" s="8" t="s">
        <v>214</v>
      </c>
      <c r="E107" s="8">
        <v>3</v>
      </c>
      <c r="F107" s="18" t="s">
        <v>60</v>
      </c>
      <c r="G107" s="10" t="s">
        <v>20</v>
      </c>
      <c r="H107" s="11">
        <v>1</v>
      </c>
      <c r="I107" s="12">
        <v>44</v>
      </c>
      <c r="J107" s="13">
        <v>418</v>
      </c>
      <c r="K107" s="13">
        <v>1003.2</v>
      </c>
      <c r="L107" s="13">
        <v>0</v>
      </c>
      <c r="M107" s="13">
        <f>83.6</f>
        <v>83.6</v>
      </c>
      <c r="N107" s="13">
        <v>0</v>
      </c>
      <c r="O107" s="13">
        <f>20.9+1003.2+44.51+75.24+62.7</f>
        <v>1206.5500000000002</v>
      </c>
      <c r="P107" s="14">
        <f t="shared" si="3"/>
        <v>298.24999999999977</v>
      </c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  <c r="IW107" s="20"/>
      <c r="IX107" s="20"/>
      <c r="IY107" s="20"/>
      <c r="IZ107" s="20"/>
      <c r="JA107" s="20"/>
      <c r="JB107" s="20"/>
      <c r="JC107" s="20"/>
      <c r="JD107" s="20"/>
      <c r="JE107" s="20"/>
      <c r="JF107" s="20"/>
      <c r="JG107" s="20"/>
      <c r="JH107" s="20"/>
      <c r="JI107" s="20"/>
      <c r="JJ107" s="20"/>
      <c r="JK107" s="20"/>
      <c r="JL107" s="20"/>
      <c r="JM107" s="20"/>
      <c r="JN107" s="20"/>
      <c r="JO107" s="20"/>
      <c r="JP107" s="20"/>
      <c r="JQ107" s="20"/>
      <c r="JR107" s="20"/>
      <c r="JS107" s="20"/>
      <c r="JT107" s="20"/>
      <c r="JU107" s="20"/>
      <c r="JV107" s="20"/>
      <c r="JW107" s="20"/>
      <c r="JX107" s="20"/>
      <c r="JY107" s="20"/>
      <c r="JZ107" s="20"/>
      <c r="KA107" s="20"/>
      <c r="KB107" s="20"/>
      <c r="KC107" s="20"/>
      <c r="KD107" s="20"/>
      <c r="KE107" s="20"/>
      <c r="KF107" s="20"/>
      <c r="KG107" s="20"/>
      <c r="KH107" s="20"/>
      <c r="KI107" s="20"/>
      <c r="KJ107" s="20"/>
      <c r="KK107" s="20"/>
      <c r="KL107" s="20"/>
      <c r="KM107" s="20"/>
      <c r="KN107" s="20"/>
      <c r="KO107" s="20"/>
      <c r="KP107" s="20"/>
      <c r="KQ107" s="20"/>
      <c r="KR107" s="20"/>
      <c r="KS107" s="20"/>
      <c r="KT107" s="20"/>
      <c r="KU107" s="20"/>
      <c r="KV107" s="20"/>
      <c r="KW107" s="20"/>
      <c r="KX107" s="20"/>
      <c r="KY107" s="20"/>
      <c r="KZ107" s="20"/>
      <c r="LA107" s="20"/>
      <c r="LB107" s="20"/>
      <c r="LC107" s="20"/>
      <c r="LD107" s="20"/>
      <c r="LE107" s="20"/>
      <c r="LF107" s="20"/>
      <c r="LG107" s="20"/>
      <c r="LH107" s="20"/>
      <c r="LI107" s="20"/>
      <c r="LJ107" s="20"/>
      <c r="LK107" s="20"/>
      <c r="LL107" s="20"/>
      <c r="LM107" s="20"/>
      <c r="LN107" s="20"/>
      <c r="LO107" s="20"/>
      <c r="LP107" s="20"/>
      <c r="LQ107" s="20"/>
      <c r="LR107" s="20"/>
      <c r="LS107" s="20"/>
      <c r="LT107" s="20"/>
      <c r="LU107" s="20"/>
      <c r="LV107" s="20"/>
      <c r="LW107" s="20"/>
      <c r="LX107" s="20"/>
    </row>
    <row r="108" spans="1:336" s="24" customFormat="1" x14ac:dyDescent="0.25">
      <c r="A108" s="21" t="s">
        <v>16</v>
      </c>
      <c r="B108" s="22" t="s">
        <v>17</v>
      </c>
      <c r="C108" s="23">
        <v>50022440410</v>
      </c>
      <c r="D108" s="8" t="s">
        <v>215</v>
      </c>
      <c r="E108" s="8">
        <v>2</v>
      </c>
      <c r="F108" s="9" t="s">
        <v>19</v>
      </c>
      <c r="G108" s="10" t="s">
        <v>20</v>
      </c>
      <c r="H108" s="11">
        <v>1</v>
      </c>
      <c r="I108" s="12">
        <v>44</v>
      </c>
      <c r="J108" s="13">
        <v>1212.4000000000001</v>
      </c>
      <c r="K108" s="13">
        <v>0</v>
      </c>
      <c r="L108" s="13">
        <v>0</v>
      </c>
      <c r="M108" s="13">
        <f>209+45.56+236.9</f>
        <v>491.46000000000004</v>
      </c>
      <c r="N108" s="13">
        <v>0</v>
      </c>
      <c r="O108" s="13">
        <f>24.25+137.66</f>
        <v>161.91</v>
      </c>
      <c r="P108" s="14">
        <f t="shared" si="3"/>
        <v>1541.95</v>
      </c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  <c r="IW108" s="20"/>
      <c r="IX108" s="20"/>
      <c r="IY108" s="20"/>
      <c r="IZ108" s="20"/>
      <c r="JA108" s="20"/>
      <c r="JB108" s="20"/>
      <c r="JC108" s="20"/>
      <c r="JD108" s="20"/>
      <c r="JE108" s="20"/>
      <c r="JF108" s="20"/>
      <c r="JG108" s="20"/>
      <c r="JH108" s="20"/>
      <c r="JI108" s="20"/>
      <c r="JJ108" s="20"/>
      <c r="JK108" s="20"/>
      <c r="JL108" s="20"/>
      <c r="JM108" s="20"/>
      <c r="JN108" s="20"/>
      <c r="JO108" s="20"/>
      <c r="JP108" s="20"/>
      <c r="JQ108" s="20"/>
      <c r="JR108" s="20"/>
      <c r="JS108" s="20"/>
      <c r="JT108" s="20"/>
      <c r="JU108" s="20"/>
      <c r="JV108" s="20"/>
      <c r="JW108" s="20"/>
      <c r="JX108" s="20"/>
      <c r="JY108" s="20"/>
      <c r="JZ108" s="20"/>
      <c r="KA108" s="20"/>
      <c r="KB108" s="20"/>
      <c r="KC108" s="20"/>
      <c r="KD108" s="20"/>
      <c r="KE108" s="20"/>
      <c r="KF108" s="20"/>
      <c r="KG108" s="20"/>
      <c r="KH108" s="20"/>
      <c r="KI108" s="20"/>
      <c r="KJ108" s="20"/>
      <c r="KK108" s="20"/>
      <c r="KL108" s="20"/>
      <c r="KM108" s="20"/>
      <c r="KN108" s="20"/>
      <c r="KO108" s="20"/>
      <c r="KP108" s="20"/>
      <c r="KQ108" s="20"/>
      <c r="KR108" s="20"/>
      <c r="KS108" s="20"/>
      <c r="KT108" s="20"/>
      <c r="KU108" s="20"/>
      <c r="KV108" s="20"/>
      <c r="KW108" s="20"/>
      <c r="KX108" s="20"/>
      <c r="KY108" s="20"/>
      <c r="KZ108" s="20"/>
      <c r="LA108" s="20"/>
      <c r="LB108" s="20"/>
      <c r="LC108" s="20"/>
      <c r="LD108" s="20"/>
      <c r="LE108" s="20"/>
      <c r="LF108" s="20"/>
      <c r="LG108" s="20"/>
      <c r="LH108" s="20"/>
      <c r="LI108" s="20"/>
      <c r="LJ108" s="20"/>
      <c r="LK108" s="20"/>
      <c r="LL108" s="20"/>
      <c r="LM108" s="20"/>
      <c r="LN108" s="20"/>
      <c r="LO108" s="20"/>
      <c r="LP108" s="20"/>
      <c r="LQ108" s="20"/>
      <c r="LR108" s="20"/>
      <c r="LS108" s="20"/>
      <c r="LT108" s="20"/>
      <c r="LU108" s="20"/>
      <c r="LV108" s="20"/>
      <c r="LW108" s="20"/>
      <c r="LX108" s="20"/>
    </row>
    <row r="109" spans="1:336" s="24" customFormat="1" x14ac:dyDescent="0.25">
      <c r="A109" s="21" t="s">
        <v>16</v>
      </c>
      <c r="B109" s="22" t="s">
        <v>17</v>
      </c>
      <c r="C109" s="23">
        <v>42713978491</v>
      </c>
      <c r="D109" s="8" t="s">
        <v>216</v>
      </c>
      <c r="E109" s="8">
        <v>2</v>
      </c>
      <c r="F109" s="9" t="s">
        <v>19</v>
      </c>
      <c r="G109" s="10" t="s">
        <v>20</v>
      </c>
      <c r="H109" s="11">
        <v>1</v>
      </c>
      <c r="I109" s="12">
        <v>44</v>
      </c>
      <c r="J109" s="13">
        <v>1212.24</v>
      </c>
      <c r="K109" s="13">
        <v>0</v>
      </c>
      <c r="L109" s="13">
        <v>0</v>
      </c>
      <c r="M109" s="13">
        <f>209</f>
        <v>209</v>
      </c>
      <c r="N109" s="13">
        <v>0</v>
      </c>
      <c r="O109" s="13">
        <f>24.25+112.24+72.74</f>
        <v>209.23000000000002</v>
      </c>
      <c r="P109" s="14">
        <f t="shared" si="3"/>
        <v>1212.01</v>
      </c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</row>
    <row r="110" spans="1:336" s="24" customFormat="1" x14ac:dyDescent="0.25">
      <c r="A110" s="21" t="s">
        <v>16</v>
      </c>
      <c r="B110" s="22" t="s">
        <v>17</v>
      </c>
      <c r="C110" s="23">
        <v>97586390487</v>
      </c>
      <c r="D110" s="8" t="s">
        <v>217</v>
      </c>
      <c r="E110" s="8">
        <v>2</v>
      </c>
      <c r="F110" s="9" t="s">
        <v>19</v>
      </c>
      <c r="G110" s="10" t="s">
        <v>20</v>
      </c>
      <c r="H110" s="11">
        <v>1</v>
      </c>
      <c r="I110" s="12">
        <v>44</v>
      </c>
      <c r="J110" s="13">
        <v>1212.4000000000001</v>
      </c>
      <c r="K110" s="13">
        <v>0</v>
      </c>
      <c r="L110" s="13">
        <v>0</v>
      </c>
      <c r="M110" s="13">
        <f>209</f>
        <v>209</v>
      </c>
      <c r="N110" s="13">
        <v>0</v>
      </c>
      <c r="O110" s="13">
        <f>24.25+112.24+72.74</f>
        <v>209.23000000000002</v>
      </c>
      <c r="P110" s="14">
        <f t="shared" si="3"/>
        <v>1212.17</v>
      </c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</row>
    <row r="111" spans="1:336" s="24" customFormat="1" x14ac:dyDescent="0.25">
      <c r="A111" s="21" t="s">
        <v>16</v>
      </c>
      <c r="B111" s="22" t="s">
        <v>17</v>
      </c>
      <c r="C111" s="23" t="s">
        <v>218</v>
      </c>
      <c r="D111" s="8" t="s">
        <v>219</v>
      </c>
      <c r="E111" s="8">
        <v>2</v>
      </c>
      <c r="F111" s="15" t="s">
        <v>74</v>
      </c>
      <c r="G111" s="10" t="s">
        <v>20</v>
      </c>
      <c r="H111" s="11">
        <v>1</v>
      </c>
      <c r="I111" s="12">
        <v>44</v>
      </c>
      <c r="J111" s="13">
        <v>3132.6</v>
      </c>
      <c r="K111" s="13">
        <v>0</v>
      </c>
      <c r="L111" s="13">
        <v>0</v>
      </c>
      <c r="M111" s="13">
        <f>209+128.52+668.32</f>
        <v>1005.84</v>
      </c>
      <c r="N111" s="13">
        <v>0</v>
      </c>
      <c r="O111" s="13">
        <f>14.92+438.31+200.22</f>
        <v>653.45000000000005</v>
      </c>
      <c r="P111" s="14">
        <f t="shared" si="3"/>
        <v>3484.99</v>
      </c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</row>
    <row r="112" spans="1:336" s="24" customFormat="1" x14ac:dyDescent="0.25">
      <c r="A112" s="21" t="s">
        <v>16</v>
      </c>
      <c r="B112" s="22" t="s">
        <v>17</v>
      </c>
      <c r="C112" s="23">
        <v>86334050400</v>
      </c>
      <c r="D112" s="8" t="s">
        <v>220</v>
      </c>
      <c r="E112" s="8">
        <v>2</v>
      </c>
      <c r="F112" s="26" t="s">
        <v>221</v>
      </c>
      <c r="G112" s="10" t="s">
        <v>20</v>
      </c>
      <c r="H112" s="11">
        <v>1</v>
      </c>
      <c r="I112" s="12">
        <v>44</v>
      </c>
      <c r="J112" s="13">
        <v>1182.74</v>
      </c>
      <c r="K112" s="13">
        <v>0</v>
      </c>
      <c r="L112" s="13">
        <v>0</v>
      </c>
      <c r="M112" s="13">
        <f>209</f>
        <v>209</v>
      </c>
      <c r="N112" s="13">
        <v>0</v>
      </c>
      <c r="O112" s="13">
        <f>23.65+109.57</f>
        <v>133.22</v>
      </c>
      <c r="P112" s="14">
        <f t="shared" si="3"/>
        <v>1258.52</v>
      </c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</row>
    <row r="113" spans="1:336" s="24" customFormat="1" x14ac:dyDescent="0.25">
      <c r="A113" s="21" t="s">
        <v>16</v>
      </c>
      <c r="B113" s="22" t="s">
        <v>17</v>
      </c>
      <c r="C113" s="23" t="s">
        <v>222</v>
      </c>
      <c r="D113" s="8" t="s">
        <v>223</v>
      </c>
      <c r="E113" s="8">
        <v>3</v>
      </c>
      <c r="F113" s="15" t="s">
        <v>109</v>
      </c>
      <c r="G113" s="10" t="s">
        <v>20</v>
      </c>
      <c r="H113" s="11">
        <v>2</v>
      </c>
      <c r="I113" s="12">
        <v>44</v>
      </c>
      <c r="J113" s="13">
        <v>3390.73</v>
      </c>
      <c r="K113" s="13">
        <v>0</v>
      </c>
      <c r="L113" s="13">
        <v>0</v>
      </c>
      <c r="M113" s="13">
        <v>209</v>
      </c>
      <c r="N113" s="13">
        <v>0</v>
      </c>
      <c r="O113" s="13">
        <f>67.81+362.89+102.29</f>
        <v>532.99</v>
      </c>
      <c r="P113" s="14">
        <f t="shared" si="3"/>
        <v>3066.74</v>
      </c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</row>
    <row r="114" spans="1:336" s="24" customFormat="1" x14ac:dyDescent="0.25">
      <c r="A114" s="21" t="s">
        <v>16</v>
      </c>
      <c r="B114" s="22" t="s">
        <v>17</v>
      </c>
      <c r="C114" s="23" t="s">
        <v>224</v>
      </c>
      <c r="D114" s="8" t="s">
        <v>225</v>
      </c>
      <c r="E114" s="8">
        <v>3</v>
      </c>
      <c r="F114" s="9" t="s">
        <v>63</v>
      </c>
      <c r="G114" s="10" t="s">
        <v>20</v>
      </c>
      <c r="H114" s="11">
        <v>1</v>
      </c>
      <c r="I114" s="12">
        <v>44</v>
      </c>
      <c r="J114" s="13">
        <v>418</v>
      </c>
      <c r="K114" s="13">
        <v>1030.92</v>
      </c>
      <c r="L114" s="13">
        <v>0</v>
      </c>
      <c r="M114" s="13">
        <f>83.6</f>
        <v>83.6</v>
      </c>
      <c r="N114" s="13">
        <v>0</v>
      </c>
      <c r="O114" s="13">
        <f>20.9+1030.92+44.93+77.31</f>
        <v>1174.0600000000002</v>
      </c>
      <c r="P114" s="14">
        <f t="shared" si="3"/>
        <v>358.45999999999981</v>
      </c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</row>
    <row r="115" spans="1:336" s="24" customFormat="1" x14ac:dyDescent="0.25">
      <c r="A115" s="21" t="s">
        <v>16</v>
      </c>
      <c r="B115" s="22" t="s">
        <v>17</v>
      </c>
      <c r="C115" s="23" t="s">
        <v>226</v>
      </c>
      <c r="D115" s="8" t="s">
        <v>227</v>
      </c>
      <c r="E115" s="8">
        <v>2</v>
      </c>
      <c r="F115" s="9" t="s">
        <v>30</v>
      </c>
      <c r="G115" s="10" t="s">
        <v>20</v>
      </c>
      <c r="H115" s="11">
        <v>1</v>
      </c>
      <c r="I115" s="12">
        <v>44</v>
      </c>
      <c r="J115" s="13">
        <v>1771.76</v>
      </c>
      <c r="K115" s="13">
        <v>0</v>
      </c>
      <c r="L115" s="13">
        <v>0</v>
      </c>
      <c r="M115" s="13">
        <f>209+787.68</f>
        <v>996.68</v>
      </c>
      <c r="N115" s="13">
        <v>0</v>
      </c>
      <c r="O115" s="13">
        <f>2.43+79.23+155.45</f>
        <v>237.11</v>
      </c>
      <c r="P115" s="14">
        <f t="shared" si="3"/>
        <v>2531.33</v>
      </c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</row>
    <row r="116" spans="1:336" s="24" customFormat="1" x14ac:dyDescent="0.25">
      <c r="A116" s="21" t="s">
        <v>16</v>
      </c>
      <c r="B116" s="22" t="s">
        <v>17</v>
      </c>
      <c r="C116" s="23" t="s">
        <v>228</v>
      </c>
      <c r="D116" s="8" t="s">
        <v>229</v>
      </c>
      <c r="E116" s="8">
        <v>3</v>
      </c>
      <c r="F116" s="9" t="s">
        <v>63</v>
      </c>
      <c r="G116" s="10" t="s">
        <v>20</v>
      </c>
      <c r="H116" s="11">
        <v>1</v>
      </c>
      <c r="I116" s="12">
        <v>44</v>
      </c>
      <c r="J116" s="13">
        <v>1045</v>
      </c>
      <c r="K116" s="13">
        <v>0</v>
      </c>
      <c r="L116" s="13">
        <v>0</v>
      </c>
      <c r="M116" s="13">
        <f>209+40.19+209</f>
        <v>458.19</v>
      </c>
      <c r="N116" s="13">
        <v>0</v>
      </c>
      <c r="O116" s="13">
        <f>20.9+119.6</f>
        <v>140.5</v>
      </c>
      <c r="P116" s="14">
        <f t="shared" si="3"/>
        <v>1362.69</v>
      </c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</row>
    <row r="117" spans="1:336" s="24" customFormat="1" x14ac:dyDescent="0.25">
      <c r="A117" s="21" t="s">
        <v>16</v>
      </c>
      <c r="B117" s="22" t="s">
        <v>17</v>
      </c>
      <c r="C117" s="23" t="s">
        <v>230</v>
      </c>
      <c r="D117" s="8" t="s">
        <v>231</v>
      </c>
      <c r="E117" s="8">
        <v>3</v>
      </c>
      <c r="F117" s="9" t="s">
        <v>232</v>
      </c>
      <c r="G117" s="10" t="s">
        <v>20</v>
      </c>
      <c r="H117" s="11">
        <v>2</v>
      </c>
      <c r="I117" s="12">
        <v>44</v>
      </c>
      <c r="J117" s="13">
        <v>2587.5</v>
      </c>
      <c r="K117" s="13">
        <v>0</v>
      </c>
      <c r="L117" s="13">
        <v>0</v>
      </c>
      <c r="M117" s="13">
        <v>209</v>
      </c>
      <c r="N117" s="13">
        <v>0</v>
      </c>
      <c r="O117" s="13">
        <f>51.75+257.2+19.21</f>
        <v>328.15999999999997</v>
      </c>
      <c r="P117" s="14">
        <f t="shared" si="3"/>
        <v>2468.34</v>
      </c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</row>
    <row r="118" spans="1:336" s="24" customFormat="1" x14ac:dyDescent="0.25">
      <c r="A118" s="21" t="s">
        <v>16</v>
      </c>
      <c r="B118" s="22" t="s">
        <v>17</v>
      </c>
      <c r="C118" s="23" t="s">
        <v>233</v>
      </c>
      <c r="D118" s="8" t="s">
        <v>234</v>
      </c>
      <c r="E118" s="8">
        <v>2</v>
      </c>
      <c r="F118" s="9" t="s">
        <v>35</v>
      </c>
      <c r="G118" s="10" t="s">
        <v>20</v>
      </c>
      <c r="H118" s="11">
        <v>1</v>
      </c>
      <c r="I118" s="12">
        <v>44</v>
      </c>
      <c r="J118" s="13">
        <v>2030.47</v>
      </c>
      <c r="K118" s="13">
        <v>0</v>
      </c>
      <c r="L118" s="13">
        <v>0</v>
      </c>
      <c r="M118" s="13">
        <f>54.67+284.27+812.19</f>
        <v>1151.1300000000001</v>
      </c>
      <c r="N118" s="13">
        <v>0</v>
      </c>
      <c r="O118" s="13">
        <f>304.35+44.56</f>
        <v>348.91</v>
      </c>
      <c r="P118" s="14">
        <f t="shared" si="3"/>
        <v>2832.6900000000005</v>
      </c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</row>
    <row r="119" spans="1:336" s="24" customFormat="1" x14ac:dyDescent="0.25">
      <c r="A119" s="21" t="s">
        <v>16</v>
      </c>
      <c r="B119" s="22" t="s">
        <v>17</v>
      </c>
      <c r="C119" s="23" t="s">
        <v>235</v>
      </c>
      <c r="D119" s="8" t="s">
        <v>236</v>
      </c>
      <c r="E119" s="8">
        <v>3</v>
      </c>
      <c r="F119" s="9" t="s">
        <v>63</v>
      </c>
      <c r="G119" s="10" t="s">
        <v>20</v>
      </c>
      <c r="H119" s="11">
        <v>1</v>
      </c>
      <c r="I119" s="12">
        <v>44</v>
      </c>
      <c r="J119" s="13">
        <v>1045</v>
      </c>
      <c r="K119" s="13">
        <v>0</v>
      </c>
      <c r="L119" s="13">
        <v>0</v>
      </c>
      <c r="M119" s="13">
        <f>209+10.72+55.73</f>
        <v>275.45</v>
      </c>
      <c r="N119" s="13">
        <v>0</v>
      </c>
      <c r="O119" s="13">
        <f>20.9+103.16+62.7</f>
        <v>186.76</v>
      </c>
      <c r="P119" s="14">
        <f t="shared" si="3"/>
        <v>1133.69</v>
      </c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</row>
    <row r="120" spans="1:336" s="24" customFormat="1" x14ac:dyDescent="0.25">
      <c r="A120" s="21" t="s">
        <v>16</v>
      </c>
      <c r="B120" s="22" t="s">
        <v>17</v>
      </c>
      <c r="C120" s="23">
        <v>66715300410</v>
      </c>
      <c r="D120" s="8" t="s">
        <v>237</v>
      </c>
      <c r="E120" s="8">
        <v>2</v>
      </c>
      <c r="F120" s="9" t="s">
        <v>19</v>
      </c>
      <c r="G120" s="10" t="s">
        <v>20</v>
      </c>
      <c r="H120" s="11">
        <v>1</v>
      </c>
      <c r="I120" s="12">
        <v>44</v>
      </c>
      <c r="J120" s="13">
        <v>1212.4000000000001</v>
      </c>
      <c r="K120" s="13">
        <v>0</v>
      </c>
      <c r="L120" s="13">
        <v>0</v>
      </c>
      <c r="M120" s="13">
        <f>209+48.46+251.98</f>
        <v>509.43999999999994</v>
      </c>
      <c r="N120" s="13">
        <v>0</v>
      </c>
      <c r="O120" s="13">
        <f>24.25+139.28+72.74</f>
        <v>236.26999999999998</v>
      </c>
      <c r="P120" s="14">
        <f t="shared" si="3"/>
        <v>1485.5700000000002</v>
      </c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</row>
    <row r="121" spans="1:336" s="24" customFormat="1" x14ac:dyDescent="0.25">
      <c r="A121" s="21" t="s">
        <v>16</v>
      </c>
      <c r="B121" s="22" t="s">
        <v>17</v>
      </c>
      <c r="C121" s="23" t="s">
        <v>238</v>
      </c>
      <c r="D121" s="8" t="s">
        <v>239</v>
      </c>
      <c r="E121" s="8">
        <v>2</v>
      </c>
      <c r="F121" s="9" t="s">
        <v>19</v>
      </c>
      <c r="G121" s="10" t="s">
        <v>20</v>
      </c>
      <c r="H121" s="11">
        <v>1</v>
      </c>
      <c r="I121" s="12">
        <v>44</v>
      </c>
      <c r="J121" s="13">
        <v>1212.4000000000001</v>
      </c>
      <c r="K121" s="13">
        <v>0</v>
      </c>
      <c r="L121" s="13">
        <v>0</v>
      </c>
      <c r="M121" s="13">
        <f>209+48.62</f>
        <v>257.62</v>
      </c>
      <c r="N121" s="13">
        <v>0</v>
      </c>
      <c r="O121" s="13">
        <f>24.25+112.24+72.74</f>
        <v>209.23000000000002</v>
      </c>
      <c r="P121" s="14">
        <f t="shared" si="3"/>
        <v>1260.79</v>
      </c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</row>
    <row r="122" spans="1:336" s="24" customFormat="1" x14ac:dyDescent="0.25">
      <c r="A122" s="21" t="s">
        <v>16</v>
      </c>
      <c r="B122" s="22" t="s">
        <v>17</v>
      </c>
      <c r="C122" s="23" t="s">
        <v>240</v>
      </c>
      <c r="D122" s="8" t="s">
        <v>241</v>
      </c>
      <c r="E122" s="8">
        <v>3</v>
      </c>
      <c r="F122" s="18" t="s">
        <v>60</v>
      </c>
      <c r="G122" s="10" t="s">
        <v>20</v>
      </c>
      <c r="H122" s="11">
        <v>1</v>
      </c>
      <c r="I122" s="12">
        <v>44</v>
      </c>
      <c r="J122" s="13">
        <v>940.5</v>
      </c>
      <c r="K122" s="13">
        <v>0</v>
      </c>
      <c r="L122" s="13">
        <v>0</v>
      </c>
      <c r="M122" s="13">
        <f>104.5+188.1+64+39.38+181.13</f>
        <v>577.11</v>
      </c>
      <c r="N122" s="13">
        <v>0</v>
      </c>
      <c r="O122" s="13">
        <f>20.9+115.14+62.7</f>
        <v>198.74</v>
      </c>
      <c r="P122" s="14">
        <f t="shared" si="3"/>
        <v>1318.8700000000001</v>
      </c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</row>
    <row r="123" spans="1:336" s="24" customFormat="1" x14ac:dyDescent="0.25">
      <c r="A123" s="21" t="s">
        <v>16</v>
      </c>
      <c r="B123" s="22" t="s">
        <v>17</v>
      </c>
      <c r="C123" s="23">
        <v>71197891471</v>
      </c>
      <c r="D123" s="8" t="s">
        <v>242</v>
      </c>
      <c r="E123" s="8">
        <v>3</v>
      </c>
      <c r="F123" s="15" t="s">
        <v>25</v>
      </c>
      <c r="G123" s="10" t="s">
        <v>20</v>
      </c>
      <c r="H123" s="11">
        <v>1</v>
      </c>
      <c r="I123" s="12">
        <v>44</v>
      </c>
      <c r="J123" s="13">
        <v>950.34</v>
      </c>
      <c r="K123" s="13">
        <v>0</v>
      </c>
      <c r="L123" s="13">
        <v>0</v>
      </c>
      <c r="M123" s="13">
        <f>105.59+188.1+3.05+14.05</f>
        <v>310.79000000000002</v>
      </c>
      <c r="N123" s="13">
        <v>0</v>
      </c>
      <c r="O123" s="13">
        <f>21.12+97.82+63.36</f>
        <v>182.3</v>
      </c>
      <c r="P123" s="14">
        <f t="shared" si="3"/>
        <v>1078.8300000000002</v>
      </c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</row>
    <row r="124" spans="1:336" s="24" customFormat="1" x14ac:dyDescent="0.25">
      <c r="A124" s="21" t="s">
        <v>16</v>
      </c>
      <c r="B124" s="22" t="s">
        <v>17</v>
      </c>
      <c r="C124" s="23" t="s">
        <v>243</v>
      </c>
      <c r="D124" s="8" t="s">
        <v>244</v>
      </c>
      <c r="E124" s="8">
        <v>3</v>
      </c>
      <c r="F124" s="15" t="s">
        <v>68</v>
      </c>
      <c r="G124" s="10" t="s">
        <v>20</v>
      </c>
      <c r="H124" s="11">
        <v>1</v>
      </c>
      <c r="I124" s="12">
        <v>44</v>
      </c>
      <c r="J124" s="13">
        <v>501.82</v>
      </c>
      <c r="K124" s="13">
        <v>1491.68</v>
      </c>
      <c r="L124" s="13">
        <v>0</v>
      </c>
      <c r="M124" s="13">
        <f>83.6+2.96+16.26</f>
        <v>102.82</v>
      </c>
      <c r="N124" s="13">
        <v>0</v>
      </c>
      <c r="O124" s="13">
        <f>25.09+1491.68+54.61+118.57</f>
        <v>1689.9499999999998</v>
      </c>
      <c r="P124" s="14">
        <f t="shared" si="3"/>
        <v>406.37000000000035</v>
      </c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</row>
    <row r="125" spans="1:336" s="24" customFormat="1" x14ac:dyDescent="0.25">
      <c r="A125" s="21" t="s">
        <v>16</v>
      </c>
      <c r="B125" s="22" t="s">
        <v>17</v>
      </c>
      <c r="C125" s="23" t="s">
        <v>245</v>
      </c>
      <c r="D125" s="8" t="s">
        <v>246</v>
      </c>
      <c r="E125" s="8">
        <v>2</v>
      </c>
      <c r="F125" s="9" t="s">
        <v>19</v>
      </c>
      <c r="G125" s="10" t="s">
        <v>20</v>
      </c>
      <c r="H125" s="11">
        <v>1</v>
      </c>
      <c r="I125" s="12">
        <v>44</v>
      </c>
      <c r="J125" s="13">
        <v>1212.4000000000001</v>
      </c>
      <c r="K125" s="13">
        <v>0</v>
      </c>
      <c r="L125" s="13">
        <v>0</v>
      </c>
      <c r="M125" s="13">
        <f>209+64+42.52+221.11</f>
        <v>536.63</v>
      </c>
      <c r="N125" s="13">
        <v>0</v>
      </c>
      <c r="O125" s="13">
        <f>24.25+135.97+72.74</f>
        <v>232.95999999999998</v>
      </c>
      <c r="P125" s="14">
        <f t="shared" si="3"/>
        <v>1516.0700000000002</v>
      </c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  <c r="IX125" s="20"/>
      <c r="IY125" s="20"/>
      <c r="IZ125" s="20"/>
      <c r="JA125" s="20"/>
      <c r="JB125" s="20"/>
      <c r="JC125" s="20"/>
      <c r="JD125" s="20"/>
      <c r="JE125" s="20"/>
      <c r="JF125" s="20"/>
      <c r="JG125" s="20"/>
      <c r="JH125" s="20"/>
      <c r="JI125" s="20"/>
      <c r="JJ125" s="20"/>
      <c r="JK125" s="20"/>
      <c r="JL125" s="20"/>
      <c r="JM125" s="20"/>
      <c r="JN125" s="20"/>
      <c r="JO125" s="20"/>
      <c r="JP125" s="20"/>
      <c r="JQ125" s="20"/>
      <c r="JR125" s="20"/>
      <c r="JS125" s="20"/>
      <c r="JT125" s="20"/>
      <c r="JU125" s="20"/>
      <c r="JV125" s="20"/>
      <c r="JW125" s="20"/>
      <c r="JX125" s="20"/>
      <c r="JY125" s="20"/>
      <c r="JZ125" s="20"/>
      <c r="KA125" s="20"/>
      <c r="KB125" s="20"/>
      <c r="KC125" s="20"/>
      <c r="KD125" s="20"/>
      <c r="KE125" s="20"/>
      <c r="KF125" s="20"/>
      <c r="KG125" s="20"/>
      <c r="KH125" s="20"/>
      <c r="KI125" s="20"/>
      <c r="KJ125" s="20"/>
      <c r="KK125" s="20"/>
      <c r="KL125" s="20"/>
      <c r="KM125" s="20"/>
      <c r="KN125" s="20"/>
      <c r="KO125" s="20"/>
      <c r="KP125" s="20"/>
      <c r="KQ125" s="20"/>
      <c r="KR125" s="20"/>
      <c r="KS125" s="20"/>
      <c r="KT125" s="20"/>
      <c r="KU125" s="20"/>
      <c r="KV125" s="20"/>
      <c r="KW125" s="20"/>
      <c r="KX125" s="20"/>
      <c r="KY125" s="20"/>
      <c r="KZ125" s="20"/>
      <c r="LA125" s="20"/>
      <c r="LB125" s="20"/>
      <c r="LC125" s="20"/>
      <c r="LD125" s="20"/>
      <c r="LE125" s="20"/>
      <c r="LF125" s="20"/>
      <c r="LG125" s="20"/>
      <c r="LH125" s="20"/>
      <c r="LI125" s="20"/>
      <c r="LJ125" s="20"/>
      <c r="LK125" s="20"/>
      <c r="LL125" s="20"/>
      <c r="LM125" s="20"/>
      <c r="LN125" s="20"/>
      <c r="LO125" s="20"/>
      <c r="LP125" s="20"/>
      <c r="LQ125" s="20"/>
      <c r="LR125" s="20"/>
      <c r="LS125" s="20"/>
      <c r="LT125" s="20"/>
      <c r="LU125" s="20"/>
      <c r="LV125" s="20"/>
      <c r="LW125" s="20"/>
      <c r="LX125" s="20"/>
    </row>
    <row r="126" spans="1:336" s="24" customFormat="1" x14ac:dyDescent="0.25">
      <c r="A126" s="21" t="s">
        <v>16</v>
      </c>
      <c r="B126" s="22" t="s">
        <v>17</v>
      </c>
      <c r="C126" s="23">
        <v>11141755440</v>
      </c>
      <c r="D126" s="8" t="s">
        <v>247</v>
      </c>
      <c r="E126" s="8">
        <v>3</v>
      </c>
      <c r="F126" s="9" t="s">
        <v>248</v>
      </c>
      <c r="G126" s="10" t="s">
        <v>20</v>
      </c>
      <c r="H126" s="11">
        <v>2</v>
      </c>
      <c r="I126" s="12">
        <v>44</v>
      </c>
      <c r="J126" s="13">
        <v>828</v>
      </c>
      <c r="K126" s="13">
        <v>1823.2</v>
      </c>
      <c r="L126" s="13">
        <v>0</v>
      </c>
      <c r="M126" s="13">
        <v>83.6</v>
      </c>
      <c r="N126" s="13">
        <v>0</v>
      </c>
      <c r="O126" s="13">
        <f>41.4+1823.2+101.4+148.4</f>
        <v>2114.4</v>
      </c>
      <c r="P126" s="14">
        <f t="shared" si="3"/>
        <v>620.39999999999964</v>
      </c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  <c r="IX126" s="20"/>
      <c r="IY126" s="20"/>
      <c r="IZ126" s="20"/>
      <c r="JA126" s="20"/>
      <c r="JB126" s="20"/>
      <c r="JC126" s="20"/>
      <c r="JD126" s="20"/>
      <c r="JE126" s="20"/>
      <c r="JF126" s="20"/>
      <c r="JG126" s="20"/>
      <c r="JH126" s="20"/>
      <c r="JI126" s="20"/>
      <c r="JJ126" s="20"/>
      <c r="JK126" s="20"/>
      <c r="JL126" s="20"/>
      <c r="JM126" s="20"/>
      <c r="JN126" s="20"/>
      <c r="JO126" s="20"/>
      <c r="JP126" s="20"/>
      <c r="JQ126" s="20"/>
      <c r="JR126" s="20"/>
      <c r="JS126" s="20"/>
      <c r="JT126" s="20"/>
      <c r="JU126" s="20"/>
      <c r="JV126" s="20"/>
      <c r="JW126" s="20"/>
      <c r="JX126" s="20"/>
      <c r="JY126" s="20"/>
      <c r="JZ126" s="20"/>
      <c r="KA126" s="20"/>
      <c r="KB126" s="20"/>
      <c r="KC126" s="20"/>
      <c r="KD126" s="20"/>
      <c r="KE126" s="20"/>
      <c r="KF126" s="20"/>
      <c r="KG126" s="20"/>
      <c r="KH126" s="20"/>
      <c r="KI126" s="20"/>
      <c r="KJ126" s="20"/>
      <c r="KK126" s="20"/>
      <c r="KL126" s="20"/>
      <c r="KM126" s="20"/>
      <c r="KN126" s="20"/>
      <c r="KO126" s="20"/>
      <c r="KP126" s="20"/>
      <c r="KQ126" s="20"/>
      <c r="KR126" s="20"/>
      <c r="KS126" s="20"/>
      <c r="KT126" s="20"/>
      <c r="KU126" s="20"/>
      <c r="KV126" s="20"/>
      <c r="KW126" s="20"/>
      <c r="KX126" s="20"/>
      <c r="KY126" s="20"/>
      <c r="KZ126" s="20"/>
      <c r="LA126" s="20"/>
      <c r="LB126" s="20"/>
      <c r="LC126" s="20"/>
      <c r="LD126" s="20"/>
      <c r="LE126" s="20"/>
      <c r="LF126" s="20"/>
      <c r="LG126" s="20"/>
      <c r="LH126" s="20"/>
      <c r="LI126" s="20"/>
      <c r="LJ126" s="20"/>
      <c r="LK126" s="20"/>
      <c r="LL126" s="20"/>
      <c r="LM126" s="20"/>
      <c r="LN126" s="20"/>
      <c r="LO126" s="20"/>
      <c r="LP126" s="20"/>
      <c r="LQ126" s="20"/>
      <c r="LR126" s="20"/>
      <c r="LS126" s="20"/>
      <c r="LT126" s="20"/>
      <c r="LU126" s="20"/>
      <c r="LV126" s="20"/>
      <c r="LW126" s="20"/>
      <c r="LX126" s="20"/>
    </row>
    <row r="127" spans="1:336" s="24" customFormat="1" x14ac:dyDescent="0.25">
      <c r="A127" s="21" t="s">
        <v>16</v>
      </c>
      <c r="B127" s="22" t="s">
        <v>17</v>
      </c>
      <c r="C127" s="23">
        <v>82203210400</v>
      </c>
      <c r="D127" s="8" t="s">
        <v>249</v>
      </c>
      <c r="E127" s="8">
        <v>2</v>
      </c>
      <c r="F127" s="9" t="s">
        <v>35</v>
      </c>
      <c r="G127" s="10" t="s">
        <v>20</v>
      </c>
      <c r="H127" s="11">
        <v>1</v>
      </c>
      <c r="I127" s="12">
        <v>44</v>
      </c>
      <c r="J127" s="13">
        <v>2030.47</v>
      </c>
      <c r="K127" s="13">
        <v>0</v>
      </c>
      <c r="L127" s="13">
        <v>0</v>
      </c>
      <c r="M127" s="13">
        <f>54.67+284.27+812.19</f>
        <v>1151.1300000000001</v>
      </c>
      <c r="N127" s="13">
        <v>0</v>
      </c>
      <c r="O127" s="13">
        <f>304.35+58.77+121.83</f>
        <v>484.95</v>
      </c>
      <c r="P127" s="14">
        <f t="shared" ref="P127:P142" si="4">SUM(J127:N127)-O127</f>
        <v>2696.6500000000005</v>
      </c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  <c r="IX127" s="20"/>
      <c r="IY127" s="20"/>
      <c r="IZ127" s="20"/>
      <c r="JA127" s="20"/>
      <c r="JB127" s="20"/>
      <c r="JC127" s="20"/>
      <c r="JD127" s="20"/>
      <c r="JE127" s="20"/>
      <c r="JF127" s="20"/>
      <c r="JG127" s="20"/>
      <c r="JH127" s="20"/>
      <c r="JI127" s="20"/>
      <c r="JJ127" s="20"/>
      <c r="JK127" s="20"/>
      <c r="JL127" s="20"/>
      <c r="JM127" s="20"/>
      <c r="JN127" s="20"/>
      <c r="JO127" s="20"/>
      <c r="JP127" s="20"/>
      <c r="JQ127" s="20"/>
      <c r="JR127" s="20"/>
      <c r="JS127" s="20"/>
      <c r="JT127" s="20"/>
      <c r="JU127" s="20"/>
      <c r="JV127" s="20"/>
      <c r="JW127" s="20"/>
      <c r="JX127" s="20"/>
      <c r="JY127" s="20"/>
      <c r="JZ127" s="20"/>
      <c r="KA127" s="20"/>
      <c r="KB127" s="20"/>
      <c r="KC127" s="20"/>
      <c r="KD127" s="20"/>
      <c r="KE127" s="20"/>
      <c r="KF127" s="20"/>
      <c r="KG127" s="20"/>
      <c r="KH127" s="20"/>
      <c r="KI127" s="20"/>
      <c r="KJ127" s="20"/>
      <c r="KK127" s="20"/>
      <c r="KL127" s="20"/>
      <c r="KM127" s="20"/>
      <c r="KN127" s="20"/>
      <c r="KO127" s="20"/>
      <c r="KP127" s="20"/>
      <c r="KQ127" s="20"/>
      <c r="KR127" s="20"/>
      <c r="KS127" s="20"/>
      <c r="KT127" s="20"/>
      <c r="KU127" s="20"/>
      <c r="KV127" s="20"/>
      <c r="KW127" s="20"/>
      <c r="KX127" s="20"/>
      <c r="KY127" s="20"/>
      <c r="KZ127" s="20"/>
      <c r="LA127" s="20"/>
      <c r="LB127" s="20"/>
      <c r="LC127" s="20"/>
      <c r="LD127" s="20"/>
      <c r="LE127" s="20"/>
      <c r="LF127" s="20"/>
      <c r="LG127" s="20"/>
      <c r="LH127" s="20"/>
      <c r="LI127" s="20"/>
      <c r="LJ127" s="20"/>
      <c r="LK127" s="20"/>
      <c r="LL127" s="20"/>
      <c r="LM127" s="20"/>
      <c r="LN127" s="20"/>
      <c r="LO127" s="20"/>
      <c r="LP127" s="20"/>
      <c r="LQ127" s="20"/>
      <c r="LR127" s="20"/>
      <c r="LS127" s="20"/>
      <c r="LT127" s="20"/>
      <c r="LU127" s="20"/>
      <c r="LV127" s="20"/>
      <c r="LW127" s="20"/>
      <c r="LX127" s="20"/>
    </row>
    <row r="128" spans="1:336" s="24" customFormat="1" x14ac:dyDescent="0.25">
      <c r="A128" s="21" t="s">
        <v>16</v>
      </c>
      <c r="B128" s="22" t="s">
        <v>17</v>
      </c>
      <c r="C128" s="23" t="s">
        <v>250</v>
      </c>
      <c r="D128" s="8" t="s">
        <v>251</v>
      </c>
      <c r="E128" s="8">
        <v>3</v>
      </c>
      <c r="F128" s="9" t="s">
        <v>63</v>
      </c>
      <c r="G128" s="10" t="s">
        <v>20</v>
      </c>
      <c r="H128" s="11">
        <v>1</v>
      </c>
      <c r="I128" s="12">
        <v>44</v>
      </c>
      <c r="J128" s="13">
        <v>1045</v>
      </c>
      <c r="K128" s="13">
        <v>0</v>
      </c>
      <c r="L128" s="13">
        <v>0</v>
      </c>
      <c r="M128" s="13">
        <f>209+64+42.87+222.93</f>
        <v>538.79999999999995</v>
      </c>
      <c r="N128" s="13">
        <v>0</v>
      </c>
      <c r="O128" s="13">
        <f>20.9+121.1</f>
        <v>142</v>
      </c>
      <c r="P128" s="14">
        <f t="shared" si="4"/>
        <v>1441.8</v>
      </c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  <c r="IY128" s="20"/>
      <c r="IZ128" s="20"/>
      <c r="JA128" s="20"/>
      <c r="JB128" s="20"/>
      <c r="JC128" s="20"/>
      <c r="JD128" s="20"/>
      <c r="JE128" s="20"/>
      <c r="JF128" s="20"/>
      <c r="JG128" s="20"/>
      <c r="JH128" s="20"/>
      <c r="JI128" s="20"/>
      <c r="JJ128" s="20"/>
      <c r="JK128" s="20"/>
      <c r="JL128" s="20"/>
      <c r="JM128" s="20"/>
      <c r="JN128" s="20"/>
      <c r="JO128" s="20"/>
      <c r="JP128" s="20"/>
      <c r="JQ128" s="20"/>
      <c r="JR128" s="20"/>
      <c r="JS128" s="20"/>
      <c r="JT128" s="20"/>
      <c r="JU128" s="20"/>
      <c r="JV128" s="20"/>
      <c r="JW128" s="20"/>
      <c r="JX128" s="20"/>
      <c r="JY128" s="20"/>
      <c r="JZ128" s="20"/>
      <c r="KA128" s="20"/>
      <c r="KB128" s="20"/>
      <c r="KC128" s="20"/>
      <c r="KD128" s="20"/>
      <c r="KE128" s="20"/>
      <c r="KF128" s="20"/>
      <c r="KG128" s="20"/>
      <c r="KH128" s="20"/>
      <c r="KI128" s="20"/>
      <c r="KJ128" s="20"/>
      <c r="KK128" s="20"/>
      <c r="KL128" s="20"/>
      <c r="KM128" s="20"/>
      <c r="KN128" s="20"/>
      <c r="KO128" s="20"/>
      <c r="KP128" s="20"/>
      <c r="KQ128" s="20"/>
      <c r="KR128" s="20"/>
      <c r="KS128" s="20"/>
      <c r="KT128" s="20"/>
      <c r="KU128" s="20"/>
      <c r="KV128" s="20"/>
      <c r="KW128" s="20"/>
      <c r="KX128" s="20"/>
      <c r="KY128" s="20"/>
      <c r="KZ128" s="20"/>
      <c r="LA128" s="20"/>
      <c r="LB128" s="20"/>
      <c r="LC128" s="20"/>
      <c r="LD128" s="20"/>
      <c r="LE128" s="20"/>
      <c r="LF128" s="20"/>
      <c r="LG128" s="20"/>
      <c r="LH128" s="20"/>
      <c r="LI128" s="20"/>
      <c r="LJ128" s="20"/>
      <c r="LK128" s="20"/>
      <c r="LL128" s="20"/>
      <c r="LM128" s="20"/>
      <c r="LN128" s="20"/>
      <c r="LO128" s="20"/>
      <c r="LP128" s="20"/>
      <c r="LQ128" s="20"/>
      <c r="LR128" s="20"/>
      <c r="LS128" s="20"/>
      <c r="LT128" s="20"/>
      <c r="LU128" s="20"/>
      <c r="LV128" s="20"/>
      <c r="LW128" s="20"/>
      <c r="LX128" s="20"/>
    </row>
    <row r="129" spans="1:336" s="24" customFormat="1" x14ac:dyDescent="0.25">
      <c r="A129" s="21" t="s">
        <v>16</v>
      </c>
      <c r="B129" s="22" t="s">
        <v>17</v>
      </c>
      <c r="C129" s="23" t="s">
        <v>252</v>
      </c>
      <c r="D129" s="16" t="s">
        <v>253</v>
      </c>
      <c r="E129" s="8">
        <v>3</v>
      </c>
      <c r="F129" s="15" t="s">
        <v>99</v>
      </c>
      <c r="G129" s="10" t="s">
        <v>20</v>
      </c>
      <c r="H129" s="11">
        <v>1</v>
      </c>
      <c r="I129" s="12">
        <v>44</v>
      </c>
      <c r="J129" s="13">
        <v>1045</v>
      </c>
      <c r="K129" s="13">
        <v>0</v>
      </c>
      <c r="L129" s="13">
        <v>0</v>
      </c>
      <c r="M129" s="13">
        <f>209+53.59+278.67</f>
        <v>541.26</v>
      </c>
      <c r="N129" s="13">
        <v>0</v>
      </c>
      <c r="O129" s="13">
        <f>20.9+127.08+62.7</f>
        <v>210.68</v>
      </c>
      <c r="P129" s="14">
        <f t="shared" si="4"/>
        <v>1375.58</v>
      </c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  <c r="IX129" s="20"/>
      <c r="IY129" s="20"/>
      <c r="IZ129" s="20"/>
      <c r="JA129" s="20"/>
      <c r="JB129" s="20"/>
      <c r="JC129" s="20"/>
      <c r="JD129" s="20"/>
      <c r="JE129" s="20"/>
      <c r="JF129" s="20"/>
      <c r="JG129" s="20"/>
      <c r="JH129" s="20"/>
      <c r="JI129" s="20"/>
      <c r="JJ129" s="20"/>
      <c r="JK129" s="20"/>
      <c r="JL129" s="20"/>
      <c r="JM129" s="20"/>
      <c r="JN129" s="20"/>
      <c r="JO129" s="20"/>
      <c r="JP129" s="20"/>
      <c r="JQ129" s="20"/>
      <c r="JR129" s="20"/>
      <c r="JS129" s="20"/>
      <c r="JT129" s="20"/>
      <c r="JU129" s="20"/>
      <c r="JV129" s="20"/>
      <c r="JW129" s="20"/>
      <c r="JX129" s="20"/>
      <c r="JY129" s="20"/>
      <c r="JZ129" s="20"/>
      <c r="KA129" s="20"/>
      <c r="KB129" s="20"/>
      <c r="KC129" s="20"/>
      <c r="KD129" s="20"/>
      <c r="KE129" s="20"/>
      <c r="KF129" s="20"/>
      <c r="KG129" s="20"/>
      <c r="KH129" s="20"/>
      <c r="KI129" s="20"/>
      <c r="KJ129" s="20"/>
      <c r="KK129" s="20"/>
      <c r="KL129" s="20"/>
      <c r="KM129" s="20"/>
      <c r="KN129" s="20"/>
      <c r="KO129" s="20"/>
      <c r="KP129" s="20"/>
      <c r="KQ129" s="20"/>
      <c r="KR129" s="20"/>
      <c r="KS129" s="20"/>
      <c r="KT129" s="20"/>
      <c r="KU129" s="20"/>
      <c r="KV129" s="20"/>
      <c r="KW129" s="20"/>
      <c r="KX129" s="20"/>
      <c r="KY129" s="20"/>
      <c r="KZ129" s="20"/>
      <c r="LA129" s="20"/>
      <c r="LB129" s="20"/>
      <c r="LC129" s="20"/>
      <c r="LD129" s="20"/>
      <c r="LE129" s="20"/>
      <c r="LF129" s="20"/>
      <c r="LG129" s="20"/>
      <c r="LH129" s="20"/>
      <c r="LI129" s="20"/>
      <c r="LJ129" s="20"/>
      <c r="LK129" s="20"/>
      <c r="LL129" s="20"/>
      <c r="LM129" s="20"/>
      <c r="LN129" s="20"/>
      <c r="LO129" s="20"/>
      <c r="LP129" s="20"/>
      <c r="LQ129" s="20"/>
      <c r="LR129" s="20"/>
      <c r="LS129" s="20"/>
      <c r="LT129" s="20"/>
      <c r="LU129" s="20"/>
      <c r="LV129" s="20"/>
      <c r="LW129" s="20"/>
      <c r="LX129" s="20"/>
    </row>
    <row r="130" spans="1:336" s="36" customFormat="1" x14ac:dyDescent="0.25">
      <c r="A130" s="27" t="s">
        <v>16</v>
      </c>
      <c r="B130" s="28" t="s">
        <v>17</v>
      </c>
      <c r="C130" s="29">
        <v>50934384487</v>
      </c>
      <c r="D130" s="16" t="s">
        <v>254</v>
      </c>
      <c r="E130" s="16">
        <v>2</v>
      </c>
      <c r="F130" s="9" t="s">
        <v>30</v>
      </c>
      <c r="G130" s="30" t="s">
        <v>20</v>
      </c>
      <c r="H130" s="31">
        <v>1</v>
      </c>
      <c r="I130" s="32">
        <v>44</v>
      </c>
      <c r="J130" s="33">
        <v>1771.26</v>
      </c>
      <c r="K130" s="33">
        <v>0</v>
      </c>
      <c r="L130" s="33">
        <v>0</v>
      </c>
      <c r="M130" s="33">
        <f>190.81+188.1+515.3+81.14</f>
        <v>975.34999999999991</v>
      </c>
      <c r="N130" s="33">
        <v>0</v>
      </c>
      <c r="O130" s="33">
        <f>2.43+182.9</f>
        <v>185.33</v>
      </c>
      <c r="P130" s="14">
        <f>SUM(J130:N130)-O130</f>
        <v>2561.2799999999997</v>
      </c>
      <c r="Q130" s="34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35"/>
      <c r="FC130" s="35"/>
      <c r="FD130" s="35"/>
      <c r="FE130" s="35"/>
      <c r="FF130" s="35"/>
      <c r="FG130" s="35"/>
      <c r="FH130" s="35"/>
      <c r="FI130" s="35"/>
      <c r="FJ130" s="35"/>
      <c r="FK130" s="35"/>
      <c r="FL130" s="35"/>
      <c r="FM130" s="35"/>
      <c r="FN130" s="35"/>
      <c r="FO130" s="35"/>
      <c r="FP130" s="35"/>
      <c r="FQ130" s="35"/>
      <c r="FR130" s="35"/>
      <c r="FS130" s="35"/>
      <c r="FT130" s="35"/>
      <c r="FU130" s="35"/>
      <c r="FV130" s="35"/>
      <c r="FW130" s="35"/>
      <c r="FX130" s="35"/>
      <c r="FY130" s="35"/>
      <c r="FZ130" s="35"/>
      <c r="GA130" s="35"/>
      <c r="GB130" s="35"/>
      <c r="GC130" s="35"/>
      <c r="GD130" s="35"/>
      <c r="GE130" s="35"/>
      <c r="GF130" s="35"/>
      <c r="GG130" s="35"/>
      <c r="GH130" s="35"/>
      <c r="GI130" s="35"/>
      <c r="GJ130" s="35"/>
      <c r="GK130" s="35"/>
      <c r="GL130" s="35"/>
      <c r="GM130" s="35"/>
      <c r="GN130" s="35"/>
      <c r="GO130" s="35"/>
      <c r="GP130" s="35"/>
      <c r="GQ130" s="35"/>
      <c r="GR130" s="35"/>
      <c r="GS130" s="35"/>
      <c r="GT130" s="35"/>
      <c r="GU130" s="35"/>
      <c r="GV130" s="35"/>
      <c r="GW130" s="35"/>
      <c r="GX130" s="35"/>
      <c r="GY130" s="35"/>
      <c r="GZ130" s="35"/>
      <c r="HA130" s="35"/>
      <c r="HB130" s="35"/>
      <c r="HC130" s="35"/>
      <c r="HD130" s="35"/>
      <c r="HE130" s="35"/>
      <c r="HF130" s="35"/>
      <c r="HG130" s="35"/>
      <c r="HH130" s="35"/>
      <c r="HI130" s="35"/>
      <c r="HJ130" s="35"/>
      <c r="HK130" s="35"/>
      <c r="HL130" s="35"/>
      <c r="HM130" s="35"/>
      <c r="HN130" s="35"/>
      <c r="HO130" s="35"/>
      <c r="HP130" s="35"/>
      <c r="HQ130" s="35"/>
      <c r="HR130" s="35"/>
      <c r="HS130" s="35"/>
      <c r="HT130" s="35"/>
      <c r="HU130" s="35"/>
      <c r="HV130" s="35"/>
      <c r="HW130" s="35"/>
      <c r="HX130" s="35"/>
      <c r="HY130" s="35"/>
      <c r="HZ130" s="35"/>
      <c r="IA130" s="35"/>
      <c r="IB130" s="35"/>
      <c r="IC130" s="35"/>
      <c r="ID130" s="35"/>
      <c r="IE130" s="35"/>
      <c r="IF130" s="35"/>
      <c r="IG130" s="35"/>
      <c r="IH130" s="35"/>
      <c r="II130" s="35"/>
      <c r="IJ130" s="35"/>
      <c r="IK130" s="35"/>
      <c r="IL130" s="35"/>
      <c r="IM130" s="35"/>
      <c r="IN130" s="35"/>
      <c r="IO130" s="35"/>
      <c r="IP130" s="35"/>
      <c r="IQ130" s="35"/>
      <c r="IR130" s="35"/>
      <c r="IS130" s="35"/>
      <c r="IT130" s="35"/>
      <c r="IU130" s="35"/>
      <c r="IV130" s="35"/>
      <c r="IW130" s="35"/>
      <c r="IX130" s="35"/>
      <c r="IY130" s="35"/>
      <c r="IZ130" s="35"/>
      <c r="JA130" s="35"/>
      <c r="JB130" s="35"/>
      <c r="JC130" s="35"/>
      <c r="JD130" s="35"/>
      <c r="JE130" s="35"/>
      <c r="JF130" s="35"/>
      <c r="JG130" s="35"/>
      <c r="JH130" s="35"/>
      <c r="JI130" s="35"/>
      <c r="JJ130" s="35"/>
      <c r="JK130" s="35"/>
      <c r="JL130" s="35"/>
      <c r="JM130" s="35"/>
      <c r="JN130" s="35"/>
      <c r="JO130" s="35"/>
      <c r="JP130" s="35"/>
      <c r="JQ130" s="35"/>
      <c r="JR130" s="35"/>
      <c r="JS130" s="35"/>
      <c r="JT130" s="35"/>
      <c r="JU130" s="35"/>
      <c r="JV130" s="35"/>
      <c r="JW130" s="35"/>
      <c r="JX130" s="35"/>
      <c r="JY130" s="35"/>
      <c r="JZ130" s="35"/>
      <c r="KA130" s="35"/>
      <c r="KB130" s="35"/>
      <c r="KC130" s="35"/>
      <c r="KD130" s="35"/>
      <c r="KE130" s="35"/>
      <c r="KF130" s="35"/>
      <c r="KG130" s="35"/>
      <c r="KH130" s="35"/>
      <c r="KI130" s="35"/>
      <c r="KJ130" s="35"/>
      <c r="KK130" s="35"/>
      <c r="KL130" s="35"/>
      <c r="KM130" s="35"/>
      <c r="KN130" s="35"/>
      <c r="KO130" s="35"/>
      <c r="KP130" s="35"/>
      <c r="KQ130" s="35"/>
      <c r="KR130" s="35"/>
      <c r="KS130" s="35"/>
      <c r="KT130" s="35"/>
      <c r="KU130" s="35"/>
      <c r="KV130" s="35"/>
      <c r="KW130" s="35"/>
      <c r="KX130" s="35"/>
      <c r="KY130" s="35"/>
      <c r="KZ130" s="35"/>
      <c r="LA130" s="35"/>
      <c r="LB130" s="35"/>
      <c r="LC130" s="35"/>
      <c r="LD130" s="35"/>
      <c r="LE130" s="35"/>
      <c r="LF130" s="35"/>
      <c r="LG130" s="35"/>
      <c r="LH130" s="35"/>
      <c r="LI130" s="35"/>
      <c r="LJ130" s="35"/>
      <c r="LK130" s="35"/>
      <c r="LL130" s="35"/>
      <c r="LM130" s="35"/>
      <c r="LN130" s="35"/>
      <c r="LO130" s="35"/>
      <c r="LP130" s="35"/>
      <c r="LQ130" s="35"/>
      <c r="LR130" s="35"/>
      <c r="LS130" s="35"/>
      <c r="LT130" s="35"/>
      <c r="LU130" s="35"/>
      <c r="LV130" s="35"/>
      <c r="LW130" s="35"/>
      <c r="LX130" s="35"/>
    </row>
    <row r="131" spans="1:336" s="24" customFormat="1" x14ac:dyDescent="0.25">
      <c r="A131" s="21" t="s">
        <v>16</v>
      </c>
      <c r="B131" s="22" t="s">
        <v>17</v>
      </c>
      <c r="C131" s="23" t="s">
        <v>255</v>
      </c>
      <c r="D131" s="8" t="s">
        <v>256</v>
      </c>
      <c r="E131" s="8">
        <v>2</v>
      </c>
      <c r="F131" s="9" t="s">
        <v>19</v>
      </c>
      <c r="G131" s="10" t="s">
        <v>20</v>
      </c>
      <c r="H131" s="11">
        <v>1</v>
      </c>
      <c r="I131" s="12">
        <v>44</v>
      </c>
      <c r="J131" s="13">
        <v>1212.4000000000001</v>
      </c>
      <c r="K131" s="13">
        <v>0</v>
      </c>
      <c r="L131" s="13">
        <v>0</v>
      </c>
      <c r="M131" s="13">
        <f>209+42.52+221.11</f>
        <v>472.63</v>
      </c>
      <c r="N131" s="13">
        <v>0</v>
      </c>
      <c r="O131" s="13">
        <f>24.25+135.97+72.74</f>
        <v>232.95999999999998</v>
      </c>
      <c r="P131" s="14">
        <f t="shared" si="4"/>
        <v>1452.0700000000002</v>
      </c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  <c r="IX131" s="20"/>
      <c r="IY131" s="20"/>
      <c r="IZ131" s="20"/>
      <c r="JA131" s="20"/>
      <c r="JB131" s="20"/>
      <c r="JC131" s="20"/>
      <c r="JD131" s="20"/>
      <c r="JE131" s="20"/>
      <c r="JF131" s="20"/>
      <c r="JG131" s="20"/>
      <c r="JH131" s="20"/>
      <c r="JI131" s="20"/>
      <c r="JJ131" s="20"/>
      <c r="JK131" s="20"/>
      <c r="JL131" s="20"/>
      <c r="JM131" s="20"/>
      <c r="JN131" s="20"/>
      <c r="JO131" s="20"/>
      <c r="JP131" s="20"/>
      <c r="JQ131" s="20"/>
      <c r="JR131" s="20"/>
      <c r="JS131" s="20"/>
      <c r="JT131" s="20"/>
      <c r="JU131" s="20"/>
      <c r="JV131" s="20"/>
      <c r="JW131" s="20"/>
      <c r="JX131" s="20"/>
      <c r="JY131" s="20"/>
      <c r="JZ131" s="20"/>
      <c r="KA131" s="20"/>
      <c r="KB131" s="20"/>
      <c r="KC131" s="20"/>
      <c r="KD131" s="20"/>
      <c r="KE131" s="20"/>
      <c r="KF131" s="20"/>
      <c r="KG131" s="20"/>
      <c r="KH131" s="20"/>
      <c r="KI131" s="20"/>
      <c r="KJ131" s="20"/>
      <c r="KK131" s="20"/>
      <c r="KL131" s="20"/>
      <c r="KM131" s="20"/>
      <c r="KN131" s="20"/>
      <c r="KO131" s="20"/>
      <c r="KP131" s="20"/>
      <c r="KQ131" s="20"/>
      <c r="KR131" s="20"/>
      <c r="KS131" s="20"/>
      <c r="KT131" s="20"/>
      <c r="KU131" s="20"/>
      <c r="KV131" s="20"/>
      <c r="KW131" s="20"/>
      <c r="KX131" s="20"/>
      <c r="KY131" s="20"/>
      <c r="KZ131" s="20"/>
      <c r="LA131" s="20"/>
      <c r="LB131" s="20"/>
      <c r="LC131" s="20"/>
      <c r="LD131" s="20"/>
      <c r="LE131" s="20"/>
      <c r="LF131" s="20"/>
      <c r="LG131" s="20"/>
      <c r="LH131" s="20"/>
      <c r="LI131" s="20"/>
      <c r="LJ131" s="20"/>
      <c r="LK131" s="20"/>
      <c r="LL131" s="20"/>
      <c r="LM131" s="20"/>
      <c r="LN131" s="20"/>
      <c r="LO131" s="20"/>
      <c r="LP131" s="20"/>
      <c r="LQ131" s="20"/>
      <c r="LR131" s="20"/>
      <c r="LS131" s="20"/>
      <c r="LT131" s="20"/>
      <c r="LU131" s="20"/>
      <c r="LV131" s="20"/>
      <c r="LW131" s="20"/>
      <c r="LX131" s="20"/>
    </row>
    <row r="132" spans="1:336" s="24" customFormat="1" x14ac:dyDescent="0.25">
      <c r="A132" s="21" t="s">
        <v>16</v>
      </c>
      <c r="B132" s="22" t="s">
        <v>17</v>
      </c>
      <c r="C132" s="23" t="s">
        <v>257</v>
      </c>
      <c r="D132" s="8" t="s">
        <v>258</v>
      </c>
      <c r="E132" s="8">
        <v>2</v>
      </c>
      <c r="F132" s="15" t="s">
        <v>55</v>
      </c>
      <c r="G132" s="10" t="s">
        <v>20</v>
      </c>
      <c r="H132" s="11">
        <v>1</v>
      </c>
      <c r="I132" s="12">
        <v>44</v>
      </c>
      <c r="J132" s="13">
        <v>1208.82</v>
      </c>
      <c r="K132" s="13">
        <v>0</v>
      </c>
      <c r="L132" s="13">
        <v>0</v>
      </c>
      <c r="M132" s="13">
        <f>209+45.15+234.79</f>
        <v>488.94</v>
      </c>
      <c r="N132" s="13">
        <v>0</v>
      </c>
      <c r="O132" s="13">
        <f>24.18+137.11</f>
        <v>161.29000000000002</v>
      </c>
      <c r="P132" s="14">
        <f t="shared" si="4"/>
        <v>1536.47</v>
      </c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  <c r="IX132" s="20"/>
      <c r="IY132" s="20"/>
      <c r="IZ132" s="20"/>
      <c r="JA132" s="20"/>
      <c r="JB132" s="20"/>
      <c r="JC132" s="20"/>
      <c r="JD132" s="20"/>
      <c r="JE132" s="20"/>
      <c r="JF132" s="20"/>
      <c r="JG132" s="20"/>
      <c r="JH132" s="20"/>
      <c r="JI132" s="20"/>
      <c r="JJ132" s="20"/>
      <c r="JK132" s="20"/>
      <c r="JL132" s="20"/>
      <c r="JM132" s="20"/>
      <c r="JN132" s="20"/>
      <c r="JO132" s="20"/>
      <c r="JP132" s="20"/>
      <c r="JQ132" s="20"/>
      <c r="JR132" s="20"/>
      <c r="JS132" s="20"/>
      <c r="JT132" s="20"/>
      <c r="JU132" s="20"/>
      <c r="JV132" s="20"/>
      <c r="JW132" s="20"/>
      <c r="JX132" s="20"/>
      <c r="JY132" s="20"/>
      <c r="JZ132" s="20"/>
      <c r="KA132" s="20"/>
      <c r="KB132" s="20"/>
      <c r="KC132" s="20"/>
      <c r="KD132" s="20"/>
      <c r="KE132" s="20"/>
      <c r="KF132" s="20"/>
      <c r="KG132" s="20"/>
      <c r="KH132" s="20"/>
      <c r="KI132" s="20"/>
      <c r="KJ132" s="20"/>
      <c r="KK132" s="20"/>
      <c r="KL132" s="20"/>
      <c r="KM132" s="20"/>
      <c r="KN132" s="20"/>
      <c r="KO132" s="20"/>
      <c r="KP132" s="20"/>
      <c r="KQ132" s="20"/>
      <c r="KR132" s="20"/>
      <c r="KS132" s="20"/>
      <c r="KT132" s="20"/>
      <c r="KU132" s="20"/>
      <c r="KV132" s="20"/>
      <c r="KW132" s="20"/>
      <c r="KX132" s="20"/>
      <c r="KY132" s="20"/>
      <c r="KZ132" s="20"/>
      <c r="LA132" s="20"/>
      <c r="LB132" s="20"/>
      <c r="LC132" s="20"/>
      <c r="LD132" s="20"/>
      <c r="LE132" s="20"/>
      <c r="LF132" s="20"/>
      <c r="LG132" s="20"/>
      <c r="LH132" s="20"/>
      <c r="LI132" s="20"/>
      <c r="LJ132" s="20"/>
      <c r="LK132" s="20"/>
      <c r="LL132" s="20"/>
      <c r="LM132" s="20"/>
      <c r="LN132" s="20"/>
      <c r="LO132" s="20"/>
      <c r="LP132" s="20"/>
      <c r="LQ132" s="20"/>
      <c r="LR132" s="20"/>
      <c r="LS132" s="20"/>
      <c r="LT132" s="20"/>
      <c r="LU132" s="20"/>
      <c r="LV132" s="20"/>
      <c r="LW132" s="20"/>
      <c r="LX132" s="20"/>
    </row>
    <row r="133" spans="1:336" s="24" customFormat="1" x14ac:dyDescent="0.25">
      <c r="A133" s="21" t="s">
        <v>16</v>
      </c>
      <c r="B133" s="22" t="s">
        <v>17</v>
      </c>
      <c r="C133" s="23" t="s">
        <v>259</v>
      </c>
      <c r="D133" s="16" t="s">
        <v>260</v>
      </c>
      <c r="E133" s="8">
        <v>2</v>
      </c>
      <c r="F133" s="9" t="s">
        <v>30</v>
      </c>
      <c r="G133" s="10" t="s">
        <v>20</v>
      </c>
      <c r="H133" s="11">
        <v>1</v>
      </c>
      <c r="I133" s="12">
        <v>44</v>
      </c>
      <c r="J133" s="13">
        <v>1771.76</v>
      </c>
      <c r="K133" s="13">
        <v>0</v>
      </c>
      <c r="L133" s="13">
        <v>0</v>
      </c>
      <c r="M133" s="13">
        <f>209+56.78+295.27+883.97</f>
        <v>1445.02</v>
      </c>
      <c r="N133" s="13">
        <v>0</v>
      </c>
      <c r="O133" s="13">
        <f>2.43+201.56+17.04</f>
        <v>221.03</v>
      </c>
      <c r="P133" s="14">
        <f t="shared" si="4"/>
        <v>2995.7499999999995</v>
      </c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  <c r="IX133" s="20"/>
      <c r="IY133" s="20"/>
      <c r="IZ133" s="20"/>
      <c r="JA133" s="20"/>
      <c r="JB133" s="20"/>
      <c r="JC133" s="20"/>
      <c r="JD133" s="20"/>
      <c r="JE133" s="20"/>
      <c r="JF133" s="20"/>
      <c r="JG133" s="20"/>
      <c r="JH133" s="20"/>
      <c r="JI133" s="20"/>
      <c r="JJ133" s="20"/>
      <c r="JK133" s="20"/>
      <c r="JL133" s="20"/>
      <c r="JM133" s="20"/>
      <c r="JN133" s="20"/>
      <c r="JO133" s="20"/>
      <c r="JP133" s="20"/>
      <c r="JQ133" s="20"/>
      <c r="JR133" s="20"/>
      <c r="JS133" s="20"/>
      <c r="JT133" s="20"/>
      <c r="JU133" s="20"/>
      <c r="JV133" s="20"/>
      <c r="JW133" s="20"/>
      <c r="JX133" s="20"/>
      <c r="JY133" s="20"/>
      <c r="JZ133" s="20"/>
      <c r="KA133" s="20"/>
      <c r="KB133" s="20"/>
      <c r="KC133" s="20"/>
      <c r="KD133" s="20"/>
      <c r="KE133" s="20"/>
      <c r="KF133" s="20"/>
      <c r="KG133" s="20"/>
      <c r="KH133" s="20"/>
      <c r="KI133" s="20"/>
      <c r="KJ133" s="20"/>
      <c r="KK133" s="20"/>
      <c r="KL133" s="20"/>
      <c r="KM133" s="20"/>
      <c r="KN133" s="20"/>
      <c r="KO133" s="20"/>
      <c r="KP133" s="20"/>
      <c r="KQ133" s="20"/>
      <c r="KR133" s="20"/>
      <c r="KS133" s="20"/>
      <c r="KT133" s="20"/>
      <c r="KU133" s="20"/>
      <c r="KV133" s="20"/>
      <c r="KW133" s="20"/>
      <c r="KX133" s="20"/>
      <c r="KY133" s="20"/>
      <c r="KZ133" s="20"/>
      <c r="LA133" s="20"/>
      <c r="LB133" s="20"/>
      <c r="LC133" s="20"/>
      <c r="LD133" s="20"/>
      <c r="LE133" s="20"/>
      <c r="LF133" s="20"/>
      <c r="LG133" s="20"/>
      <c r="LH133" s="20"/>
      <c r="LI133" s="20"/>
      <c r="LJ133" s="20"/>
      <c r="LK133" s="20"/>
      <c r="LL133" s="20"/>
      <c r="LM133" s="20"/>
      <c r="LN133" s="20"/>
      <c r="LO133" s="20"/>
      <c r="LP133" s="20"/>
      <c r="LQ133" s="20"/>
      <c r="LR133" s="20"/>
      <c r="LS133" s="20"/>
      <c r="LT133" s="20"/>
      <c r="LU133" s="20"/>
      <c r="LV133" s="20"/>
      <c r="LW133" s="20"/>
      <c r="LX133" s="20"/>
    </row>
    <row r="134" spans="1:336" s="24" customFormat="1" x14ac:dyDescent="0.25">
      <c r="A134" s="21" t="s">
        <v>16</v>
      </c>
      <c r="B134" s="22" t="s">
        <v>17</v>
      </c>
      <c r="C134" s="23" t="s">
        <v>261</v>
      </c>
      <c r="D134" s="8" t="s">
        <v>262</v>
      </c>
      <c r="E134" s="8">
        <v>2</v>
      </c>
      <c r="F134" s="15" t="s">
        <v>74</v>
      </c>
      <c r="G134" s="10" t="s">
        <v>20</v>
      </c>
      <c r="H134" s="11">
        <v>1</v>
      </c>
      <c r="I134" s="12">
        <v>44</v>
      </c>
      <c r="J134" s="13">
        <v>3132.6</v>
      </c>
      <c r="K134" s="13">
        <v>0</v>
      </c>
      <c r="L134" s="13">
        <v>0</v>
      </c>
      <c r="M134" s="13">
        <v>209</v>
      </c>
      <c r="N134" s="13">
        <v>0</v>
      </c>
      <c r="O134" s="13">
        <f>15.66+326.75+97.43</f>
        <v>439.84000000000003</v>
      </c>
      <c r="P134" s="14">
        <f t="shared" si="4"/>
        <v>2901.7599999999998</v>
      </c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  <c r="IX134" s="20"/>
      <c r="IY134" s="20"/>
      <c r="IZ134" s="20"/>
      <c r="JA134" s="20"/>
      <c r="JB134" s="20"/>
      <c r="JC134" s="20"/>
      <c r="JD134" s="20"/>
      <c r="JE134" s="20"/>
      <c r="JF134" s="20"/>
      <c r="JG134" s="20"/>
      <c r="JH134" s="20"/>
      <c r="JI134" s="20"/>
      <c r="JJ134" s="20"/>
      <c r="JK134" s="20"/>
      <c r="JL134" s="20"/>
      <c r="JM134" s="20"/>
      <c r="JN134" s="20"/>
      <c r="JO134" s="20"/>
      <c r="JP134" s="20"/>
      <c r="JQ134" s="20"/>
      <c r="JR134" s="20"/>
      <c r="JS134" s="20"/>
      <c r="JT134" s="20"/>
      <c r="JU134" s="20"/>
      <c r="JV134" s="20"/>
      <c r="JW134" s="20"/>
      <c r="JX134" s="20"/>
      <c r="JY134" s="20"/>
      <c r="JZ134" s="20"/>
      <c r="KA134" s="20"/>
      <c r="KB134" s="20"/>
      <c r="KC134" s="20"/>
      <c r="KD134" s="20"/>
      <c r="KE134" s="20"/>
      <c r="KF134" s="20"/>
      <c r="KG134" s="20"/>
      <c r="KH134" s="20"/>
      <c r="KI134" s="20"/>
      <c r="KJ134" s="20"/>
      <c r="KK134" s="20"/>
      <c r="KL134" s="20"/>
      <c r="KM134" s="20"/>
      <c r="KN134" s="20"/>
      <c r="KO134" s="20"/>
      <c r="KP134" s="20"/>
      <c r="KQ134" s="20"/>
      <c r="KR134" s="20"/>
      <c r="KS134" s="20"/>
      <c r="KT134" s="20"/>
      <c r="KU134" s="20"/>
      <c r="KV134" s="20"/>
      <c r="KW134" s="20"/>
      <c r="KX134" s="20"/>
      <c r="KY134" s="20"/>
      <c r="KZ134" s="20"/>
      <c r="LA134" s="20"/>
      <c r="LB134" s="20"/>
      <c r="LC134" s="20"/>
      <c r="LD134" s="20"/>
      <c r="LE134" s="20"/>
      <c r="LF134" s="20"/>
      <c r="LG134" s="20"/>
      <c r="LH134" s="20"/>
      <c r="LI134" s="20"/>
      <c r="LJ134" s="20"/>
      <c r="LK134" s="20"/>
      <c r="LL134" s="20"/>
      <c r="LM134" s="20"/>
      <c r="LN134" s="20"/>
      <c r="LO134" s="20"/>
      <c r="LP134" s="20"/>
      <c r="LQ134" s="20"/>
      <c r="LR134" s="20"/>
      <c r="LS134" s="20"/>
      <c r="LT134" s="20"/>
      <c r="LU134" s="20"/>
      <c r="LV134" s="20"/>
      <c r="LW134" s="20"/>
      <c r="LX134" s="20"/>
    </row>
    <row r="135" spans="1:336" s="24" customFormat="1" x14ac:dyDescent="0.25">
      <c r="A135" s="21" t="s">
        <v>16</v>
      </c>
      <c r="B135" s="22" t="s">
        <v>17</v>
      </c>
      <c r="C135" s="23" t="s">
        <v>263</v>
      </c>
      <c r="D135" s="8" t="s">
        <v>264</v>
      </c>
      <c r="E135" s="8">
        <v>2</v>
      </c>
      <c r="F135" s="9" t="s">
        <v>19</v>
      </c>
      <c r="G135" s="10" t="s">
        <v>20</v>
      </c>
      <c r="H135" s="11">
        <v>1</v>
      </c>
      <c r="I135" s="12">
        <v>44</v>
      </c>
      <c r="J135" s="13">
        <v>484.96</v>
      </c>
      <c r="K135" s="13">
        <v>1260.6400000000001</v>
      </c>
      <c r="L135" s="13">
        <v>0</v>
      </c>
      <c r="M135" s="13">
        <f>83.6+64</f>
        <v>147.6</v>
      </c>
      <c r="N135" s="13">
        <v>0</v>
      </c>
      <c r="O135" s="13">
        <f>24.25+1260.64+51.17+97.77+72.74</f>
        <v>1506.5700000000002</v>
      </c>
      <c r="P135" s="14">
        <f t="shared" si="4"/>
        <v>386.62999999999988</v>
      </c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  <c r="IX135" s="20"/>
      <c r="IY135" s="20"/>
      <c r="IZ135" s="20"/>
      <c r="JA135" s="20"/>
      <c r="JB135" s="20"/>
      <c r="JC135" s="20"/>
      <c r="JD135" s="20"/>
      <c r="JE135" s="20"/>
      <c r="JF135" s="20"/>
      <c r="JG135" s="20"/>
      <c r="JH135" s="20"/>
      <c r="JI135" s="20"/>
      <c r="JJ135" s="20"/>
      <c r="JK135" s="20"/>
      <c r="JL135" s="20"/>
      <c r="JM135" s="20"/>
      <c r="JN135" s="20"/>
      <c r="JO135" s="20"/>
      <c r="JP135" s="20"/>
      <c r="JQ135" s="20"/>
      <c r="JR135" s="20"/>
      <c r="JS135" s="20"/>
      <c r="JT135" s="20"/>
      <c r="JU135" s="20"/>
      <c r="JV135" s="20"/>
      <c r="JW135" s="20"/>
      <c r="JX135" s="20"/>
      <c r="JY135" s="20"/>
      <c r="JZ135" s="20"/>
      <c r="KA135" s="20"/>
      <c r="KB135" s="20"/>
      <c r="KC135" s="20"/>
      <c r="KD135" s="20"/>
      <c r="KE135" s="20"/>
      <c r="KF135" s="20"/>
      <c r="KG135" s="20"/>
      <c r="KH135" s="20"/>
      <c r="KI135" s="20"/>
      <c r="KJ135" s="20"/>
      <c r="KK135" s="20"/>
      <c r="KL135" s="20"/>
      <c r="KM135" s="20"/>
      <c r="KN135" s="20"/>
      <c r="KO135" s="20"/>
      <c r="KP135" s="20"/>
      <c r="KQ135" s="20"/>
      <c r="KR135" s="20"/>
      <c r="KS135" s="20"/>
      <c r="KT135" s="20"/>
      <c r="KU135" s="20"/>
      <c r="KV135" s="20"/>
      <c r="KW135" s="20"/>
      <c r="KX135" s="20"/>
      <c r="KY135" s="20"/>
      <c r="KZ135" s="20"/>
      <c r="LA135" s="20"/>
      <c r="LB135" s="20"/>
      <c r="LC135" s="20"/>
      <c r="LD135" s="20"/>
      <c r="LE135" s="20"/>
      <c r="LF135" s="20"/>
      <c r="LG135" s="20"/>
      <c r="LH135" s="20"/>
      <c r="LI135" s="20"/>
      <c r="LJ135" s="20"/>
      <c r="LK135" s="20"/>
      <c r="LL135" s="20"/>
      <c r="LM135" s="20"/>
      <c r="LN135" s="20"/>
      <c r="LO135" s="20"/>
      <c r="LP135" s="20"/>
      <c r="LQ135" s="20"/>
      <c r="LR135" s="20"/>
      <c r="LS135" s="20"/>
      <c r="LT135" s="20"/>
      <c r="LU135" s="20"/>
      <c r="LV135" s="20"/>
      <c r="LW135" s="20"/>
      <c r="LX135" s="20"/>
    </row>
    <row r="136" spans="1:336" s="24" customFormat="1" x14ac:dyDescent="0.25">
      <c r="A136" s="21" t="s">
        <v>16</v>
      </c>
      <c r="B136" s="22" t="s">
        <v>17</v>
      </c>
      <c r="C136" s="23" t="s">
        <v>265</v>
      </c>
      <c r="D136" s="8" t="s">
        <v>266</v>
      </c>
      <c r="E136" s="8">
        <v>3</v>
      </c>
      <c r="F136" s="9" t="s">
        <v>63</v>
      </c>
      <c r="G136" s="10" t="s">
        <v>20</v>
      </c>
      <c r="H136" s="11">
        <v>1</v>
      </c>
      <c r="I136" s="12">
        <v>44</v>
      </c>
      <c r="J136" s="13">
        <v>1045</v>
      </c>
      <c r="K136" s="13">
        <v>0</v>
      </c>
      <c r="L136" s="13">
        <v>0</v>
      </c>
      <c r="M136" s="13">
        <f>48.62+209+64+2.68+13.93</f>
        <v>338.23</v>
      </c>
      <c r="N136" s="13">
        <v>0</v>
      </c>
      <c r="O136" s="13">
        <f>20.9+98.67</f>
        <v>119.57</v>
      </c>
      <c r="P136" s="14">
        <f t="shared" si="4"/>
        <v>1263.6600000000001</v>
      </c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  <c r="IW136" s="20"/>
      <c r="IX136" s="20"/>
      <c r="IY136" s="20"/>
      <c r="IZ136" s="20"/>
      <c r="JA136" s="20"/>
      <c r="JB136" s="20"/>
      <c r="JC136" s="20"/>
      <c r="JD136" s="20"/>
      <c r="JE136" s="20"/>
      <c r="JF136" s="20"/>
      <c r="JG136" s="20"/>
      <c r="JH136" s="20"/>
      <c r="JI136" s="20"/>
      <c r="JJ136" s="20"/>
      <c r="JK136" s="20"/>
      <c r="JL136" s="20"/>
      <c r="JM136" s="20"/>
      <c r="JN136" s="20"/>
      <c r="JO136" s="20"/>
      <c r="JP136" s="20"/>
      <c r="JQ136" s="20"/>
      <c r="JR136" s="20"/>
      <c r="JS136" s="20"/>
      <c r="JT136" s="20"/>
      <c r="JU136" s="20"/>
      <c r="JV136" s="20"/>
      <c r="JW136" s="20"/>
      <c r="JX136" s="20"/>
      <c r="JY136" s="20"/>
      <c r="JZ136" s="20"/>
      <c r="KA136" s="20"/>
      <c r="KB136" s="20"/>
      <c r="KC136" s="20"/>
      <c r="KD136" s="20"/>
      <c r="KE136" s="20"/>
      <c r="KF136" s="20"/>
      <c r="KG136" s="20"/>
      <c r="KH136" s="20"/>
      <c r="KI136" s="20"/>
      <c r="KJ136" s="20"/>
      <c r="KK136" s="20"/>
      <c r="KL136" s="20"/>
      <c r="KM136" s="20"/>
      <c r="KN136" s="20"/>
      <c r="KO136" s="20"/>
      <c r="KP136" s="20"/>
      <c r="KQ136" s="20"/>
      <c r="KR136" s="20"/>
      <c r="KS136" s="20"/>
      <c r="KT136" s="20"/>
      <c r="KU136" s="20"/>
      <c r="KV136" s="20"/>
      <c r="KW136" s="20"/>
      <c r="KX136" s="20"/>
      <c r="KY136" s="20"/>
      <c r="KZ136" s="20"/>
      <c r="LA136" s="20"/>
      <c r="LB136" s="20"/>
      <c r="LC136" s="20"/>
      <c r="LD136" s="20"/>
      <c r="LE136" s="20"/>
      <c r="LF136" s="20"/>
      <c r="LG136" s="20"/>
      <c r="LH136" s="20"/>
      <c r="LI136" s="20"/>
      <c r="LJ136" s="20"/>
      <c r="LK136" s="20"/>
      <c r="LL136" s="20"/>
      <c r="LM136" s="20"/>
      <c r="LN136" s="20"/>
      <c r="LO136" s="20"/>
      <c r="LP136" s="20"/>
      <c r="LQ136" s="20"/>
      <c r="LR136" s="20"/>
      <c r="LS136" s="20"/>
      <c r="LT136" s="20"/>
      <c r="LU136" s="20"/>
      <c r="LV136" s="20"/>
      <c r="LW136" s="20"/>
      <c r="LX136" s="20"/>
    </row>
    <row r="137" spans="1:336" s="24" customFormat="1" x14ac:dyDescent="0.25">
      <c r="A137" s="21" t="s">
        <v>16</v>
      </c>
      <c r="B137" s="22" t="s">
        <v>17</v>
      </c>
      <c r="C137" s="23" t="s">
        <v>267</v>
      </c>
      <c r="D137" s="8" t="s">
        <v>268</v>
      </c>
      <c r="E137" s="8">
        <v>3</v>
      </c>
      <c r="F137" s="15" t="s">
        <v>25</v>
      </c>
      <c r="G137" s="10" t="s">
        <v>20</v>
      </c>
      <c r="H137" s="11">
        <v>1</v>
      </c>
      <c r="I137" s="12">
        <v>44</v>
      </c>
      <c r="J137" s="13">
        <v>1055.93</v>
      </c>
      <c r="K137" s="13">
        <v>0</v>
      </c>
      <c r="L137" s="13">
        <v>0</v>
      </c>
      <c r="M137" s="13">
        <f>48.62+209+64+5.41+28.11</f>
        <v>355.14000000000004</v>
      </c>
      <c r="N137" s="13">
        <v>0</v>
      </c>
      <c r="O137" s="13">
        <f>21.12+77.3+94.22+63.36</f>
        <v>256</v>
      </c>
      <c r="P137" s="14">
        <f t="shared" si="4"/>
        <v>1155.0700000000002</v>
      </c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  <c r="IW137" s="20"/>
      <c r="IX137" s="20"/>
      <c r="IY137" s="20"/>
      <c r="IZ137" s="20"/>
      <c r="JA137" s="20"/>
      <c r="JB137" s="20"/>
      <c r="JC137" s="20"/>
      <c r="JD137" s="20"/>
      <c r="JE137" s="20"/>
      <c r="JF137" s="20"/>
      <c r="JG137" s="20"/>
      <c r="JH137" s="20"/>
      <c r="JI137" s="20"/>
      <c r="JJ137" s="20"/>
      <c r="JK137" s="20"/>
      <c r="JL137" s="20"/>
      <c r="JM137" s="20"/>
      <c r="JN137" s="20"/>
      <c r="JO137" s="20"/>
      <c r="JP137" s="20"/>
      <c r="JQ137" s="20"/>
      <c r="JR137" s="20"/>
      <c r="JS137" s="20"/>
      <c r="JT137" s="20"/>
      <c r="JU137" s="20"/>
      <c r="JV137" s="20"/>
      <c r="JW137" s="20"/>
      <c r="JX137" s="20"/>
      <c r="JY137" s="20"/>
      <c r="JZ137" s="20"/>
      <c r="KA137" s="20"/>
      <c r="KB137" s="20"/>
      <c r="KC137" s="20"/>
      <c r="KD137" s="20"/>
      <c r="KE137" s="20"/>
      <c r="KF137" s="20"/>
      <c r="KG137" s="20"/>
      <c r="KH137" s="20"/>
      <c r="KI137" s="20"/>
      <c r="KJ137" s="20"/>
      <c r="KK137" s="20"/>
      <c r="KL137" s="20"/>
      <c r="KM137" s="20"/>
      <c r="KN137" s="20"/>
      <c r="KO137" s="20"/>
      <c r="KP137" s="20"/>
      <c r="KQ137" s="20"/>
      <c r="KR137" s="20"/>
      <c r="KS137" s="20"/>
      <c r="KT137" s="20"/>
      <c r="KU137" s="20"/>
      <c r="KV137" s="20"/>
      <c r="KW137" s="20"/>
      <c r="KX137" s="20"/>
      <c r="KY137" s="20"/>
      <c r="KZ137" s="20"/>
      <c r="LA137" s="20"/>
      <c r="LB137" s="20"/>
      <c r="LC137" s="20"/>
      <c r="LD137" s="20"/>
      <c r="LE137" s="20"/>
      <c r="LF137" s="20"/>
      <c r="LG137" s="20"/>
      <c r="LH137" s="20"/>
      <c r="LI137" s="20"/>
      <c r="LJ137" s="20"/>
      <c r="LK137" s="20"/>
      <c r="LL137" s="20"/>
      <c r="LM137" s="20"/>
      <c r="LN137" s="20"/>
      <c r="LO137" s="20"/>
      <c r="LP137" s="20"/>
      <c r="LQ137" s="20"/>
      <c r="LR137" s="20"/>
      <c r="LS137" s="20"/>
      <c r="LT137" s="20"/>
      <c r="LU137" s="20"/>
      <c r="LV137" s="20"/>
      <c r="LW137" s="20"/>
      <c r="LX137" s="20"/>
    </row>
    <row r="138" spans="1:336" s="24" customFormat="1" x14ac:dyDescent="0.25">
      <c r="A138" s="21" t="s">
        <v>16</v>
      </c>
      <c r="B138" s="22" t="s">
        <v>17</v>
      </c>
      <c r="C138" s="23" t="s">
        <v>269</v>
      </c>
      <c r="D138" s="8" t="s">
        <v>270</v>
      </c>
      <c r="E138" s="8">
        <v>3</v>
      </c>
      <c r="F138" s="15" t="s">
        <v>271</v>
      </c>
      <c r="G138" s="10" t="s">
        <v>20</v>
      </c>
      <c r="H138" s="11">
        <v>1</v>
      </c>
      <c r="I138" s="12">
        <v>44</v>
      </c>
      <c r="J138" s="13">
        <v>1045</v>
      </c>
      <c r="K138" s="13">
        <v>0</v>
      </c>
      <c r="L138" s="13">
        <v>0</v>
      </c>
      <c r="M138" s="13">
        <f>48.62+209+64</f>
        <v>321.62</v>
      </c>
      <c r="N138" s="13">
        <v>0</v>
      </c>
      <c r="O138" s="13">
        <f>20.9+97.18</f>
        <v>118.08000000000001</v>
      </c>
      <c r="P138" s="14">
        <f t="shared" si="4"/>
        <v>1248.54</v>
      </c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  <c r="IW138" s="20"/>
      <c r="IX138" s="20"/>
      <c r="IY138" s="20"/>
      <c r="IZ138" s="20"/>
      <c r="JA138" s="20"/>
      <c r="JB138" s="20"/>
      <c r="JC138" s="20"/>
      <c r="JD138" s="20"/>
      <c r="JE138" s="20"/>
      <c r="JF138" s="20"/>
      <c r="JG138" s="20"/>
      <c r="JH138" s="20"/>
      <c r="JI138" s="20"/>
      <c r="JJ138" s="20"/>
      <c r="JK138" s="20"/>
      <c r="JL138" s="20"/>
      <c r="JM138" s="20"/>
      <c r="JN138" s="20"/>
      <c r="JO138" s="20"/>
      <c r="JP138" s="20"/>
      <c r="JQ138" s="20"/>
      <c r="JR138" s="20"/>
      <c r="JS138" s="20"/>
      <c r="JT138" s="20"/>
      <c r="JU138" s="20"/>
      <c r="JV138" s="20"/>
      <c r="JW138" s="20"/>
      <c r="JX138" s="20"/>
      <c r="JY138" s="20"/>
      <c r="JZ138" s="20"/>
      <c r="KA138" s="20"/>
      <c r="KB138" s="20"/>
      <c r="KC138" s="20"/>
      <c r="KD138" s="20"/>
      <c r="KE138" s="20"/>
      <c r="KF138" s="20"/>
      <c r="KG138" s="20"/>
      <c r="KH138" s="20"/>
      <c r="KI138" s="20"/>
      <c r="KJ138" s="20"/>
      <c r="KK138" s="20"/>
      <c r="KL138" s="20"/>
      <c r="KM138" s="20"/>
      <c r="KN138" s="20"/>
      <c r="KO138" s="20"/>
      <c r="KP138" s="20"/>
      <c r="KQ138" s="20"/>
      <c r="KR138" s="20"/>
      <c r="KS138" s="20"/>
      <c r="KT138" s="20"/>
      <c r="KU138" s="20"/>
      <c r="KV138" s="20"/>
      <c r="KW138" s="20"/>
      <c r="KX138" s="20"/>
      <c r="KY138" s="20"/>
      <c r="KZ138" s="20"/>
      <c r="LA138" s="20"/>
      <c r="LB138" s="20"/>
      <c r="LC138" s="20"/>
      <c r="LD138" s="20"/>
      <c r="LE138" s="20"/>
      <c r="LF138" s="20"/>
      <c r="LG138" s="20"/>
      <c r="LH138" s="20"/>
      <c r="LI138" s="20"/>
      <c r="LJ138" s="20"/>
      <c r="LK138" s="20"/>
      <c r="LL138" s="20"/>
      <c r="LM138" s="20"/>
      <c r="LN138" s="20"/>
      <c r="LO138" s="20"/>
      <c r="LP138" s="20"/>
      <c r="LQ138" s="20"/>
      <c r="LR138" s="20"/>
      <c r="LS138" s="20"/>
      <c r="LT138" s="20"/>
      <c r="LU138" s="20"/>
      <c r="LV138" s="20"/>
      <c r="LW138" s="20"/>
      <c r="LX138" s="20"/>
    </row>
    <row r="139" spans="1:336" s="24" customFormat="1" x14ac:dyDescent="0.25">
      <c r="A139" s="21" t="s">
        <v>16</v>
      </c>
      <c r="B139" s="22" t="s">
        <v>17</v>
      </c>
      <c r="C139" s="23" t="s">
        <v>272</v>
      </c>
      <c r="D139" s="8" t="s">
        <v>273</v>
      </c>
      <c r="E139" s="8">
        <v>2</v>
      </c>
      <c r="F139" s="9" t="s">
        <v>19</v>
      </c>
      <c r="G139" s="10" t="s">
        <v>20</v>
      </c>
      <c r="H139" s="11">
        <v>1</v>
      </c>
      <c r="I139" s="12">
        <v>44</v>
      </c>
      <c r="J139" s="13">
        <v>1212.4000000000001</v>
      </c>
      <c r="K139" s="13">
        <v>0</v>
      </c>
      <c r="L139" s="13">
        <v>0</v>
      </c>
      <c r="M139" s="13">
        <f>209+3.04+15.79</f>
        <v>227.82999999999998</v>
      </c>
      <c r="N139" s="13">
        <v>0</v>
      </c>
      <c r="O139" s="13">
        <f>24.25+113.94+72.74</f>
        <v>210.93</v>
      </c>
      <c r="P139" s="14">
        <f t="shared" si="4"/>
        <v>1229.3</v>
      </c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  <c r="IX139" s="20"/>
      <c r="IY139" s="20"/>
      <c r="IZ139" s="20"/>
      <c r="JA139" s="20"/>
      <c r="JB139" s="20"/>
      <c r="JC139" s="20"/>
      <c r="JD139" s="20"/>
      <c r="JE139" s="20"/>
      <c r="JF139" s="20"/>
      <c r="JG139" s="20"/>
      <c r="JH139" s="20"/>
      <c r="JI139" s="20"/>
      <c r="JJ139" s="20"/>
      <c r="JK139" s="20"/>
      <c r="JL139" s="20"/>
      <c r="JM139" s="20"/>
      <c r="JN139" s="20"/>
      <c r="JO139" s="20"/>
      <c r="JP139" s="20"/>
      <c r="JQ139" s="20"/>
      <c r="JR139" s="20"/>
      <c r="JS139" s="20"/>
      <c r="JT139" s="20"/>
      <c r="JU139" s="20"/>
      <c r="JV139" s="20"/>
      <c r="JW139" s="20"/>
      <c r="JX139" s="20"/>
      <c r="JY139" s="20"/>
      <c r="JZ139" s="20"/>
      <c r="KA139" s="20"/>
      <c r="KB139" s="20"/>
      <c r="KC139" s="20"/>
      <c r="KD139" s="20"/>
      <c r="KE139" s="20"/>
      <c r="KF139" s="20"/>
      <c r="KG139" s="20"/>
      <c r="KH139" s="20"/>
      <c r="KI139" s="20"/>
      <c r="KJ139" s="20"/>
      <c r="KK139" s="20"/>
      <c r="KL139" s="20"/>
      <c r="KM139" s="20"/>
      <c r="KN139" s="20"/>
      <c r="KO139" s="20"/>
      <c r="KP139" s="20"/>
      <c r="KQ139" s="20"/>
      <c r="KR139" s="20"/>
      <c r="KS139" s="20"/>
      <c r="KT139" s="20"/>
      <c r="KU139" s="20"/>
      <c r="KV139" s="20"/>
      <c r="KW139" s="20"/>
      <c r="KX139" s="20"/>
      <c r="KY139" s="20"/>
      <c r="KZ139" s="20"/>
      <c r="LA139" s="20"/>
      <c r="LB139" s="20"/>
      <c r="LC139" s="20"/>
      <c r="LD139" s="20"/>
      <c r="LE139" s="20"/>
      <c r="LF139" s="20"/>
      <c r="LG139" s="20"/>
      <c r="LH139" s="20"/>
      <c r="LI139" s="20"/>
      <c r="LJ139" s="20"/>
      <c r="LK139" s="20"/>
      <c r="LL139" s="20"/>
      <c r="LM139" s="20"/>
      <c r="LN139" s="20"/>
      <c r="LO139" s="20"/>
      <c r="LP139" s="20"/>
      <c r="LQ139" s="20"/>
      <c r="LR139" s="20"/>
      <c r="LS139" s="20"/>
      <c r="LT139" s="20"/>
      <c r="LU139" s="20"/>
      <c r="LV139" s="20"/>
      <c r="LW139" s="20"/>
      <c r="LX139" s="20"/>
    </row>
    <row r="140" spans="1:336" s="24" customFormat="1" x14ac:dyDescent="0.25">
      <c r="A140" s="21" t="s">
        <v>16</v>
      </c>
      <c r="B140" s="22" t="s">
        <v>17</v>
      </c>
      <c r="C140" s="23">
        <v>76931382420</v>
      </c>
      <c r="D140" s="8" t="s">
        <v>274</v>
      </c>
      <c r="E140" s="8">
        <v>2</v>
      </c>
      <c r="F140" s="9" t="s">
        <v>30</v>
      </c>
      <c r="G140" s="10" t="s">
        <v>20</v>
      </c>
      <c r="H140" s="11">
        <v>1</v>
      </c>
      <c r="I140" s="12">
        <v>44</v>
      </c>
      <c r="J140" s="13">
        <v>1771.76</v>
      </c>
      <c r="K140" s="13">
        <v>0</v>
      </c>
      <c r="L140" s="13">
        <v>0</v>
      </c>
      <c r="M140" s="13">
        <f>209+788.34+97.45</f>
        <v>1094.79</v>
      </c>
      <c r="N140" s="13">
        <v>0</v>
      </c>
      <c r="O140" s="13">
        <f>2.43+171.35</f>
        <v>173.78</v>
      </c>
      <c r="P140" s="14">
        <f t="shared" si="4"/>
        <v>2692.77</v>
      </c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  <c r="IV140" s="20"/>
      <c r="IW140" s="20"/>
      <c r="IX140" s="20"/>
      <c r="IY140" s="20"/>
      <c r="IZ140" s="20"/>
      <c r="JA140" s="20"/>
      <c r="JB140" s="20"/>
      <c r="JC140" s="20"/>
      <c r="JD140" s="20"/>
      <c r="JE140" s="20"/>
      <c r="JF140" s="20"/>
      <c r="JG140" s="20"/>
      <c r="JH140" s="20"/>
      <c r="JI140" s="20"/>
      <c r="JJ140" s="20"/>
      <c r="JK140" s="20"/>
      <c r="JL140" s="20"/>
      <c r="JM140" s="20"/>
      <c r="JN140" s="20"/>
      <c r="JO140" s="20"/>
      <c r="JP140" s="20"/>
      <c r="JQ140" s="20"/>
      <c r="JR140" s="20"/>
      <c r="JS140" s="20"/>
      <c r="JT140" s="20"/>
      <c r="JU140" s="20"/>
      <c r="JV140" s="20"/>
      <c r="JW140" s="20"/>
      <c r="JX140" s="20"/>
      <c r="JY140" s="20"/>
      <c r="JZ140" s="20"/>
      <c r="KA140" s="20"/>
      <c r="KB140" s="20"/>
      <c r="KC140" s="20"/>
      <c r="KD140" s="20"/>
      <c r="KE140" s="20"/>
      <c r="KF140" s="20"/>
      <c r="KG140" s="20"/>
      <c r="KH140" s="20"/>
      <c r="KI140" s="20"/>
      <c r="KJ140" s="20"/>
      <c r="KK140" s="20"/>
      <c r="KL140" s="20"/>
      <c r="KM140" s="20"/>
      <c r="KN140" s="20"/>
      <c r="KO140" s="20"/>
      <c r="KP140" s="20"/>
      <c r="KQ140" s="20"/>
      <c r="KR140" s="20"/>
      <c r="KS140" s="20"/>
      <c r="KT140" s="20"/>
      <c r="KU140" s="20"/>
      <c r="KV140" s="20"/>
      <c r="KW140" s="20"/>
      <c r="KX140" s="20"/>
      <c r="KY140" s="20"/>
      <c r="KZ140" s="20"/>
      <c r="LA140" s="20"/>
      <c r="LB140" s="20"/>
      <c r="LC140" s="20"/>
      <c r="LD140" s="20"/>
      <c r="LE140" s="20"/>
      <c r="LF140" s="20"/>
      <c r="LG140" s="20"/>
      <c r="LH140" s="20"/>
      <c r="LI140" s="20"/>
      <c r="LJ140" s="20"/>
      <c r="LK140" s="20"/>
      <c r="LL140" s="20"/>
      <c r="LM140" s="20"/>
      <c r="LN140" s="20"/>
      <c r="LO140" s="20"/>
      <c r="LP140" s="20"/>
      <c r="LQ140" s="20"/>
      <c r="LR140" s="20"/>
      <c r="LS140" s="20"/>
      <c r="LT140" s="20"/>
      <c r="LU140" s="20"/>
      <c r="LV140" s="20"/>
      <c r="LW140" s="20"/>
      <c r="LX140" s="20"/>
    </row>
    <row r="141" spans="1:336" s="24" customFormat="1" x14ac:dyDescent="0.25">
      <c r="A141" s="21" t="s">
        <v>16</v>
      </c>
      <c r="B141" s="22" t="s">
        <v>17</v>
      </c>
      <c r="C141" s="23" t="s">
        <v>275</v>
      </c>
      <c r="D141" s="8" t="s">
        <v>276</v>
      </c>
      <c r="E141" s="8">
        <v>2</v>
      </c>
      <c r="F141" s="9" t="s">
        <v>19</v>
      </c>
      <c r="G141" s="10" t="s">
        <v>20</v>
      </c>
      <c r="H141" s="11">
        <v>1</v>
      </c>
      <c r="I141" s="12">
        <v>44</v>
      </c>
      <c r="J141" s="13">
        <v>1212.4000000000001</v>
      </c>
      <c r="K141" s="13">
        <v>0</v>
      </c>
      <c r="L141" s="13">
        <v>0</v>
      </c>
      <c r="M141" s="13">
        <v>209</v>
      </c>
      <c r="N141" s="13">
        <v>0</v>
      </c>
      <c r="O141" s="13">
        <f>24.25+112.24+72.74</f>
        <v>209.23000000000002</v>
      </c>
      <c r="P141" s="14">
        <f t="shared" ref="P141" si="5">SUM(J141:N141)-O141</f>
        <v>1212.17</v>
      </c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  <c r="IW141" s="20"/>
      <c r="IX141" s="20"/>
      <c r="IY141" s="20"/>
      <c r="IZ141" s="20"/>
      <c r="JA141" s="20"/>
      <c r="JB141" s="20"/>
      <c r="JC141" s="20"/>
      <c r="JD141" s="20"/>
      <c r="JE141" s="20"/>
      <c r="JF141" s="20"/>
      <c r="JG141" s="20"/>
      <c r="JH141" s="20"/>
      <c r="JI141" s="20"/>
      <c r="JJ141" s="20"/>
      <c r="JK141" s="20"/>
      <c r="JL141" s="20"/>
      <c r="JM141" s="20"/>
      <c r="JN141" s="20"/>
      <c r="JO141" s="20"/>
      <c r="JP141" s="20"/>
      <c r="JQ141" s="20"/>
      <c r="JR141" s="20"/>
      <c r="JS141" s="20"/>
      <c r="JT141" s="20"/>
      <c r="JU141" s="20"/>
      <c r="JV141" s="20"/>
      <c r="JW141" s="20"/>
      <c r="JX141" s="20"/>
      <c r="JY141" s="20"/>
      <c r="JZ141" s="20"/>
      <c r="KA141" s="20"/>
      <c r="KB141" s="20"/>
      <c r="KC141" s="20"/>
      <c r="KD141" s="20"/>
      <c r="KE141" s="20"/>
      <c r="KF141" s="20"/>
      <c r="KG141" s="20"/>
      <c r="KH141" s="20"/>
      <c r="KI141" s="20"/>
      <c r="KJ141" s="20"/>
      <c r="KK141" s="20"/>
      <c r="KL141" s="20"/>
      <c r="KM141" s="20"/>
      <c r="KN141" s="20"/>
      <c r="KO141" s="20"/>
      <c r="KP141" s="20"/>
      <c r="KQ141" s="20"/>
      <c r="KR141" s="20"/>
      <c r="KS141" s="20"/>
      <c r="KT141" s="20"/>
      <c r="KU141" s="20"/>
      <c r="KV141" s="20"/>
      <c r="KW141" s="20"/>
      <c r="KX141" s="20"/>
      <c r="KY141" s="20"/>
      <c r="KZ141" s="20"/>
      <c r="LA141" s="20"/>
      <c r="LB141" s="20"/>
      <c r="LC141" s="20"/>
      <c r="LD141" s="20"/>
      <c r="LE141" s="20"/>
      <c r="LF141" s="20"/>
      <c r="LG141" s="20"/>
      <c r="LH141" s="20"/>
      <c r="LI141" s="20"/>
      <c r="LJ141" s="20"/>
      <c r="LK141" s="20"/>
      <c r="LL141" s="20"/>
      <c r="LM141" s="20"/>
      <c r="LN141" s="20"/>
      <c r="LO141" s="20"/>
      <c r="LP141" s="20"/>
      <c r="LQ141" s="20"/>
      <c r="LR141" s="20"/>
      <c r="LS141" s="20"/>
      <c r="LT141" s="20"/>
      <c r="LU141" s="20"/>
      <c r="LV141" s="20"/>
      <c r="LW141" s="20"/>
      <c r="LX141" s="20"/>
    </row>
    <row r="142" spans="1:336" s="24" customFormat="1" x14ac:dyDescent="0.25">
      <c r="A142" s="21" t="s">
        <v>16</v>
      </c>
      <c r="B142" s="22" t="s">
        <v>17</v>
      </c>
      <c r="C142" s="23">
        <v>89866681491</v>
      </c>
      <c r="D142" s="8" t="s">
        <v>277</v>
      </c>
      <c r="E142" s="8">
        <v>2</v>
      </c>
      <c r="F142" s="9" t="s">
        <v>19</v>
      </c>
      <c r="G142" s="10" t="s">
        <v>20</v>
      </c>
      <c r="H142" s="11">
        <v>1</v>
      </c>
      <c r="I142" s="12">
        <v>44</v>
      </c>
      <c r="J142" s="13">
        <v>1212.4000000000001</v>
      </c>
      <c r="K142" s="13">
        <v>0</v>
      </c>
      <c r="L142" s="13">
        <v>0</v>
      </c>
      <c r="M142" s="13">
        <f>209</f>
        <v>209</v>
      </c>
      <c r="N142" s="13">
        <v>0</v>
      </c>
      <c r="O142" s="13">
        <f>24.25+112.24+47.97</f>
        <v>184.46</v>
      </c>
      <c r="P142" s="14">
        <f t="shared" si="4"/>
        <v>1236.94</v>
      </c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  <c r="IW142" s="20"/>
      <c r="IX142" s="20"/>
      <c r="IY142" s="20"/>
      <c r="IZ142" s="20"/>
      <c r="JA142" s="20"/>
      <c r="JB142" s="20"/>
      <c r="JC142" s="20"/>
      <c r="JD142" s="20"/>
      <c r="JE142" s="20"/>
      <c r="JF142" s="20"/>
      <c r="JG142" s="20"/>
      <c r="JH142" s="20"/>
      <c r="JI142" s="20"/>
      <c r="JJ142" s="20"/>
      <c r="JK142" s="20"/>
      <c r="JL142" s="20"/>
      <c r="JM142" s="20"/>
      <c r="JN142" s="20"/>
      <c r="JO142" s="20"/>
      <c r="JP142" s="20"/>
      <c r="JQ142" s="20"/>
      <c r="JR142" s="20"/>
      <c r="JS142" s="20"/>
      <c r="JT142" s="20"/>
      <c r="JU142" s="20"/>
      <c r="JV142" s="20"/>
      <c r="JW142" s="20"/>
      <c r="JX142" s="20"/>
      <c r="JY142" s="20"/>
      <c r="JZ142" s="20"/>
      <c r="KA142" s="20"/>
      <c r="KB142" s="20"/>
      <c r="KC142" s="20"/>
      <c r="KD142" s="20"/>
      <c r="KE142" s="20"/>
      <c r="KF142" s="20"/>
      <c r="KG142" s="20"/>
      <c r="KH142" s="20"/>
      <c r="KI142" s="20"/>
      <c r="KJ142" s="20"/>
      <c r="KK142" s="20"/>
      <c r="KL142" s="20"/>
      <c r="KM142" s="20"/>
      <c r="KN142" s="20"/>
      <c r="KO142" s="20"/>
      <c r="KP142" s="20"/>
      <c r="KQ142" s="20"/>
      <c r="KR142" s="20"/>
      <c r="KS142" s="20"/>
      <c r="KT142" s="20"/>
      <c r="KU142" s="20"/>
      <c r="KV142" s="20"/>
      <c r="KW142" s="20"/>
      <c r="KX142" s="20"/>
      <c r="KY142" s="20"/>
      <c r="KZ142" s="20"/>
      <c r="LA142" s="20"/>
      <c r="LB142" s="20"/>
      <c r="LC142" s="20"/>
      <c r="LD142" s="20"/>
      <c r="LE142" s="20"/>
      <c r="LF142" s="20"/>
      <c r="LG142" s="20"/>
      <c r="LH142" s="20"/>
      <c r="LI142" s="20"/>
      <c r="LJ142" s="20"/>
      <c r="LK142" s="20"/>
      <c r="LL142" s="20"/>
      <c r="LM142" s="20"/>
      <c r="LN142" s="20"/>
      <c r="LO142" s="20"/>
      <c r="LP142" s="20"/>
      <c r="LQ142" s="20"/>
      <c r="LR142" s="20"/>
      <c r="LS142" s="20"/>
      <c r="LT142" s="20"/>
      <c r="LU142" s="20"/>
      <c r="LV142" s="20"/>
      <c r="LW142" s="20"/>
      <c r="LX142" s="20"/>
    </row>
    <row r="143" spans="1:336" ht="15" x14ac:dyDescent="0.25">
      <c r="A143"/>
      <c r="B143"/>
      <c r="C143"/>
      <c r="D143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  <c r="GU143" s="20"/>
      <c r="GV143" s="20"/>
      <c r="GW143" s="20"/>
      <c r="GX143" s="20"/>
      <c r="GY143" s="20"/>
      <c r="GZ143" s="20"/>
      <c r="HA143" s="20"/>
      <c r="HB143" s="20"/>
      <c r="HC143" s="20"/>
      <c r="HD143" s="20"/>
      <c r="HE143" s="20"/>
      <c r="HF143" s="20"/>
      <c r="HG143" s="20"/>
      <c r="HH143" s="20"/>
      <c r="HI143" s="20"/>
      <c r="HJ143" s="20"/>
      <c r="HK143" s="20"/>
      <c r="HL143" s="20"/>
      <c r="HM143" s="20"/>
      <c r="HN143" s="20"/>
      <c r="HO143" s="20"/>
      <c r="HP143" s="20"/>
      <c r="HQ143" s="20"/>
      <c r="HR143" s="20"/>
      <c r="HS143" s="20"/>
      <c r="HT143" s="20"/>
      <c r="HU143" s="20"/>
      <c r="HV143" s="20"/>
      <c r="HW143" s="20"/>
      <c r="HX143" s="20"/>
      <c r="HY143" s="20"/>
      <c r="HZ143" s="20"/>
      <c r="IA143" s="20"/>
      <c r="IB143" s="20"/>
      <c r="IC143" s="20"/>
      <c r="ID143" s="20"/>
      <c r="IE143" s="20"/>
      <c r="IF143" s="20"/>
      <c r="IG143" s="20"/>
      <c r="IH143" s="20"/>
      <c r="II143" s="20"/>
      <c r="IJ143" s="20"/>
      <c r="IK143" s="20"/>
      <c r="IL143" s="20"/>
      <c r="IM143" s="20"/>
      <c r="IN143" s="20"/>
      <c r="IO143" s="20"/>
      <c r="IP143" s="20"/>
      <c r="IQ143" s="20"/>
      <c r="IR143" s="20"/>
      <c r="IS143" s="20"/>
      <c r="IT143" s="20"/>
      <c r="IU143" s="20"/>
      <c r="IV143" s="20"/>
      <c r="IW143" s="20"/>
      <c r="IX143" s="20"/>
      <c r="IY143" s="20"/>
      <c r="IZ143" s="20"/>
      <c r="JA143" s="20"/>
      <c r="JB143" s="20"/>
      <c r="JC143" s="20"/>
      <c r="JD143" s="20"/>
      <c r="JE143" s="20"/>
      <c r="JF143" s="20"/>
      <c r="JG143" s="20"/>
      <c r="JH143" s="20"/>
      <c r="JI143" s="20"/>
      <c r="JJ143" s="20"/>
      <c r="JK143" s="20"/>
      <c r="JL143" s="20"/>
      <c r="JM143" s="20"/>
      <c r="JN143" s="20"/>
      <c r="JO143" s="20"/>
      <c r="JP143" s="20"/>
      <c r="JQ143" s="20"/>
      <c r="JR143" s="20"/>
      <c r="JS143" s="20"/>
      <c r="JT143" s="20"/>
      <c r="JU143" s="20"/>
      <c r="JV143" s="20"/>
      <c r="JW143" s="20"/>
      <c r="JX143" s="20"/>
      <c r="JY143" s="20"/>
      <c r="JZ143" s="20"/>
      <c r="KA143" s="20"/>
      <c r="KB143" s="20"/>
      <c r="KC143" s="20"/>
      <c r="KD143" s="20"/>
      <c r="KE143" s="20"/>
      <c r="KF143" s="20"/>
      <c r="KG143" s="20"/>
      <c r="KH143" s="20"/>
      <c r="KI143" s="20"/>
      <c r="KJ143" s="20"/>
      <c r="KK143" s="20"/>
      <c r="KL143" s="20"/>
      <c r="KM143" s="20"/>
      <c r="KN143" s="20"/>
      <c r="KO143" s="20"/>
      <c r="KP143" s="20"/>
      <c r="KQ143" s="20"/>
      <c r="KR143" s="20"/>
      <c r="KS143" s="20"/>
      <c r="KT143" s="20"/>
      <c r="KU143" s="20"/>
      <c r="KV143" s="20"/>
      <c r="KW143" s="20"/>
      <c r="KX143" s="20"/>
      <c r="KY143" s="20"/>
      <c r="KZ143" s="20"/>
      <c r="LA143" s="20"/>
      <c r="LB143" s="20"/>
      <c r="LC143" s="20"/>
      <c r="LD143" s="20"/>
      <c r="LE143" s="20"/>
      <c r="LF143" s="20"/>
      <c r="LG143" s="20"/>
      <c r="LH143" s="20"/>
      <c r="LI143" s="20"/>
      <c r="LJ143" s="20"/>
      <c r="LK143" s="20"/>
      <c r="LL143" s="20"/>
      <c r="LM143" s="20"/>
      <c r="LN143" s="20"/>
      <c r="LO143" s="20"/>
      <c r="LP143" s="20"/>
      <c r="LQ143" s="20"/>
      <c r="LR143" s="20"/>
      <c r="LS143" s="20"/>
      <c r="LT143" s="20"/>
      <c r="LU143" s="20"/>
      <c r="LV143" s="20"/>
      <c r="LW143" s="20"/>
      <c r="LX143" s="20"/>
    </row>
    <row r="144" spans="1:336" x14ac:dyDescent="0.25">
      <c r="A144"/>
      <c r="B144"/>
      <c r="C144"/>
      <c r="D144"/>
    </row>
    <row r="145" spans="1:16" x14ac:dyDescent="0.25">
      <c r="A145"/>
      <c r="B145"/>
      <c r="C145"/>
      <c r="D145"/>
    </row>
    <row r="146" spans="1:16" x14ac:dyDescent="0.25">
      <c r="A146"/>
      <c r="B146"/>
      <c r="C146"/>
      <c r="D146"/>
    </row>
    <row r="147" spans="1:16" x14ac:dyDescent="0.25">
      <c r="A147"/>
      <c r="B147"/>
      <c r="C147"/>
      <c r="D147"/>
    </row>
    <row r="148" spans="1:16" x14ac:dyDescent="0.25">
      <c r="A148"/>
      <c r="B148"/>
      <c r="C148"/>
      <c r="D148"/>
    </row>
    <row r="149" spans="1:16" x14ac:dyDescent="0.25">
      <c r="A149"/>
      <c r="B149"/>
      <c r="C149"/>
      <c r="D149"/>
    </row>
    <row r="150" spans="1:16" x14ac:dyDescent="0.25">
      <c r="A150"/>
      <c r="B150"/>
      <c r="C150"/>
      <c r="D150"/>
    </row>
    <row r="151" spans="1:16" x14ac:dyDescent="0.25">
      <c r="A151"/>
      <c r="B151"/>
      <c r="C151"/>
      <c r="D151"/>
    </row>
    <row r="152" spans="1:16" x14ac:dyDescent="0.25">
      <c r="A152"/>
      <c r="B152"/>
      <c r="C152"/>
      <c r="D152"/>
    </row>
    <row r="153" spans="1:16" x14ac:dyDescent="0.25">
      <c r="A153"/>
      <c r="B153"/>
      <c r="C153"/>
      <c r="D153"/>
    </row>
    <row r="154" spans="1:16" x14ac:dyDescent="0.25">
      <c r="A154"/>
      <c r="B154"/>
      <c r="C154"/>
      <c r="D154"/>
    </row>
    <row r="155" spans="1:16" ht="15" x14ac:dyDescent="0.25">
      <c r="A155"/>
      <c r="B155"/>
      <c r="C155"/>
      <c r="D155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</row>
    <row r="156" spans="1:16" ht="15" x14ac:dyDescent="0.25">
      <c r="A156"/>
      <c r="B156"/>
      <c r="C156"/>
      <c r="D156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</row>
    <row r="157" spans="1:16" ht="15" x14ac:dyDescent="0.25">
      <c r="A157"/>
      <c r="B157"/>
      <c r="C157"/>
      <c r="D15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</row>
    <row r="158" spans="1:16" ht="15" x14ac:dyDescent="0.25">
      <c r="A158"/>
      <c r="B158"/>
      <c r="C158"/>
      <c r="D158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</row>
    <row r="159" spans="1:16" ht="15" x14ac:dyDescent="0.25">
      <c r="A159"/>
      <c r="B159"/>
      <c r="C159"/>
      <c r="D159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</row>
    <row r="160" spans="1:16" ht="15" x14ac:dyDescent="0.25">
      <c r="A160"/>
      <c r="B160"/>
      <c r="C160"/>
      <c r="D160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</row>
    <row r="161" spans="1:16" x14ac:dyDescent="0.25">
      <c r="A161"/>
      <c r="B161"/>
      <c r="C161"/>
      <c r="D161"/>
    </row>
    <row r="162" spans="1:16" x14ac:dyDescent="0.25">
      <c r="A162"/>
      <c r="B162"/>
      <c r="C162"/>
      <c r="D162"/>
    </row>
    <row r="163" spans="1:16" x14ac:dyDescent="0.25">
      <c r="A163"/>
      <c r="B163"/>
      <c r="C163"/>
      <c r="D163"/>
    </row>
    <row r="164" spans="1:16" x14ac:dyDescent="0.25">
      <c r="A164"/>
      <c r="B164"/>
      <c r="C164"/>
      <c r="D164"/>
    </row>
    <row r="165" spans="1:16" x14ac:dyDescent="0.25">
      <c r="A165"/>
      <c r="B165"/>
      <c r="C165"/>
      <c r="D165"/>
    </row>
    <row r="166" spans="1:16" x14ac:dyDescent="0.25">
      <c r="A166"/>
      <c r="B166"/>
      <c r="C166"/>
      <c r="D166"/>
    </row>
    <row r="167" spans="1:16" x14ac:dyDescent="0.25">
      <c r="A167"/>
      <c r="B167"/>
      <c r="C167"/>
      <c r="D167"/>
    </row>
    <row r="168" spans="1:16" x14ac:dyDescent="0.25">
      <c r="A168"/>
      <c r="B168"/>
      <c r="C168"/>
      <c r="D168"/>
    </row>
    <row r="169" spans="1:16" x14ac:dyDescent="0.25">
      <c r="A169"/>
      <c r="B169"/>
      <c r="C169"/>
      <c r="D169"/>
    </row>
    <row r="170" spans="1:16" x14ac:dyDescent="0.25">
      <c r="A170"/>
      <c r="B170"/>
      <c r="C170"/>
      <c r="D170"/>
    </row>
    <row r="171" spans="1:16" ht="15" x14ac:dyDescent="0.25">
      <c r="A171"/>
      <c r="B171"/>
      <c r="C171"/>
      <c r="D171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</row>
    <row r="172" spans="1:16" ht="15" x14ac:dyDescent="0.25">
      <c r="A172"/>
      <c r="B172"/>
      <c r="C172"/>
      <c r="D172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</row>
    <row r="173" spans="1:16" ht="15" x14ac:dyDescent="0.25">
      <c r="A173"/>
      <c r="B173"/>
      <c r="C173"/>
      <c r="D173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</row>
    <row r="174" spans="1:16" ht="15" x14ac:dyDescent="0.25">
      <c r="A174"/>
      <c r="B174"/>
      <c r="C174"/>
      <c r="D174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</row>
    <row r="175" spans="1:16" ht="15" x14ac:dyDescent="0.25">
      <c r="A175"/>
      <c r="B175"/>
      <c r="C175"/>
      <c r="D175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</row>
    <row r="176" spans="1:16" ht="15" x14ac:dyDescent="0.25">
      <c r="A176"/>
      <c r="B176"/>
      <c r="C176"/>
      <c r="D176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</row>
    <row r="177" spans="1:16" ht="15" x14ac:dyDescent="0.25">
      <c r="A177"/>
      <c r="B177"/>
      <c r="C177"/>
      <c r="D17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ht="15" x14ac:dyDescent="0.25">
      <c r="A178"/>
      <c r="B178"/>
      <c r="C178"/>
      <c r="D178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ht="15" x14ac:dyDescent="0.25">
      <c r="A179"/>
      <c r="B179"/>
      <c r="C179"/>
      <c r="D179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</row>
    <row r="180" spans="1:16" ht="15" x14ac:dyDescent="0.25">
      <c r="A180"/>
      <c r="B180"/>
      <c r="C180"/>
      <c r="D180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</row>
    <row r="181" spans="1:16" ht="15" x14ac:dyDescent="0.25">
      <c r="A181"/>
      <c r="B181"/>
      <c r="C181"/>
      <c r="D181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</row>
    <row r="182" spans="1:16" ht="15" x14ac:dyDescent="0.25">
      <c r="A182"/>
      <c r="B182"/>
      <c r="C182"/>
      <c r="D182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</row>
    <row r="183" spans="1:16" ht="15" x14ac:dyDescent="0.25">
      <c r="A183"/>
      <c r="B183"/>
      <c r="C183"/>
      <c r="D183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</row>
    <row r="184" spans="1:16" ht="15" x14ac:dyDescent="0.25">
      <c r="A184"/>
      <c r="B184"/>
      <c r="C184"/>
      <c r="D184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</row>
    <row r="185" spans="1:16" ht="15" x14ac:dyDescent="0.25">
      <c r="A185"/>
      <c r="B185"/>
      <c r="C185"/>
      <c r="D185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</row>
    <row r="186" spans="1:16" ht="15" x14ac:dyDescent="0.25">
      <c r="A186"/>
      <c r="B186"/>
      <c r="C186"/>
      <c r="D186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</row>
    <row r="187" spans="1:16" ht="15" x14ac:dyDescent="0.25">
      <c r="A187"/>
      <c r="B187"/>
      <c r="C187"/>
      <c r="D18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</row>
    <row r="188" spans="1:16" ht="15" x14ac:dyDescent="0.25">
      <c r="A188"/>
      <c r="B188"/>
      <c r="C188"/>
      <c r="D188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</row>
    <row r="189" spans="1:16" ht="15" x14ac:dyDescent="0.25">
      <c r="A189"/>
      <c r="B189"/>
      <c r="C189"/>
      <c r="D189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</row>
    <row r="190" spans="1:16" ht="15" x14ac:dyDescent="0.25">
      <c r="A190"/>
      <c r="B190"/>
      <c r="C190"/>
      <c r="D190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</row>
    <row r="191" spans="1:16" ht="15" x14ac:dyDescent="0.25">
      <c r="A191"/>
      <c r="B191"/>
      <c r="C191"/>
      <c r="D191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</row>
    <row r="192" spans="1:16" ht="15" x14ac:dyDescent="0.25">
      <c r="A192"/>
      <c r="B192"/>
      <c r="C192"/>
      <c r="D192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</row>
    <row r="193" spans="1:16" ht="15" x14ac:dyDescent="0.25">
      <c r="A193"/>
      <c r="B193"/>
      <c r="C193"/>
      <c r="D193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</row>
    <row r="194" spans="1:16" ht="15" x14ac:dyDescent="0.25">
      <c r="A194"/>
      <c r="B194"/>
      <c r="C194"/>
      <c r="D194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</row>
    <row r="195" spans="1:16" ht="15" x14ac:dyDescent="0.25">
      <c r="A195"/>
      <c r="B195"/>
      <c r="C195"/>
      <c r="D195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</row>
    <row r="196" spans="1:16" ht="15" x14ac:dyDescent="0.25">
      <c r="A196"/>
      <c r="B196"/>
      <c r="C196"/>
      <c r="D196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</row>
    <row r="197" spans="1:16" ht="15" x14ac:dyDescent="0.25">
      <c r="A197"/>
      <c r="B197"/>
      <c r="C197"/>
      <c r="D19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</row>
    <row r="198" spans="1:16" ht="15" x14ac:dyDescent="0.25">
      <c r="A198"/>
      <c r="B198"/>
      <c r="C198"/>
      <c r="D198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</row>
    <row r="199" spans="1:16" x14ac:dyDescent="0.25">
      <c r="A199"/>
      <c r="B199"/>
      <c r="C199"/>
      <c r="D199"/>
    </row>
    <row r="200" spans="1:16" x14ac:dyDescent="0.25">
      <c r="A200"/>
      <c r="B200"/>
      <c r="C200"/>
      <c r="D200"/>
    </row>
    <row r="201" spans="1:16" x14ac:dyDescent="0.25">
      <c r="A201"/>
      <c r="B201"/>
      <c r="C201"/>
      <c r="D201"/>
    </row>
    <row r="202" spans="1:16" x14ac:dyDescent="0.25">
      <c r="A202"/>
      <c r="B202"/>
      <c r="C202"/>
      <c r="D202"/>
    </row>
    <row r="203" spans="1:16" x14ac:dyDescent="0.25">
      <c r="A203"/>
      <c r="B203"/>
      <c r="C203"/>
      <c r="D203"/>
    </row>
    <row r="204" spans="1:16" x14ac:dyDescent="0.25">
      <c r="A204"/>
      <c r="B204"/>
      <c r="C204"/>
      <c r="D204"/>
    </row>
    <row r="205" spans="1:16" x14ac:dyDescent="0.25">
      <c r="A205"/>
      <c r="B205"/>
      <c r="C205"/>
      <c r="D205"/>
    </row>
    <row r="206" spans="1:16" x14ac:dyDescent="0.25">
      <c r="A206"/>
      <c r="B206"/>
      <c r="C206"/>
      <c r="D206"/>
    </row>
    <row r="207" spans="1:16" ht="15" x14ac:dyDescent="0.25">
      <c r="A207"/>
      <c r="B207"/>
      <c r="C207"/>
      <c r="D20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</row>
    <row r="208" spans="1:16" ht="15" x14ac:dyDescent="0.25">
      <c r="A208"/>
      <c r="B208"/>
      <c r="C208"/>
      <c r="D208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</row>
    <row r="209" spans="1:16" ht="15" x14ac:dyDescent="0.25">
      <c r="A209"/>
      <c r="B209"/>
      <c r="C209"/>
      <c r="D209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</row>
    <row r="210" spans="1:16" ht="15" x14ac:dyDescent="0.25">
      <c r="A210"/>
      <c r="B210"/>
      <c r="C210"/>
      <c r="D210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</row>
    <row r="211" spans="1:16" ht="15" x14ac:dyDescent="0.25">
      <c r="A211"/>
      <c r="B211"/>
      <c r="C211"/>
      <c r="D211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</row>
    <row r="212" spans="1:16" x14ac:dyDescent="0.25">
      <c r="A212"/>
      <c r="B212"/>
      <c r="C212"/>
      <c r="D212"/>
    </row>
    <row r="213" spans="1:16" x14ac:dyDescent="0.25">
      <c r="A213"/>
      <c r="B213"/>
      <c r="C213"/>
      <c r="D213"/>
    </row>
    <row r="214" spans="1:16" x14ac:dyDescent="0.25">
      <c r="A214"/>
      <c r="B214"/>
      <c r="C214"/>
      <c r="D214"/>
    </row>
    <row r="215" spans="1:16" x14ac:dyDescent="0.25">
      <c r="A215"/>
      <c r="B215"/>
      <c r="C215"/>
      <c r="D215"/>
    </row>
    <row r="216" spans="1:16" x14ac:dyDescent="0.25">
      <c r="A216"/>
      <c r="B216"/>
      <c r="C216"/>
      <c r="D216"/>
    </row>
    <row r="217" spans="1:16" x14ac:dyDescent="0.25">
      <c r="A217"/>
      <c r="B217"/>
      <c r="C217"/>
      <c r="D217"/>
    </row>
    <row r="218" spans="1:16" x14ac:dyDescent="0.25">
      <c r="A218"/>
      <c r="B218"/>
      <c r="C218"/>
      <c r="D218"/>
    </row>
    <row r="219" spans="1:16" x14ac:dyDescent="0.25">
      <c r="A219"/>
      <c r="B219"/>
      <c r="C219"/>
      <c r="D219"/>
    </row>
    <row r="220" spans="1:16" x14ac:dyDescent="0.25">
      <c r="A220"/>
      <c r="B220"/>
      <c r="C220"/>
      <c r="D220"/>
    </row>
    <row r="221" spans="1:16" x14ac:dyDescent="0.25">
      <c r="A221"/>
      <c r="B221"/>
      <c r="C221"/>
      <c r="D221"/>
    </row>
    <row r="222" spans="1:16" x14ac:dyDescent="0.25">
      <c r="A222"/>
      <c r="B222"/>
      <c r="C222"/>
      <c r="D222"/>
    </row>
    <row r="223" spans="1:16" ht="15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6" ht="15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ht="15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ht="15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ht="15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ht="15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ht="15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ht="15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ht="15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ht="15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ht="15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ht="15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ht="15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ht="15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ht="15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ht="15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ht="15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ht="15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ht="15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ht="15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ht="15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ht="15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ht="15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ht="15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ht="15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ht="15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ht="15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ht="15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ht="15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ht="15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ht="15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ht="15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ht="15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ht="15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ht="15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ht="15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ht="15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ht="15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ht="15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ht="15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ht="15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ht="15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ht="15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ht="15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ht="15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ht="15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ht="15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ht="15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ht="15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ht="15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ht="15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ht="15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ht="15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ht="15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ht="15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ht="15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ht="15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ht="15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ht="15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ht="15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ht="15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ht="15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ht="15" x14ac:dyDescent="0.25">
      <c r="A285"/>
      <c r="B285"/>
      <c r="C285"/>
      <c r="D285"/>
      <c r="E285"/>
      <c r="F285"/>
      <c r="G285"/>
      <c r="H285"/>
      <c r="I285"/>
      <c r="J285"/>
      <c r="K285"/>
    </row>
  </sheetData>
  <protectedRanges>
    <protectedRange sqref="A11:C11" name="Intervalo1_2"/>
    <protectedRange sqref="K11 D11:G11 I11" name="Intervalo1_2_1"/>
  </protectedRanges>
  <pageMargins left="0.51181102362204722" right="0.51181102362204722" top="0.78740157480314965" bottom="0.78740157480314965" header="0.31496062992125984" footer="0.31496062992125984"/>
  <pageSetup paperSize="9" scale="40" orientation="landscape" horizontalDpi="4294967294" verticalDpi="4294967294" r:id="rId1"/>
  <rowBreaks count="1" manualBreakCount="1">
    <brk id="74" max="33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2020-09-24T12:54:51Z</dcterms:created>
  <dcterms:modified xsi:type="dcterms:W3CDTF">2020-09-24T12:58:02Z</dcterms:modified>
</cp:coreProperties>
</file>