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mais despesas pesso ANEXO III" sheetId="1" r:id="rId1"/>
  </sheets>
  <externalReferences>
    <externalReference r:id="rId2"/>
  </externalReferences>
  <definedNames>
    <definedName name="_xlnm.Print_Area" localSheetId="0">'Demais despesas pesso ANEXO III'!$A$1:$IE$141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Z141" i="1" l="1"/>
  <c r="V141" i="1"/>
  <c r="S141" i="1"/>
  <c r="P141" i="1"/>
  <c r="M141" i="1"/>
  <c r="I141" i="1"/>
  <c r="AB141" i="1" s="1"/>
  <c r="Z140" i="1"/>
  <c r="V140" i="1"/>
  <c r="S140" i="1"/>
  <c r="P140" i="1"/>
  <c r="M140" i="1"/>
  <c r="I140" i="1"/>
  <c r="AB140" i="1" s="1"/>
  <c r="Z139" i="1"/>
  <c r="V139" i="1"/>
  <c r="S139" i="1"/>
  <c r="P139" i="1"/>
  <c r="AB139" i="1" s="1"/>
  <c r="M139" i="1"/>
  <c r="I139" i="1"/>
  <c r="Z138" i="1"/>
  <c r="V138" i="1"/>
  <c r="S138" i="1"/>
  <c r="P138" i="1"/>
  <c r="M138" i="1"/>
  <c r="AB138" i="1" s="1"/>
  <c r="I138" i="1"/>
  <c r="Z137" i="1"/>
  <c r="V137" i="1"/>
  <c r="S137" i="1"/>
  <c r="P137" i="1"/>
  <c r="M137" i="1"/>
  <c r="I137" i="1"/>
  <c r="AB137" i="1" s="1"/>
  <c r="Z136" i="1"/>
  <c r="V136" i="1"/>
  <c r="S136" i="1"/>
  <c r="P136" i="1"/>
  <c r="M136" i="1"/>
  <c r="I136" i="1"/>
  <c r="AB136" i="1" s="1"/>
  <c r="Z135" i="1"/>
  <c r="T135" i="1"/>
  <c r="V135" i="1" s="1"/>
  <c r="S135" i="1"/>
  <c r="AB135" i="1" s="1"/>
  <c r="P135" i="1"/>
  <c r="M135" i="1"/>
  <c r="I135" i="1"/>
  <c r="Z134" i="1"/>
  <c r="V134" i="1"/>
  <c r="S134" i="1"/>
  <c r="P134" i="1"/>
  <c r="AB134" i="1" s="1"/>
  <c r="M134" i="1"/>
  <c r="I134" i="1"/>
  <c r="Z133" i="1"/>
  <c r="V133" i="1"/>
  <c r="S133" i="1"/>
  <c r="P133" i="1"/>
  <c r="M133" i="1"/>
  <c r="AB133" i="1" s="1"/>
  <c r="I133" i="1"/>
  <c r="Z132" i="1"/>
  <c r="V132" i="1"/>
  <c r="S132" i="1"/>
  <c r="P132" i="1"/>
  <c r="M132" i="1"/>
  <c r="I132" i="1"/>
  <c r="AB132" i="1" s="1"/>
  <c r="Z131" i="1"/>
  <c r="V131" i="1"/>
  <c r="S131" i="1"/>
  <c r="P131" i="1"/>
  <c r="M131" i="1"/>
  <c r="I131" i="1"/>
  <c r="AB131" i="1" s="1"/>
  <c r="Z130" i="1"/>
  <c r="V130" i="1"/>
  <c r="S130" i="1"/>
  <c r="P130" i="1"/>
  <c r="AB130" i="1" s="1"/>
  <c r="M130" i="1"/>
  <c r="I130" i="1"/>
  <c r="Z129" i="1"/>
  <c r="V129" i="1"/>
  <c r="S129" i="1"/>
  <c r="P129" i="1"/>
  <c r="M129" i="1"/>
  <c r="AB129" i="1" s="1"/>
  <c r="I129" i="1"/>
  <c r="Z128" i="1"/>
  <c r="V128" i="1"/>
  <c r="S128" i="1"/>
  <c r="P128" i="1"/>
  <c r="M128" i="1"/>
  <c r="I128" i="1"/>
  <c r="AB128" i="1" s="1"/>
  <c r="Z127" i="1"/>
  <c r="V127" i="1"/>
  <c r="S127" i="1"/>
  <c r="P127" i="1"/>
  <c r="M127" i="1"/>
  <c r="Z126" i="1"/>
  <c r="V126" i="1"/>
  <c r="S126" i="1"/>
  <c r="P126" i="1"/>
  <c r="M126" i="1"/>
  <c r="I126" i="1"/>
  <c r="AB126" i="1" s="1"/>
  <c r="Z125" i="1"/>
  <c r="V125" i="1"/>
  <c r="S125" i="1"/>
  <c r="P125" i="1"/>
  <c r="M125" i="1"/>
  <c r="I125" i="1"/>
  <c r="AB125" i="1" s="1"/>
  <c r="Z124" i="1"/>
  <c r="V124" i="1"/>
  <c r="S124" i="1"/>
  <c r="M124" i="1"/>
  <c r="AB124" i="1" s="1"/>
  <c r="I124" i="1"/>
  <c r="Z123" i="1"/>
  <c r="V123" i="1"/>
  <c r="S123" i="1"/>
  <c r="P123" i="1"/>
  <c r="M123" i="1"/>
  <c r="I123" i="1"/>
  <c r="AB123" i="1" s="1"/>
  <c r="Z122" i="1"/>
  <c r="V122" i="1"/>
  <c r="S122" i="1"/>
  <c r="P122" i="1"/>
  <c r="M122" i="1"/>
  <c r="I122" i="1"/>
  <c r="AB122" i="1" s="1"/>
  <c r="Z121" i="1"/>
  <c r="V121" i="1"/>
  <c r="S121" i="1"/>
  <c r="P121" i="1"/>
  <c r="AB121" i="1" s="1"/>
  <c r="M121" i="1"/>
  <c r="I121" i="1"/>
  <c r="Z120" i="1"/>
  <c r="V120" i="1"/>
  <c r="S120" i="1"/>
  <c r="P120" i="1"/>
  <c r="M120" i="1"/>
  <c r="AB120" i="1" s="1"/>
  <c r="I120" i="1"/>
  <c r="Z119" i="1"/>
  <c r="V119" i="1"/>
  <c r="S119" i="1"/>
  <c r="P119" i="1"/>
  <c r="M119" i="1"/>
  <c r="I119" i="1"/>
  <c r="AB119" i="1" s="1"/>
  <c r="Z118" i="1"/>
  <c r="V118" i="1"/>
  <c r="S118" i="1"/>
  <c r="P118" i="1"/>
  <c r="M118" i="1"/>
  <c r="I118" i="1"/>
  <c r="AB118" i="1" s="1"/>
  <c r="Z117" i="1"/>
  <c r="V117" i="1"/>
  <c r="S117" i="1"/>
  <c r="P117" i="1"/>
  <c r="AB117" i="1" s="1"/>
  <c r="M117" i="1"/>
  <c r="I117" i="1"/>
  <c r="V116" i="1"/>
  <c r="S116" i="1"/>
  <c r="M116" i="1"/>
  <c r="I116" i="1"/>
  <c r="AB116" i="1" s="1"/>
  <c r="Z115" i="1"/>
  <c r="V115" i="1"/>
  <c r="S115" i="1"/>
  <c r="P115" i="1"/>
  <c r="AB115" i="1" s="1"/>
  <c r="M115" i="1"/>
  <c r="I115" i="1"/>
  <c r="V114" i="1"/>
  <c r="S114" i="1"/>
  <c r="P114" i="1"/>
  <c r="M114" i="1"/>
  <c r="I114" i="1"/>
  <c r="AB114" i="1" s="1"/>
  <c r="V113" i="1"/>
  <c r="S113" i="1"/>
  <c r="P113" i="1"/>
  <c r="M113" i="1"/>
  <c r="AB113" i="1" s="1"/>
  <c r="I113" i="1"/>
  <c r="Z112" i="1"/>
  <c r="V112" i="1"/>
  <c r="S112" i="1"/>
  <c r="P112" i="1"/>
  <c r="M112" i="1"/>
  <c r="AB112" i="1" s="1"/>
  <c r="I112" i="1"/>
  <c r="V111" i="1"/>
  <c r="S111" i="1"/>
  <c r="P111" i="1"/>
  <c r="M111" i="1"/>
  <c r="I111" i="1"/>
  <c r="AB111" i="1" s="1"/>
  <c r="Z110" i="1"/>
  <c r="V110" i="1"/>
  <c r="S110" i="1"/>
  <c r="P110" i="1"/>
  <c r="AB110" i="1" s="1"/>
  <c r="M110" i="1"/>
  <c r="I110" i="1"/>
  <c r="Z109" i="1"/>
  <c r="V109" i="1"/>
  <c r="S109" i="1"/>
  <c r="P109" i="1"/>
  <c r="M109" i="1"/>
  <c r="AB109" i="1" s="1"/>
  <c r="I109" i="1"/>
  <c r="Z108" i="1"/>
  <c r="V108" i="1"/>
  <c r="S108" i="1"/>
  <c r="P108" i="1"/>
  <c r="M108" i="1"/>
  <c r="I108" i="1"/>
  <c r="AB108" i="1" s="1"/>
  <c r="Z107" i="1"/>
  <c r="V107" i="1"/>
  <c r="S107" i="1"/>
  <c r="P107" i="1"/>
  <c r="M107" i="1"/>
  <c r="I107" i="1"/>
  <c r="AB107" i="1" s="1"/>
  <c r="Z106" i="1"/>
  <c r="V106" i="1"/>
  <c r="S106" i="1"/>
  <c r="P106" i="1"/>
  <c r="AB106" i="1" s="1"/>
  <c r="M106" i="1"/>
  <c r="I106" i="1"/>
  <c r="Z105" i="1"/>
  <c r="V105" i="1"/>
  <c r="S105" i="1"/>
  <c r="P105" i="1"/>
  <c r="M105" i="1"/>
  <c r="AB105" i="1" s="1"/>
  <c r="I105" i="1"/>
  <c r="Z104" i="1"/>
  <c r="V104" i="1"/>
  <c r="S104" i="1"/>
  <c r="P104" i="1"/>
  <c r="M104" i="1"/>
  <c r="I104" i="1"/>
  <c r="AB104" i="1" s="1"/>
  <c r="Z103" i="1"/>
  <c r="S103" i="1"/>
  <c r="P103" i="1"/>
  <c r="M103" i="1"/>
  <c r="AB103" i="1" s="1"/>
  <c r="I103" i="1"/>
  <c r="Z102" i="1"/>
  <c r="V102" i="1"/>
  <c r="S102" i="1"/>
  <c r="P102" i="1"/>
  <c r="M102" i="1"/>
  <c r="AB102" i="1" s="1"/>
  <c r="I102" i="1"/>
  <c r="Z101" i="1"/>
  <c r="V101" i="1"/>
  <c r="S101" i="1"/>
  <c r="P101" i="1"/>
  <c r="M101" i="1"/>
  <c r="I101" i="1"/>
  <c r="AB101" i="1" s="1"/>
  <c r="Z100" i="1"/>
  <c r="V100" i="1"/>
  <c r="S100" i="1"/>
  <c r="P100" i="1"/>
  <c r="M100" i="1"/>
  <c r="I100" i="1"/>
  <c r="AB100" i="1" s="1"/>
  <c r="Z99" i="1"/>
  <c r="V99" i="1"/>
  <c r="S99" i="1"/>
  <c r="P99" i="1"/>
  <c r="AB99" i="1" s="1"/>
  <c r="M99" i="1"/>
  <c r="I99" i="1"/>
  <c r="Z98" i="1"/>
  <c r="S98" i="1"/>
  <c r="P98" i="1"/>
  <c r="M98" i="1"/>
  <c r="I98" i="1"/>
  <c r="AB98" i="1" s="1"/>
  <c r="Z97" i="1"/>
  <c r="V97" i="1"/>
  <c r="S97" i="1"/>
  <c r="P97" i="1"/>
  <c r="M97" i="1"/>
  <c r="I97" i="1"/>
  <c r="AB97" i="1" s="1"/>
  <c r="Z96" i="1"/>
  <c r="V96" i="1"/>
  <c r="S96" i="1"/>
  <c r="P96" i="1"/>
  <c r="AB96" i="1" s="1"/>
  <c r="M96" i="1"/>
  <c r="I96" i="1"/>
  <c r="Z95" i="1"/>
  <c r="V95" i="1"/>
  <c r="S95" i="1"/>
  <c r="P95" i="1"/>
  <c r="M95" i="1"/>
  <c r="AB95" i="1" s="1"/>
  <c r="I95" i="1"/>
  <c r="Z94" i="1"/>
  <c r="V94" i="1"/>
  <c r="S94" i="1"/>
  <c r="P94" i="1"/>
  <c r="M94" i="1"/>
  <c r="I94" i="1"/>
  <c r="AB94" i="1" s="1"/>
  <c r="Z93" i="1"/>
  <c r="V93" i="1"/>
  <c r="S93" i="1"/>
  <c r="P93" i="1"/>
  <c r="M93" i="1"/>
  <c r="I93" i="1"/>
  <c r="AB93" i="1" s="1"/>
  <c r="Z92" i="1"/>
  <c r="V92" i="1"/>
  <c r="S92" i="1"/>
  <c r="P92" i="1"/>
  <c r="AB92" i="1" s="1"/>
  <c r="M92" i="1"/>
  <c r="I92" i="1"/>
  <c r="Z91" i="1"/>
  <c r="V91" i="1"/>
  <c r="S91" i="1"/>
  <c r="P91" i="1"/>
  <c r="M91" i="1"/>
  <c r="AB91" i="1" s="1"/>
  <c r="I91" i="1"/>
  <c r="Z90" i="1"/>
  <c r="V90" i="1"/>
  <c r="S90" i="1"/>
  <c r="P90" i="1"/>
  <c r="M90" i="1"/>
  <c r="I90" i="1"/>
  <c r="AB90" i="1" s="1"/>
  <c r="Z89" i="1"/>
  <c r="V89" i="1"/>
  <c r="S89" i="1"/>
  <c r="P89" i="1"/>
  <c r="AB89" i="1" s="1"/>
  <c r="M89" i="1"/>
  <c r="Z88" i="1"/>
  <c r="V88" i="1"/>
  <c r="S88" i="1"/>
  <c r="P88" i="1"/>
  <c r="M88" i="1"/>
  <c r="AB88" i="1" s="1"/>
  <c r="I88" i="1"/>
  <c r="Z87" i="1"/>
  <c r="V87" i="1"/>
  <c r="S87" i="1"/>
  <c r="P87" i="1"/>
  <c r="M87" i="1"/>
  <c r="I87" i="1"/>
  <c r="AB87" i="1" s="1"/>
  <c r="Z86" i="1"/>
  <c r="V86" i="1"/>
  <c r="S86" i="1"/>
  <c r="P86" i="1"/>
  <c r="M86" i="1"/>
  <c r="I86" i="1"/>
  <c r="AB86" i="1" s="1"/>
  <c r="Z85" i="1"/>
  <c r="V85" i="1"/>
  <c r="S85" i="1"/>
  <c r="P85" i="1"/>
  <c r="AB85" i="1" s="1"/>
  <c r="M85" i="1"/>
  <c r="I85" i="1"/>
  <c r="Z84" i="1"/>
  <c r="V84" i="1"/>
  <c r="S84" i="1"/>
  <c r="P84" i="1"/>
  <c r="M84" i="1"/>
  <c r="AB84" i="1" s="1"/>
  <c r="I84" i="1"/>
  <c r="Z83" i="1"/>
  <c r="V83" i="1"/>
  <c r="S83" i="1"/>
  <c r="P83" i="1"/>
  <c r="M83" i="1"/>
  <c r="I83" i="1"/>
  <c r="AB83" i="1" s="1"/>
  <c r="Z82" i="1"/>
  <c r="V82" i="1"/>
  <c r="S82" i="1"/>
  <c r="P82" i="1"/>
  <c r="M82" i="1"/>
  <c r="I82" i="1"/>
  <c r="AB82" i="1" s="1"/>
  <c r="Z81" i="1"/>
  <c r="V81" i="1"/>
  <c r="S81" i="1"/>
  <c r="P81" i="1"/>
  <c r="AB81" i="1" s="1"/>
  <c r="M81" i="1"/>
  <c r="I81" i="1"/>
  <c r="Z80" i="1"/>
  <c r="V80" i="1"/>
  <c r="S80" i="1"/>
  <c r="P80" i="1"/>
  <c r="M80" i="1"/>
  <c r="AB80" i="1" s="1"/>
  <c r="I80" i="1"/>
  <c r="Z79" i="1"/>
  <c r="V79" i="1"/>
  <c r="S79" i="1"/>
  <c r="P79" i="1"/>
  <c r="M79" i="1"/>
  <c r="I79" i="1"/>
  <c r="AB79" i="1" s="1"/>
  <c r="Z78" i="1"/>
  <c r="V78" i="1"/>
  <c r="S78" i="1"/>
  <c r="P78" i="1"/>
  <c r="M78" i="1"/>
  <c r="I78" i="1"/>
  <c r="AB78" i="1" s="1"/>
  <c r="Z77" i="1"/>
  <c r="V77" i="1"/>
  <c r="S77" i="1"/>
  <c r="P77" i="1"/>
  <c r="AB77" i="1" s="1"/>
  <c r="M77" i="1"/>
  <c r="I77" i="1"/>
  <c r="Z76" i="1"/>
  <c r="V76" i="1"/>
  <c r="S76" i="1"/>
  <c r="P76" i="1"/>
  <c r="M76" i="1"/>
  <c r="AB76" i="1" s="1"/>
  <c r="I76" i="1"/>
  <c r="Z75" i="1"/>
  <c r="V75" i="1"/>
  <c r="S75" i="1"/>
  <c r="P75" i="1"/>
  <c r="M75" i="1"/>
  <c r="I75" i="1"/>
  <c r="AB75" i="1" s="1"/>
  <c r="Z74" i="1"/>
  <c r="V74" i="1"/>
  <c r="S74" i="1"/>
  <c r="P74" i="1"/>
  <c r="M74" i="1"/>
  <c r="I74" i="1"/>
  <c r="AB74" i="1" s="1"/>
  <c r="Z73" i="1"/>
  <c r="V73" i="1"/>
  <c r="S73" i="1"/>
  <c r="P73" i="1"/>
  <c r="AB73" i="1" s="1"/>
  <c r="M73" i="1"/>
  <c r="Z72" i="1"/>
  <c r="V72" i="1"/>
  <c r="S72" i="1"/>
  <c r="P72" i="1"/>
  <c r="M72" i="1"/>
  <c r="I72" i="1"/>
  <c r="AB72" i="1" s="1"/>
  <c r="Z71" i="1"/>
  <c r="V71" i="1"/>
  <c r="S71" i="1"/>
  <c r="P71" i="1"/>
  <c r="M71" i="1"/>
  <c r="I71" i="1"/>
  <c r="AB71" i="1" s="1"/>
  <c r="Z70" i="1"/>
  <c r="S70" i="1"/>
  <c r="P70" i="1"/>
  <c r="M70" i="1"/>
  <c r="AB70" i="1" s="1"/>
  <c r="I70" i="1"/>
  <c r="Z69" i="1"/>
  <c r="V69" i="1"/>
  <c r="S69" i="1"/>
  <c r="P69" i="1"/>
  <c r="M69" i="1"/>
  <c r="I69" i="1"/>
  <c r="AB69" i="1" s="1"/>
  <c r="Z68" i="1"/>
  <c r="V68" i="1"/>
  <c r="S68" i="1"/>
  <c r="P68" i="1"/>
  <c r="AB68" i="1" s="1"/>
  <c r="M68" i="1"/>
  <c r="Z67" i="1"/>
  <c r="V67" i="1"/>
  <c r="S67" i="1"/>
  <c r="P67" i="1"/>
  <c r="M67" i="1"/>
  <c r="AB67" i="1" s="1"/>
  <c r="Z66" i="1"/>
  <c r="V66" i="1"/>
  <c r="S66" i="1"/>
  <c r="P66" i="1"/>
  <c r="M66" i="1"/>
  <c r="I66" i="1"/>
  <c r="AB66" i="1" s="1"/>
  <c r="Z65" i="1"/>
  <c r="V65" i="1"/>
  <c r="S65" i="1"/>
  <c r="P65" i="1"/>
  <c r="AB65" i="1" s="1"/>
  <c r="M65" i="1"/>
  <c r="I65" i="1"/>
  <c r="V64" i="1"/>
  <c r="S64" i="1"/>
  <c r="P64" i="1"/>
  <c r="M64" i="1"/>
  <c r="Z63" i="1"/>
  <c r="V63" i="1"/>
  <c r="S63" i="1"/>
  <c r="P63" i="1"/>
  <c r="M63" i="1"/>
  <c r="AB63" i="1" s="1"/>
  <c r="Z62" i="1"/>
  <c r="V62" i="1"/>
  <c r="S62" i="1"/>
  <c r="P62" i="1"/>
  <c r="M62" i="1"/>
  <c r="I62" i="1"/>
  <c r="AB62" i="1" s="1"/>
  <c r="Z61" i="1"/>
  <c r="V61" i="1"/>
  <c r="S61" i="1"/>
  <c r="P61" i="1"/>
  <c r="AB61" i="1" s="1"/>
  <c r="M61" i="1"/>
  <c r="I61" i="1"/>
  <c r="Z60" i="1"/>
  <c r="V60" i="1"/>
  <c r="S60" i="1"/>
  <c r="P60" i="1"/>
  <c r="M60" i="1"/>
  <c r="AB60" i="1" s="1"/>
  <c r="I60" i="1"/>
  <c r="Z59" i="1"/>
  <c r="V59" i="1"/>
  <c r="S59" i="1"/>
  <c r="P59" i="1"/>
  <c r="M59" i="1"/>
  <c r="I59" i="1"/>
  <c r="AB59" i="1" s="1"/>
  <c r="Z58" i="1"/>
  <c r="V58" i="1"/>
  <c r="S58" i="1"/>
  <c r="P58" i="1"/>
  <c r="AB58" i="1" s="1"/>
  <c r="M58" i="1"/>
  <c r="Z57" i="1"/>
  <c r="S57" i="1"/>
  <c r="M57" i="1"/>
  <c r="Z56" i="1"/>
  <c r="V56" i="1"/>
  <c r="S56" i="1"/>
  <c r="P56" i="1"/>
  <c r="M56" i="1"/>
  <c r="I56" i="1"/>
  <c r="AB56" i="1" s="1"/>
  <c r="M55" i="1"/>
  <c r="I55" i="1"/>
  <c r="Z54" i="1"/>
  <c r="V54" i="1"/>
  <c r="S54" i="1"/>
  <c r="P54" i="1"/>
  <c r="M54" i="1"/>
  <c r="AB54" i="1" s="1"/>
  <c r="I54" i="1"/>
  <c r="Z53" i="1"/>
  <c r="V53" i="1"/>
  <c r="S53" i="1"/>
  <c r="P53" i="1"/>
  <c r="M53" i="1"/>
  <c r="I53" i="1"/>
  <c r="AB53" i="1" s="1"/>
  <c r="Z52" i="1"/>
  <c r="V52" i="1"/>
  <c r="S52" i="1"/>
  <c r="P52" i="1"/>
  <c r="M52" i="1"/>
  <c r="I52" i="1"/>
  <c r="AB52" i="1" s="1"/>
  <c r="Z51" i="1"/>
  <c r="V51" i="1"/>
  <c r="S51" i="1"/>
  <c r="P51" i="1"/>
  <c r="AB51" i="1" s="1"/>
  <c r="M51" i="1"/>
  <c r="I51" i="1"/>
  <c r="Z50" i="1"/>
  <c r="V50" i="1"/>
  <c r="S50" i="1"/>
  <c r="P50" i="1"/>
  <c r="M50" i="1"/>
  <c r="AB50" i="1" s="1"/>
  <c r="I50" i="1"/>
  <c r="Z49" i="1"/>
  <c r="V49" i="1"/>
  <c r="S49" i="1"/>
  <c r="P49" i="1"/>
  <c r="M49" i="1"/>
  <c r="I49" i="1"/>
  <c r="AB49" i="1" s="1"/>
  <c r="Z48" i="1"/>
  <c r="V48" i="1"/>
  <c r="S48" i="1"/>
  <c r="P48" i="1"/>
  <c r="M48" i="1"/>
  <c r="I48" i="1"/>
  <c r="AB48" i="1" s="1"/>
  <c r="Z47" i="1"/>
  <c r="V47" i="1"/>
  <c r="S47" i="1"/>
  <c r="P47" i="1"/>
  <c r="AB47" i="1" s="1"/>
  <c r="M47" i="1"/>
  <c r="I47" i="1"/>
  <c r="Z46" i="1"/>
  <c r="V46" i="1"/>
  <c r="S46" i="1"/>
  <c r="M46" i="1"/>
  <c r="I46" i="1"/>
  <c r="AB46" i="1" s="1"/>
  <c r="Z45" i="1"/>
  <c r="T45" i="1"/>
  <c r="V45" i="1" s="1"/>
  <c r="S45" i="1"/>
  <c r="P45" i="1"/>
  <c r="M45" i="1"/>
  <c r="I45" i="1"/>
  <c r="AB45" i="1" s="1"/>
  <c r="Z44" i="1"/>
  <c r="V44" i="1"/>
  <c r="S44" i="1"/>
  <c r="P44" i="1"/>
  <c r="AB44" i="1" s="1"/>
  <c r="M44" i="1"/>
  <c r="Z43" i="1"/>
  <c r="V43" i="1"/>
  <c r="S43" i="1"/>
  <c r="P43" i="1"/>
  <c r="M43" i="1"/>
  <c r="AB43" i="1" s="1"/>
  <c r="I43" i="1"/>
  <c r="Z42" i="1"/>
  <c r="V42" i="1"/>
  <c r="S42" i="1"/>
  <c r="P42" i="1"/>
  <c r="M42" i="1"/>
  <c r="I42" i="1"/>
  <c r="AB42" i="1" s="1"/>
  <c r="Z41" i="1"/>
  <c r="V41" i="1"/>
  <c r="S41" i="1"/>
  <c r="P41" i="1"/>
  <c r="AB41" i="1" s="1"/>
  <c r="M41" i="1"/>
  <c r="Z40" i="1"/>
  <c r="S40" i="1"/>
  <c r="P40" i="1"/>
  <c r="M40" i="1"/>
  <c r="I40" i="1"/>
  <c r="AB40" i="1" s="1"/>
  <c r="Z39" i="1"/>
  <c r="V39" i="1"/>
  <c r="S39" i="1"/>
  <c r="P39" i="1"/>
  <c r="M39" i="1"/>
  <c r="I39" i="1"/>
  <c r="AB39" i="1" s="1"/>
  <c r="Z38" i="1"/>
  <c r="S38" i="1"/>
  <c r="P38" i="1"/>
  <c r="M38" i="1"/>
  <c r="AB38" i="1" s="1"/>
  <c r="I38" i="1"/>
  <c r="Z37" i="1"/>
  <c r="S37" i="1"/>
  <c r="P37" i="1"/>
  <c r="M37" i="1"/>
  <c r="I37" i="1"/>
  <c r="AB37" i="1" s="1"/>
  <c r="Z36" i="1"/>
  <c r="V36" i="1"/>
  <c r="S36" i="1"/>
  <c r="P36" i="1"/>
  <c r="AB36" i="1" s="1"/>
  <c r="M36" i="1"/>
  <c r="I36" i="1"/>
  <c r="Z35" i="1"/>
  <c r="V35" i="1"/>
  <c r="S35" i="1"/>
  <c r="P35" i="1"/>
  <c r="M35" i="1"/>
  <c r="AB35" i="1" s="1"/>
  <c r="I35" i="1"/>
  <c r="Z34" i="1"/>
  <c r="V34" i="1"/>
  <c r="S34" i="1"/>
  <c r="P34" i="1"/>
  <c r="M34" i="1"/>
  <c r="I34" i="1"/>
  <c r="AB34" i="1" s="1"/>
  <c r="Z33" i="1"/>
  <c r="V33" i="1"/>
  <c r="S33" i="1"/>
  <c r="P33" i="1"/>
  <c r="M33" i="1"/>
  <c r="I33" i="1"/>
  <c r="AB33" i="1" s="1"/>
  <c r="Z32" i="1"/>
  <c r="V32" i="1"/>
  <c r="S32" i="1"/>
  <c r="P32" i="1"/>
  <c r="AB32" i="1" s="1"/>
  <c r="M32" i="1"/>
  <c r="I32" i="1"/>
  <c r="S31" i="1"/>
  <c r="P31" i="1"/>
  <c r="M31" i="1"/>
  <c r="I31" i="1"/>
  <c r="AB31" i="1" s="1"/>
  <c r="Z30" i="1"/>
  <c r="V30" i="1"/>
  <c r="S30" i="1"/>
  <c r="P30" i="1"/>
  <c r="AB30" i="1" s="1"/>
  <c r="M30" i="1"/>
  <c r="I30" i="1"/>
  <c r="Z29" i="1"/>
  <c r="V29" i="1"/>
  <c r="S29" i="1"/>
  <c r="P29" i="1"/>
  <c r="M29" i="1"/>
  <c r="AB29" i="1" s="1"/>
  <c r="Z28" i="1"/>
  <c r="V28" i="1"/>
  <c r="S28" i="1"/>
  <c r="P28" i="1"/>
  <c r="AB28" i="1" s="1"/>
  <c r="M28" i="1"/>
  <c r="Z27" i="1"/>
  <c r="V27" i="1"/>
  <c r="S27" i="1"/>
  <c r="P27" i="1"/>
  <c r="M27" i="1"/>
  <c r="AB27" i="1" s="1"/>
  <c r="I27" i="1"/>
  <c r="Z26" i="1"/>
  <c r="V26" i="1"/>
  <c r="S26" i="1"/>
  <c r="P26" i="1"/>
  <c r="M26" i="1"/>
  <c r="I26" i="1"/>
  <c r="AB26" i="1" s="1"/>
  <c r="Z25" i="1"/>
  <c r="V25" i="1"/>
  <c r="S25" i="1"/>
  <c r="P25" i="1"/>
  <c r="AB25" i="1" s="1"/>
  <c r="M25" i="1"/>
  <c r="Z24" i="1"/>
  <c r="V24" i="1"/>
  <c r="S24" i="1"/>
  <c r="P24" i="1"/>
  <c r="M24" i="1"/>
  <c r="AB24" i="1" s="1"/>
  <c r="I24" i="1"/>
  <c r="Z23" i="1"/>
  <c r="V23" i="1"/>
  <c r="S23" i="1"/>
  <c r="P23" i="1"/>
  <c r="M23" i="1"/>
  <c r="I23" i="1"/>
  <c r="AB23" i="1" s="1"/>
  <c r="Z22" i="1"/>
  <c r="S22" i="1"/>
  <c r="M22" i="1"/>
  <c r="I22" i="1"/>
  <c r="AB22" i="1" s="1"/>
  <c r="Z21" i="1"/>
  <c r="V21" i="1"/>
  <c r="S21" i="1"/>
  <c r="P21" i="1"/>
  <c r="M21" i="1"/>
  <c r="I21" i="1"/>
  <c r="AB21" i="1" s="1"/>
  <c r="Z20" i="1"/>
  <c r="V20" i="1"/>
  <c r="S20" i="1"/>
  <c r="P20" i="1"/>
  <c r="M20" i="1"/>
  <c r="I20" i="1"/>
  <c r="AB20" i="1" s="1"/>
  <c r="Z19" i="1"/>
  <c r="V19" i="1"/>
  <c r="S19" i="1"/>
  <c r="P19" i="1"/>
  <c r="AB19" i="1" s="1"/>
  <c r="M19" i="1"/>
  <c r="I19" i="1"/>
  <c r="Z18" i="1"/>
  <c r="V18" i="1"/>
  <c r="S18" i="1"/>
  <c r="P18" i="1"/>
  <c r="M18" i="1"/>
  <c r="AB18" i="1" s="1"/>
  <c r="I18" i="1"/>
  <c r="Z17" i="1"/>
  <c r="V17" i="1"/>
  <c r="S17" i="1"/>
  <c r="P17" i="1"/>
  <c r="M17" i="1"/>
  <c r="I17" i="1"/>
  <c r="AB17" i="1" s="1"/>
  <c r="Z16" i="1"/>
  <c r="V16" i="1"/>
  <c r="S16" i="1"/>
  <c r="P16" i="1"/>
  <c r="M16" i="1"/>
  <c r="I16" i="1"/>
  <c r="AB16" i="1" s="1"/>
  <c r="Z15" i="1"/>
  <c r="V15" i="1"/>
  <c r="S15" i="1"/>
  <c r="P15" i="1"/>
  <c r="AB15" i="1" s="1"/>
  <c r="M15" i="1"/>
  <c r="I15" i="1"/>
  <c r="Z14" i="1"/>
  <c r="V14" i="1"/>
  <c r="S14" i="1"/>
  <c r="P14" i="1"/>
  <c r="M14" i="1"/>
  <c r="AB14" i="1" s="1"/>
  <c r="I14" i="1"/>
  <c r="Z13" i="1"/>
  <c r="V13" i="1"/>
  <c r="S13" i="1"/>
  <c r="P13" i="1"/>
  <c r="M13" i="1"/>
  <c r="AB13" i="1" s="1"/>
  <c r="Z12" i="1"/>
  <c r="V12" i="1"/>
  <c r="S12" i="1"/>
  <c r="P12" i="1"/>
  <c r="AB12" i="1" s="1"/>
  <c r="M12" i="1"/>
  <c r="I12" i="1"/>
  <c r="Z11" i="1"/>
  <c r="V11" i="1"/>
  <c r="S11" i="1"/>
  <c r="P11" i="1"/>
  <c r="M11" i="1"/>
  <c r="AB11" i="1" s="1"/>
  <c r="I11" i="1"/>
  <c r="Z10" i="1"/>
  <c r="V10" i="1"/>
  <c r="S10" i="1"/>
  <c r="P10" i="1"/>
  <c r="M10" i="1"/>
  <c r="I10" i="1"/>
  <c r="AB10" i="1" s="1"/>
  <c r="Z9" i="1"/>
  <c r="V9" i="1"/>
  <c r="S9" i="1"/>
  <c r="P9" i="1"/>
  <c r="M9" i="1"/>
  <c r="I9" i="1"/>
  <c r="AB9" i="1" s="1"/>
  <c r="Z8" i="1"/>
  <c r="V8" i="1"/>
  <c r="S8" i="1"/>
  <c r="P8" i="1"/>
  <c r="AB8" i="1" s="1"/>
  <c r="M8" i="1"/>
  <c r="I8" i="1"/>
  <c r="Z7" i="1"/>
  <c r="V7" i="1"/>
  <c r="S7" i="1"/>
  <c r="P7" i="1"/>
  <c r="M7" i="1"/>
  <c r="AB7" i="1" s="1"/>
  <c r="I7" i="1"/>
  <c r="Z6" i="1"/>
  <c r="V6" i="1"/>
  <c r="S6" i="1"/>
  <c r="P6" i="1"/>
  <c r="M6" i="1"/>
  <c r="I6" i="1"/>
  <c r="AB6" i="1" s="1"/>
  <c r="Z5" i="1"/>
  <c r="V5" i="1"/>
  <c r="S5" i="1"/>
  <c r="P5" i="1"/>
  <c r="M5" i="1"/>
  <c r="I5" i="1"/>
  <c r="AB5" i="1" s="1"/>
  <c r="V4" i="1"/>
  <c r="S4" i="1"/>
  <c r="P4" i="1"/>
  <c r="M4" i="1"/>
  <c r="AB4" i="1" s="1"/>
  <c r="I4" i="1"/>
  <c r="Z3" i="1"/>
  <c r="V3" i="1"/>
  <c r="S3" i="1"/>
  <c r="P3" i="1"/>
  <c r="M3" i="1"/>
  <c r="I3" i="1"/>
  <c r="AB3" i="1" s="1"/>
  <c r="Z2" i="1"/>
  <c r="V2" i="1"/>
  <c r="S2" i="1"/>
  <c r="P2" i="1"/>
  <c r="M2" i="1"/>
  <c r="I2" i="1"/>
  <c r="AB2" i="1" s="1"/>
</calcChain>
</file>

<file path=xl/sharedStrings.xml><?xml version="1.0" encoding="utf-8"?>
<sst xmlns="http://schemas.openxmlformats.org/spreadsheetml/2006/main" count="991" uniqueCount="299">
  <si>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</si>
  <si>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</si>
  <si>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</si>
  <si>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</si>
  <si>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</si>
  <si>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</si>
  <si>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</si>
  <si>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</si>
  <si>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</si>
  <si>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</si>
  <si>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</si>
  <si>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</si>
  <si>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</si>
  <si>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</si>
  <si>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</si>
  <si>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</si>
  <si>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</si>
  <si>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</si>
  <si>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</si>
  <si>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</si>
  <si>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</si>
  <si>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</si>
  <si>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</si>
  <si>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</si>
  <si>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</si>
  <si>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</si>
  <si>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</si>
  <si>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</si>
  <si>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01476404000380</t>
  </si>
  <si>
    <t>Unidade de Pronto Atendimento Eduardo Campos  UPA Sotave</t>
  </si>
  <si>
    <t xml:space="preserve">ABEL JOSE DOS SANTOS          </t>
  </si>
  <si>
    <t>3222-05</t>
  </si>
  <si>
    <t>11/2020</t>
  </si>
  <si>
    <t>0,00</t>
  </si>
  <si>
    <t>05340146405</t>
  </si>
  <si>
    <t xml:space="preserve">ADNA QUEREN HUAPUQUE RAMOS SILVA  </t>
  </si>
  <si>
    <t>5152-10</t>
  </si>
  <si>
    <t>ADRIANO VALENCIO XAVIER SANTOS</t>
  </si>
  <si>
    <t>3911-15</t>
  </si>
  <si>
    <t>08382555403</t>
  </si>
  <si>
    <t>ALEXANDRE FRANCA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</si>
  <si>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</si>
  <si>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</si>
  <si>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</si>
  <si>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</si>
  <si>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</si>
  <si>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</si>
  <si>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</si>
  <si>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</si>
  <si>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</si>
  <si>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</si>
  <si>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</si>
  <si>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</si>
  <si>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</si>
  <si>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</si>
  <si>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</si>
  <si>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</si>
  <si>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</si>
  <si>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</si>
  <si>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</si>
  <si>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</si>
  <si>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</si>
  <si>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>05813428445</t>
  </si>
  <si>
    <t xml:space="preserve">ANDRESSON MAXIMO DA SILVA     </t>
  </si>
  <si>
    <t>3242-05</t>
  </si>
  <si>
    <t>06392472452</t>
  </si>
  <si>
    <t xml:space="preserve">ANDREZA MARIA DA SILVA ARRUDA </t>
  </si>
  <si>
    <t>5142-25</t>
  </si>
  <si>
    <t>ANTONIO CARLOS DA SILVA</t>
  </si>
  <si>
    <t xml:space="preserve">ANTONIO MADSON SILVA BEZERRA  </t>
  </si>
  <si>
    <t>4221-05</t>
  </si>
  <si>
    <t>Auxílio Creche</t>
  </si>
  <si>
    <t>01937921417</t>
  </si>
  <si>
    <t xml:space="preserve">BENILSON SANTOS DA SILVA      </t>
  </si>
  <si>
    <t>02119434441</t>
  </si>
  <si>
    <t xml:space="preserve">BETANIA MARIA GOMES           </t>
  </si>
  <si>
    <t>7823-20</t>
  </si>
  <si>
    <t>04974949497</t>
  </si>
  <si>
    <t>BRUNO LEONARDO SILVA MOREIRA</t>
  </si>
  <si>
    <t>2525-45</t>
  </si>
  <si>
    <t>10796672458</t>
  </si>
  <si>
    <t>CAMILA GOMES DE MORAIS SILVA</t>
  </si>
  <si>
    <t>2232-08</t>
  </si>
  <si>
    <t>Auxílio Doença</t>
  </si>
  <si>
    <t>CAMILA REGINA GOMES OLIVEIRA</t>
  </si>
  <si>
    <t xml:space="preserve">CARLOS JOSE MOURA DA SILVA    </t>
  </si>
  <si>
    <t>2234-05</t>
  </si>
  <si>
    <t>02587642442</t>
  </si>
  <si>
    <t>CICERO SOBRINHO OLIVEIRA FILHO</t>
  </si>
  <si>
    <t>CLAUDETE CRUZ DUARTE ALENCAR</t>
  </si>
  <si>
    <t>2516-05</t>
  </si>
  <si>
    <t>CLAUDIA CICERA MONTEIRO MORAIS</t>
  </si>
  <si>
    <t>02198547422</t>
  </si>
  <si>
    <t>CLAUDIA REJANE OLIVEIRA SILVA LIMA</t>
  </si>
  <si>
    <t xml:space="preserve">CLAUDIO JOSE RODRIGUES DE OLIVEIRA       </t>
  </si>
  <si>
    <t>07940908421</t>
  </si>
  <si>
    <t>CLEIDSON CHARLES BARBOSA SANTO</t>
  </si>
  <si>
    <t>3172-10</t>
  </si>
  <si>
    <t>07369047431</t>
  </si>
  <si>
    <t xml:space="preserve">CLELIO TOMAZ DA SILVA         </t>
  </si>
  <si>
    <t>05118647444</t>
  </si>
  <si>
    <t xml:space="preserve">CRISLAYNY MARCELLY DA SILVA   </t>
  </si>
  <si>
    <t>07767421406</t>
  </si>
  <si>
    <t>DANIELA MARIA DA SILVA</t>
  </si>
  <si>
    <t xml:space="preserve">DANILO RIBEIRO DE BARROS      </t>
  </si>
  <si>
    <t>03813611442</t>
  </si>
  <si>
    <t xml:space="preserve">DOUGLAS HENRIQUE MACEDO CUNHA </t>
  </si>
  <si>
    <t>09090397477</t>
  </si>
  <si>
    <t xml:space="preserve">EDILEIDE ELIAS DOS SANTOS     </t>
  </si>
  <si>
    <t>5134-25</t>
  </si>
  <si>
    <t>05220895427</t>
  </si>
  <si>
    <t xml:space="preserve">EDILENE EDILZA DA ROCHA       </t>
  </si>
  <si>
    <t>04411940442</t>
  </si>
  <si>
    <t xml:space="preserve">EDILENE MARIA DE QUEIROZ      </t>
  </si>
  <si>
    <t>03640160436</t>
  </si>
  <si>
    <t>EDILEUZA AZEVEDO DE LIMA SILVA</t>
  </si>
  <si>
    <t xml:space="preserve">EDINALDO LUIZ MESQUITA JUNIOR </t>
  </si>
  <si>
    <t>02839751488</t>
  </si>
  <si>
    <t xml:space="preserve">EDNA MUNIZ DE SANTANA         </t>
  </si>
  <si>
    <t>4101-05</t>
  </si>
  <si>
    <t>05657043464</t>
  </si>
  <si>
    <t xml:space="preserve">ELENILDO DA SILVA BEZERRA     </t>
  </si>
  <si>
    <t>09630838486</t>
  </si>
  <si>
    <t xml:space="preserve">ELVIS DOS SANTOS SILVA        </t>
  </si>
  <si>
    <t xml:space="preserve">EMILIANA PRISCILA DE OLIVEIRA </t>
  </si>
  <si>
    <t>03984331436</t>
  </si>
  <si>
    <t xml:space="preserve">EVELLIN PRISCILLA OLIVEIRA DA SILVA   </t>
  </si>
  <si>
    <t xml:space="preserve">Auxílio Creche </t>
  </si>
  <si>
    <t>13600688480</t>
  </si>
  <si>
    <t>EZEQUIEL CORREIA DE ARAUJO JUNIOR</t>
  </si>
  <si>
    <t>3251-05</t>
  </si>
  <si>
    <t>00798726466</t>
  </si>
  <si>
    <t>FABIANA MARIA DA SILVA</t>
  </si>
  <si>
    <t>08178081407</t>
  </si>
  <si>
    <t xml:space="preserve">FABIANO SILVESTRE DE LIMA     </t>
  </si>
  <si>
    <t>1421-05</t>
  </si>
  <si>
    <t>03482060460</t>
  </si>
  <si>
    <t xml:space="preserve">FAGNER TRAJANO DE OLIVEIRA    </t>
  </si>
  <si>
    <t>07190729488</t>
  </si>
  <si>
    <t>FELIPE TRAJANO DE OLIVEIRA</t>
  </si>
  <si>
    <t xml:space="preserve">FRANCILMAR LINS PAES          </t>
  </si>
  <si>
    <t>06657901470</t>
  </si>
  <si>
    <t>FRANCISCO ASSIS OLIVEIRA SANTO</t>
  </si>
  <si>
    <t>08623239407</t>
  </si>
  <si>
    <t>GABRIELA FARIAS TEIXEIRA SANTO</t>
  </si>
  <si>
    <t>07388997474</t>
  </si>
  <si>
    <t xml:space="preserve">GEICY KALLY FERNANDES TRAJANO DA SILVA </t>
  </si>
  <si>
    <t xml:space="preserve"> 10274174421</t>
  </si>
  <si>
    <t>GILVAN JOSÉ DA SILVA BORGES</t>
  </si>
  <si>
    <t>5143-20</t>
  </si>
  <si>
    <t>08625628486</t>
  </si>
  <si>
    <t xml:space="preserve">GIRLLENE CRISTINA B.SILVA     </t>
  </si>
  <si>
    <t>4110-10</t>
  </si>
  <si>
    <t>70292739400</t>
  </si>
  <si>
    <t>GLEYSE  KELLY PEREIRA DA SILVA</t>
  </si>
  <si>
    <t>06168747400</t>
  </si>
  <si>
    <t>GEANE ALVES DE AREDA</t>
  </si>
  <si>
    <t>00810359421</t>
  </si>
  <si>
    <t>GRECY KALLY FERNANDES DA  SILVA BASTOS</t>
  </si>
  <si>
    <t>07952391496</t>
  </si>
  <si>
    <t xml:space="preserve">HEIZY VIEIRA LIMA             </t>
  </si>
  <si>
    <t xml:space="preserve">IVANILDO JOSE DE SOUZA        </t>
  </si>
  <si>
    <t xml:space="preserve">IVONEIDE SILVA FERREIRA REIS  </t>
  </si>
  <si>
    <t>04995622403</t>
  </si>
  <si>
    <t xml:space="preserve">IVONETE DE PAULA DAS NEVES    </t>
  </si>
  <si>
    <t>IZABEL SIMAO ALVES DA SILVA</t>
  </si>
  <si>
    <t>03825030407</t>
  </si>
  <si>
    <t>JACICLEIDE PUNCA DA SILVA ALBUQUERQUE</t>
  </si>
  <si>
    <t>01857191471</t>
  </si>
  <si>
    <t xml:space="preserve">JAILSON VEIRA DA SILVA        </t>
  </si>
  <si>
    <t>03237239429</t>
  </si>
  <si>
    <t xml:space="preserve">JANAINA SIMAO DE SOUZA        </t>
  </si>
  <si>
    <t>07744363442</t>
  </si>
  <si>
    <t xml:space="preserve">JANINY DANIELY SANTOS SERPA   </t>
  </si>
  <si>
    <t xml:space="preserve">JAQUELINE MARIA AZEVEDO LIMA  </t>
  </si>
  <si>
    <t>03360673484</t>
  </si>
  <si>
    <t xml:space="preserve">JAQUELINE MARIA DA SILVA      </t>
  </si>
  <si>
    <t xml:space="preserve">JAQUELINE SILVA DE CARVALHO   </t>
  </si>
  <si>
    <t>05060282406</t>
  </si>
  <si>
    <t xml:space="preserve">JEANE FERREIRA DA SILVA       </t>
  </si>
  <si>
    <t>03424789402</t>
  </si>
  <si>
    <t xml:space="preserve">JENNIFER MARIA DE CASTRO      </t>
  </si>
  <si>
    <t>08003968470</t>
  </si>
  <si>
    <t xml:space="preserve">JEREMIAS GONCALVES REIS       </t>
  </si>
  <si>
    <t>08493083488</t>
  </si>
  <si>
    <t xml:space="preserve">JOAO DOS SANTOS SILVA JUNIOR  </t>
  </si>
  <si>
    <t>03299041401</t>
  </si>
  <si>
    <t xml:space="preserve">JONAS HENRIQUE RAULINO SOUSA  </t>
  </si>
  <si>
    <t>02562493427</t>
  </si>
  <si>
    <t xml:space="preserve">JOSE OTAVIO DO NASCIMENTO     </t>
  </si>
  <si>
    <t>02546359460</t>
  </si>
  <si>
    <t xml:space="preserve">JOSE RENATO ALBUQUERQUE CARRERA         </t>
  </si>
  <si>
    <t>04492125485</t>
  </si>
  <si>
    <t>JOSE ROMILSON ALVES</t>
  </si>
  <si>
    <t xml:space="preserve">JOSE SERGIO DA SILVA          </t>
  </si>
  <si>
    <t>03678599478</t>
  </si>
  <si>
    <t xml:space="preserve">JOSENILDO PEREIRA DA SILVA    </t>
  </si>
  <si>
    <t>07596616429</t>
  </si>
  <si>
    <t>JOSIAS NELSON TORRES DE AMORIM</t>
  </si>
  <si>
    <t>06315436439</t>
  </si>
  <si>
    <t>JULIANA ANTONIA DA SILVA</t>
  </si>
  <si>
    <t xml:space="preserve">JULLIANE TRYCIA DA SILVA      </t>
  </si>
  <si>
    <t>09727215416</t>
  </si>
  <si>
    <t xml:space="preserve">KARLSON BARROS TRAJANO        </t>
  </si>
  <si>
    <t>3516-05</t>
  </si>
  <si>
    <t xml:space="preserve">KATHELLEN KAROLYNNE M.SILVA   </t>
  </si>
  <si>
    <t xml:space="preserve">LAIS CAMILA ARAUJO LIRA OLIVEIRA </t>
  </si>
  <si>
    <t>04603393466</t>
  </si>
  <si>
    <t>LARISSA SOUSA RANGEL</t>
  </si>
  <si>
    <t xml:space="preserve">LEANDRO DE OLIVEIRA PEREIRA   </t>
  </si>
  <si>
    <t xml:space="preserve">LEONARDO INACIO DE MEDEIROS   </t>
  </si>
  <si>
    <t>09686768475</t>
  </si>
  <si>
    <t xml:space="preserve">LEONARDO JOSE DA SILVA        </t>
  </si>
  <si>
    <t xml:space="preserve">LILIANE GOMES PASSOS FRANCA   </t>
  </si>
  <si>
    <t>05106158486</t>
  </si>
  <si>
    <t xml:space="preserve">MARCIA CRISTINA  FERREIRA DE LIMA LOBO     </t>
  </si>
  <si>
    <t>03321578492</t>
  </si>
  <si>
    <t xml:space="preserve">MARCO POLLO LUCENA DA SILVA   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</si>
  <si>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</si>
  <si>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</si>
  <si>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</si>
  <si>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</si>
  <si>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 </t>
  </si>
  <si>
    <t xml:space="preserve">MARIA VALDENICE DAS NEVES     </t>
  </si>
  <si>
    <t xml:space="preserve">MIRIAM ALVES DA SILVA         </t>
  </si>
  <si>
    <t>05149292435</t>
  </si>
  <si>
    <t xml:space="preserve">MOURACIA TORRES DANTAS FIGUEIROA   </t>
  </si>
  <si>
    <t xml:space="preserve">NEIDE DA SILVA FERREIRA       </t>
  </si>
  <si>
    <t xml:space="preserve">NILZA FERREIRA DOS SANTOS     </t>
  </si>
  <si>
    <t>08232311436</t>
  </si>
  <si>
    <t xml:space="preserve">NOEMIA MENEZES DOS SANTOS SILVA     </t>
  </si>
  <si>
    <t xml:space="preserve">PAMELA KARINNE FERREIRA SILVA </t>
  </si>
  <si>
    <t>3224-15</t>
  </si>
  <si>
    <t>08942423426</t>
  </si>
  <si>
    <t xml:space="preserve">PATRICIA EUNICE VASCONCELOS MARINHO </t>
  </si>
  <si>
    <t>07807917466</t>
  </si>
  <si>
    <t>PAULO HENRIQUE CARVALHO DA SILVA ARCANJO</t>
  </si>
  <si>
    <t>06719380451</t>
  </si>
  <si>
    <t xml:space="preserve">PAULO LUIZ DOS SANTOS         </t>
  </si>
  <si>
    <t>08548399414</t>
  </si>
  <si>
    <t xml:space="preserve">PRICILA JUREMA ESTEVIS LOMBARDI     </t>
  </si>
  <si>
    <t>06824335436</t>
  </si>
  <si>
    <t xml:space="preserve">RAFAEL FERREIRA DOS SANTOS    </t>
  </si>
  <si>
    <t>3542-05</t>
  </si>
  <si>
    <t>12150006421</t>
  </si>
  <si>
    <t>RAFAELA MARTINS DOS SANTOS</t>
  </si>
  <si>
    <t>06118533458</t>
  </si>
  <si>
    <t xml:space="preserve">RAONY FRANCISCO DA SILVA      </t>
  </si>
  <si>
    <t>03828368476</t>
  </si>
  <si>
    <t xml:space="preserve">RAPHAEL LUIZ FERREIRA DE LIMA </t>
  </si>
  <si>
    <t>08930960405</t>
  </si>
  <si>
    <t>RAQUEL ELIAS DE ARAUJO</t>
  </si>
  <si>
    <t>REINALDO LUIZ DA SILVA</t>
  </si>
  <si>
    <t>50945378491</t>
  </si>
  <si>
    <t>RILDO PEREIRA DE MENDONCA</t>
  </si>
  <si>
    <t>01196453438</t>
  </si>
  <si>
    <t xml:space="preserve">RILZO KELLES SANTOS BENEDITO  </t>
  </si>
  <si>
    <t xml:space="preserve">RITA CASSIA ALVES SANTOS VIEIRA    </t>
  </si>
  <si>
    <t>04532109450</t>
  </si>
  <si>
    <t>ROGER GUILHERME XIMENES FELIPE</t>
  </si>
  <si>
    <t>03672267406</t>
  </si>
  <si>
    <t xml:space="preserve">RONALDO COSME LIMA MADUREIRA  </t>
  </si>
  <si>
    <t>04498061462</t>
  </si>
  <si>
    <t>ROSANGELA DA SILVA RICHENI</t>
  </si>
  <si>
    <t xml:space="preserve">ROSILEIDE GALVAO LIMA NASCIMENTO </t>
  </si>
  <si>
    <t>2124-05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</si>
  <si>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</si>
  <si>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</si>
  <si>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</si>
  <si>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</si>
  <si>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</si>
  <si>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03313952402</t>
  </si>
  <si>
    <t xml:space="preserve">SERGIO RICARDO LEITE COUTINHO </t>
  </si>
  <si>
    <t>06034346495</t>
  </si>
  <si>
    <t>SHIRLEY MACHADO BATISTA</t>
  </si>
  <si>
    <t>02498966480</t>
  </si>
  <si>
    <t xml:space="preserve">SILMAR JOSE DA SILVA          </t>
  </si>
  <si>
    <t xml:space="preserve">SILVANE MARIA DA SILVA        </t>
  </si>
  <si>
    <t>06016467464</t>
  </si>
  <si>
    <t xml:space="preserve">SYLVANIA DOS SANTOS LEAL      </t>
  </si>
  <si>
    <t>06525990440</t>
  </si>
  <si>
    <t>TAMARA MIRELLY XAVIER DA SILVA</t>
  </si>
  <si>
    <t>09794893420</t>
  </si>
  <si>
    <t xml:space="preserve">TARCISIO CLEBER ARAUJO SILVA  </t>
  </si>
  <si>
    <t>09421567498</t>
  </si>
  <si>
    <t xml:space="preserve">THAIS CAROLINE NUNES DA SILVA </t>
  </si>
  <si>
    <t>09083019446</t>
  </si>
  <si>
    <t>THAISA PEREIRA DORNELAS</t>
  </si>
  <si>
    <t>06440151444</t>
  </si>
  <si>
    <t xml:space="preserve">THAMIRIS MORAES DE MACEDO     </t>
  </si>
  <si>
    <t>09853742411</t>
  </si>
  <si>
    <t xml:space="preserve">THIAGO LINS DA SILVA          </t>
  </si>
  <si>
    <t>00888757417</t>
  </si>
  <si>
    <t xml:space="preserve">VALDOMIRO JOSE DE SANTANA     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</si>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</sst>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8"/>
      <color indexed="56"/>
      <name val="Cambria"/>
      <family val="2"/>
      <charset val="1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92">
    <xf numFmtId="0" fontId="0" fillId="0" borderId="0"/>
    <xf numFmtId="0" fontId="18" fillId="0" borderId="0" applyBorder="0" applyProtection="0"/>
    <xf numFmtId="164" fontId="20" fillId="0" borderId="0" applyBorder="0" applyProtection="0"/>
    <xf numFmtId="0" fontId="1" fillId="0" borderId="0"/>
    <xf numFmtId="164" fontId="25" fillId="0" borderId="0" applyBorder="0" applyProtection="0"/>
    <xf numFmtId="0" fontId="26" fillId="0" borderId="0" applyBorder="0" applyProtection="0"/>
    <xf numFmtId="0" fontId="25" fillId="0" borderId="0"/>
    <xf numFmtId="0" fontId="20" fillId="0" borderId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66" borderId="0" applyNumberFormat="0" applyBorder="0" applyAlignment="0" applyProtection="0"/>
    <xf numFmtId="0" fontId="34" fillId="6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68" borderId="0" applyNumberFormat="0" applyBorder="0" applyAlignment="0" applyProtection="0"/>
    <xf numFmtId="0" fontId="17" fillId="12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16" borderId="0" applyNumberFormat="0" applyBorder="0" applyAlignment="0" applyProtection="0"/>
    <xf numFmtId="0" fontId="35" fillId="58" borderId="0" applyNumberFormat="0" applyBorder="0" applyAlignment="0" applyProtection="0"/>
    <xf numFmtId="0" fontId="35" fillId="59" borderId="0" applyNumberFormat="0" applyBorder="0" applyAlignment="0" applyProtection="0"/>
    <xf numFmtId="0" fontId="17" fillId="72" borderId="0" applyNumberFormat="0" applyBorder="0" applyAlignment="0" applyProtection="0"/>
    <xf numFmtId="0" fontId="17" fillId="20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17" fillId="73" borderId="0" applyNumberFormat="0" applyBorder="0" applyAlignment="0" applyProtection="0"/>
    <xf numFmtId="0" fontId="17" fillId="24" borderId="0" applyNumberFormat="0" applyBorder="0" applyAlignment="0" applyProtection="0"/>
    <xf numFmtId="0" fontId="35" fillId="74" borderId="0" applyNumberFormat="0" applyBorder="0" applyAlignment="0" applyProtection="0"/>
    <xf numFmtId="0" fontId="35" fillId="75" borderId="0" applyNumberFormat="0" applyBorder="0" applyAlignment="0" applyProtection="0"/>
    <xf numFmtId="0" fontId="17" fillId="76" borderId="0" applyNumberFormat="0" applyBorder="0" applyAlignment="0" applyProtection="0"/>
    <xf numFmtId="0" fontId="17" fillId="28" borderId="0" applyNumberFormat="0" applyBorder="0" applyAlignment="0" applyProtection="0"/>
    <xf numFmtId="0" fontId="35" fillId="77" borderId="0" applyNumberFormat="0" applyBorder="0" applyAlignment="0" applyProtection="0"/>
    <xf numFmtId="0" fontId="35" fillId="78" borderId="0" applyNumberFormat="0" applyBorder="0" applyAlignment="0" applyProtection="0"/>
    <xf numFmtId="0" fontId="17" fillId="79" borderId="0" applyNumberFormat="0" applyBorder="0" applyAlignment="0" applyProtection="0"/>
    <xf numFmtId="0" fontId="17" fillId="32" borderId="0" applyNumberFormat="0" applyBorder="0" applyAlignment="0" applyProtection="0"/>
    <xf numFmtId="0" fontId="35" fillId="80" borderId="0" applyNumberFormat="0" applyBorder="0" applyAlignment="0" applyProtection="0"/>
    <xf numFmtId="0" fontId="35" fillId="81" borderId="0" applyNumberFormat="0" applyBorder="0" applyAlignment="0" applyProtection="0"/>
    <xf numFmtId="0" fontId="6" fillId="82" borderId="0" applyNumberFormat="0" applyBorder="0" applyAlignment="0" applyProtection="0"/>
    <xf numFmtId="0" fontId="6" fillId="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11" fillId="83" borderId="4" applyNumberFormat="0" applyAlignment="0" applyProtection="0"/>
    <xf numFmtId="0" fontId="11" fillId="6" borderId="4" applyNumberFormat="0" applyAlignment="0" applyProtection="0"/>
    <xf numFmtId="0" fontId="37" fillId="84" borderId="12" applyNumberFormat="0" applyAlignment="0" applyProtection="0"/>
    <xf numFmtId="0" fontId="37" fillId="85" borderId="12" applyNumberFormat="0" applyAlignment="0" applyProtection="0"/>
    <xf numFmtId="0" fontId="13" fillId="86" borderId="7" applyNumberFormat="0" applyAlignment="0" applyProtection="0"/>
    <xf numFmtId="0" fontId="13" fillId="7" borderId="7" applyNumberFormat="0" applyAlignment="0" applyProtection="0"/>
    <xf numFmtId="0" fontId="38" fillId="87" borderId="13" applyNumberFormat="0" applyAlignment="0" applyProtection="0"/>
    <xf numFmtId="0" fontId="38" fillId="88" borderId="13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17" fillId="89" borderId="0" applyNumberFormat="0" applyBorder="0" applyAlignment="0" applyProtection="0"/>
    <xf numFmtId="0" fontId="17" fillId="9" borderId="0" applyNumberFormat="0" applyBorder="0" applyAlignment="0" applyProtection="0"/>
    <xf numFmtId="0" fontId="35" fillId="90" borderId="0" applyNumberFormat="0" applyBorder="0" applyAlignment="0" applyProtection="0"/>
    <xf numFmtId="0" fontId="35" fillId="91" borderId="0" applyNumberFormat="0" applyBorder="0" applyAlignment="0" applyProtection="0"/>
    <xf numFmtId="0" fontId="17" fillId="92" borderId="0" applyNumberFormat="0" applyBorder="0" applyAlignment="0" applyProtection="0"/>
    <xf numFmtId="0" fontId="17" fillId="13" borderId="0" applyNumberFormat="0" applyBorder="0" applyAlignment="0" applyProtection="0"/>
    <xf numFmtId="0" fontId="35" fillId="93" borderId="0" applyNumberFormat="0" applyBorder="0" applyAlignment="0" applyProtection="0"/>
    <xf numFmtId="0" fontId="35" fillId="94" borderId="0" applyNumberFormat="0" applyBorder="0" applyAlignment="0" applyProtection="0"/>
    <xf numFmtId="0" fontId="17" fillId="95" borderId="0" applyNumberFormat="0" applyBorder="0" applyAlignment="0" applyProtection="0"/>
    <xf numFmtId="0" fontId="17" fillId="17" borderId="0" applyNumberFormat="0" applyBorder="0" applyAlignment="0" applyProtection="0"/>
    <xf numFmtId="0" fontId="35" fillId="96" borderId="0" applyNumberFormat="0" applyBorder="0" applyAlignment="0" applyProtection="0"/>
    <xf numFmtId="0" fontId="35" fillId="97" borderId="0" applyNumberFormat="0" applyBorder="0" applyAlignment="0" applyProtection="0"/>
    <xf numFmtId="0" fontId="17" fillId="98" borderId="0" applyNumberFormat="0" applyBorder="0" applyAlignment="0" applyProtection="0"/>
    <xf numFmtId="0" fontId="17" fillId="21" borderId="0" applyNumberFormat="0" applyBorder="0" applyAlignment="0" applyProtection="0"/>
    <xf numFmtId="0" fontId="35" fillId="74" borderId="0" applyNumberFormat="0" applyBorder="0" applyAlignment="0" applyProtection="0"/>
    <xf numFmtId="0" fontId="35" fillId="75" borderId="0" applyNumberFormat="0" applyBorder="0" applyAlignment="0" applyProtection="0"/>
    <xf numFmtId="0" fontId="17" fillId="99" borderId="0" applyNumberFormat="0" applyBorder="0" applyAlignment="0" applyProtection="0"/>
    <xf numFmtId="0" fontId="17" fillId="25" borderId="0" applyNumberFormat="0" applyBorder="0" applyAlignment="0" applyProtection="0"/>
    <xf numFmtId="0" fontId="35" fillId="77" borderId="0" applyNumberFormat="0" applyBorder="0" applyAlignment="0" applyProtection="0"/>
    <xf numFmtId="0" fontId="35" fillId="78" borderId="0" applyNumberFormat="0" applyBorder="0" applyAlignment="0" applyProtection="0"/>
    <xf numFmtId="0" fontId="17" fillId="100" borderId="0" applyNumberFormat="0" applyBorder="0" applyAlignment="0" applyProtection="0"/>
    <xf numFmtId="0" fontId="17" fillId="29" borderId="0" applyNumberFormat="0" applyBorder="0" applyAlignment="0" applyProtection="0"/>
    <xf numFmtId="0" fontId="35" fillId="101" borderId="0" applyNumberFormat="0" applyBorder="0" applyAlignment="0" applyProtection="0"/>
    <xf numFmtId="0" fontId="35" fillId="102" borderId="0" applyNumberFormat="0" applyBorder="0" applyAlignment="0" applyProtection="0"/>
    <xf numFmtId="0" fontId="9" fillId="103" borderId="4" applyNumberFormat="0" applyAlignment="0" applyProtection="0"/>
    <xf numFmtId="0" fontId="9" fillId="5" borderId="4" applyNumberFormat="0" applyAlignment="0" applyProtection="0"/>
    <xf numFmtId="0" fontId="40" fillId="52" borderId="12" applyNumberFormat="0" applyAlignment="0" applyProtection="0"/>
    <xf numFmtId="0" fontId="40" fillId="53" borderId="12" applyNumberFormat="0" applyAlignment="0" applyProtection="0"/>
    <xf numFmtId="167" fontId="34" fillId="0" borderId="0" applyBorder="0" applyProtection="0"/>
    <xf numFmtId="167" fontId="34" fillId="0" borderId="0" applyBorder="0" applyProtection="0"/>
    <xf numFmtId="0" fontId="20" fillId="0" borderId="0"/>
    <xf numFmtId="0" fontId="41" fillId="0" borderId="0" applyNumberFormat="0" applyFill="0" applyBorder="0" applyAlignment="0" applyProtection="0"/>
    <xf numFmtId="0" fontId="7" fillId="104" borderId="0" applyNumberFormat="0" applyBorder="0" applyAlignment="0" applyProtection="0"/>
    <xf numFmtId="0" fontId="7" fillId="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105" borderId="0" applyNumberFormat="0" applyBorder="0" applyAlignment="0" applyProtection="0"/>
    <xf numFmtId="0" fontId="8" fillId="4" borderId="0" applyNumberFormat="0" applyBorder="0" applyAlignment="0" applyProtection="0"/>
    <xf numFmtId="0" fontId="44" fillId="106" borderId="0" applyNumberFormat="0" applyBorder="0" applyAlignment="0" applyProtection="0"/>
    <xf numFmtId="0" fontId="44" fillId="10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4" fillId="109" borderId="15" applyNumberFormat="0" applyFont="0" applyAlignment="0" applyProtection="0"/>
    <xf numFmtId="0" fontId="34" fillId="110" borderId="15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" fillId="83" borderId="5" applyNumberFormat="0" applyAlignment="0" applyProtection="0"/>
    <xf numFmtId="0" fontId="10" fillId="6" borderId="5" applyNumberFormat="0" applyAlignment="0" applyProtection="0"/>
    <xf numFmtId="0" fontId="46" fillId="84" borderId="16" applyNumberFormat="0" applyAlignment="0" applyProtection="0"/>
    <xf numFmtId="0" fontId="46" fillId="85" borderId="16" applyNumberFormat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3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</xf>
    <xf numFmtId="0" fontId="19" fillId="33" borderId="10" xfId="1" applyFont="1" applyFill="1" applyBorder="1" applyAlignment="1" applyProtection="1">
      <alignment horizontal="center" vertical="center"/>
    </xf>
    <xf numFmtId="165" fontId="19" fillId="33" borderId="10" xfId="2" applyNumberFormat="1" applyFont="1" applyFill="1" applyBorder="1" applyAlignment="1" applyProtection="1">
      <alignment horizontal="center" vertical="center" wrapText="1"/>
    </xf>
    <xf numFmtId="0" fontId="21" fillId="0" borderId="0" xfId="1" applyFont="1" applyBorder="1" applyAlignment="1" applyProtection="1">
      <alignment vertical="center"/>
      <protection locked="0"/>
    </xf>
    <xf numFmtId="49" fontId="22" fillId="34" borderId="11" xfId="0" applyNumberFormat="1" applyFont="1" applyFill="1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49" fontId="23" fillId="34" borderId="10" xfId="0" applyNumberFormat="1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2" fillId="34" borderId="10" xfId="3" applyNumberFormat="1" applyFont="1" applyFill="1" applyBorder="1" applyAlignment="1" applyProtection="1">
      <alignment horizontal="center"/>
      <protection locked="0"/>
    </xf>
    <xf numFmtId="49" fontId="24" fillId="34" borderId="10" xfId="1" applyNumberFormat="1" applyFont="1" applyFill="1" applyBorder="1" applyAlignment="1" applyProtection="1">
      <alignment horizontal="center" vertical="center"/>
      <protection locked="0"/>
    </xf>
    <xf numFmtId="2" fontId="24" fillId="34" borderId="10" xfId="4" applyNumberFormat="1" applyFont="1" applyFill="1" applyBorder="1" applyAlignment="1" applyProtection="1">
      <alignment horizontal="right" vertical="center"/>
    </xf>
    <xf numFmtId="2" fontId="24" fillId="0" borderId="10" xfId="4" applyNumberFormat="1" applyFont="1" applyFill="1" applyBorder="1" applyAlignment="1" applyProtection="1">
      <alignment horizontal="right" vertical="center"/>
    </xf>
    <xf numFmtId="2" fontId="24" fillId="0" borderId="10" xfId="5" applyNumberFormat="1" applyFont="1" applyFill="1" applyBorder="1" applyAlignment="1" applyProtection="1">
      <alignment horizontal="center" vertical="center"/>
      <protection locked="0"/>
    </xf>
    <xf numFmtId="2" fontId="23" fillId="0" borderId="10" xfId="4" applyNumberFormat="1" applyFont="1" applyFill="1" applyBorder="1" applyAlignment="1" applyProtection="1">
      <alignment horizontal="right" vertical="center"/>
    </xf>
    <xf numFmtId="2" fontId="22" fillId="0" borderId="10" xfId="4" applyNumberFormat="1" applyFont="1" applyFill="1" applyBorder="1" applyAlignment="1" applyProtection="1">
      <alignment horizontal="center" vertical="center"/>
    </xf>
    <xf numFmtId="2" fontId="22" fillId="0" borderId="10" xfId="4" applyNumberFormat="1" applyFont="1" applyFill="1" applyBorder="1" applyAlignment="1" applyProtection="1">
      <alignment horizontal="right" vertical="center"/>
    </xf>
    <xf numFmtId="0" fontId="27" fillId="34" borderId="0" xfId="1" applyFont="1" applyFill="1" applyBorder="1" applyAlignment="1" applyProtection="1">
      <alignment horizontal="left" vertical="center"/>
      <protection locked="0"/>
    </xf>
    <xf numFmtId="0" fontId="28" fillId="34" borderId="10" xfId="3" applyNumberFormat="1" applyFont="1" applyFill="1" applyBorder="1" applyAlignment="1" applyProtection="1">
      <alignment horizontal="center" wrapText="1"/>
      <protection locked="0"/>
    </xf>
    <xf numFmtId="0" fontId="27" fillId="34" borderId="0" xfId="1" applyFont="1" applyFill="1" applyBorder="1" applyAlignment="1" applyProtection="1">
      <alignment vertical="center"/>
      <protection locked="0"/>
    </xf>
    <xf numFmtId="0" fontId="27" fillId="34" borderId="0" xfId="3" applyFont="1" applyFill="1" applyProtection="1"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2" fontId="22" fillId="34" borderId="10" xfId="4" applyNumberFormat="1" applyFont="1" applyFill="1" applyBorder="1" applyAlignment="1" applyProtection="1">
      <alignment horizontal="right" vertical="center"/>
    </xf>
    <xf numFmtId="0" fontId="22" fillId="34" borderId="10" xfId="5" applyNumberFormat="1" applyFont="1" applyFill="1" applyBorder="1" applyAlignment="1" applyProtection="1">
      <alignment horizontal="center" vertical="center"/>
      <protection locked="0"/>
    </xf>
    <xf numFmtId="0" fontId="22" fillId="34" borderId="10" xfId="3" applyNumberFormat="1" applyFont="1" applyFill="1" applyBorder="1" applyAlignment="1" applyProtection="1">
      <alignment horizontal="center" wrapText="1"/>
      <protection locked="0"/>
    </xf>
    <xf numFmtId="0" fontId="22" fillId="34" borderId="10" xfId="3" applyFont="1" applyFill="1" applyBorder="1" applyAlignment="1" applyProtection="1">
      <alignment horizontal="center"/>
      <protection locked="0"/>
    </xf>
    <xf numFmtId="0" fontId="22" fillId="34" borderId="10" xfId="6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2" fillId="34" borderId="10" xfId="6" applyNumberFormat="1" applyFont="1" applyFill="1" applyBorder="1" applyAlignment="1" applyProtection="1">
      <alignment horizontal="center"/>
      <protection locked="0"/>
    </xf>
    <xf numFmtId="0" fontId="23" fillId="35" borderId="10" xfId="0" applyFont="1" applyFill="1" applyBorder="1" applyAlignment="1" applyProtection="1">
      <alignment horizontal="center"/>
      <protection locked="0"/>
    </xf>
    <xf numFmtId="0" fontId="22" fillId="35" borderId="10" xfId="3" applyNumberFormat="1" applyFont="1" applyFill="1" applyBorder="1" applyAlignment="1" applyProtection="1">
      <alignment horizontal="center"/>
      <protection locked="0"/>
    </xf>
    <xf numFmtId="0" fontId="28" fillId="35" borderId="10" xfId="3" applyFont="1" applyFill="1" applyBorder="1" applyAlignment="1" applyProtection="1">
      <alignment horizontal="center" wrapText="1"/>
      <protection locked="0"/>
    </xf>
    <xf numFmtId="0" fontId="22" fillId="35" borderId="10" xfId="3" applyFont="1" applyFill="1" applyBorder="1" applyAlignment="1" applyProtection="1">
      <alignment horizontal="center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2" fontId="24" fillId="0" borderId="10" xfId="4" applyNumberFormat="1" applyFont="1" applyFill="1" applyBorder="1" applyAlignment="1" applyProtection="1">
      <alignment horizontal="right" vertical="center"/>
      <protection locked="0"/>
    </xf>
    <xf numFmtId="0" fontId="29" fillId="34" borderId="0" xfId="7" applyFont="1" applyFill="1" applyProtection="1">
      <protection locked="0"/>
    </xf>
    <xf numFmtId="0" fontId="27" fillId="34" borderId="0" xfId="7" applyFont="1" applyFill="1" applyProtection="1">
      <protection locked="0"/>
    </xf>
    <xf numFmtId="0" fontId="22" fillId="35" borderId="10" xfId="6" applyNumberFormat="1" applyFont="1" applyFill="1" applyBorder="1" applyAlignment="1" applyProtection="1">
      <alignment horizontal="center"/>
      <protection locked="0"/>
    </xf>
    <xf numFmtId="0" fontId="28" fillId="35" borderId="10" xfId="3" applyNumberFormat="1" applyFont="1" applyFill="1" applyBorder="1" applyAlignment="1" applyProtection="1">
      <alignment horizontal="center" wrapText="1"/>
      <protection locked="0"/>
    </xf>
    <xf numFmtId="0" fontId="22" fillId="34" borderId="10" xfId="7" applyFont="1" applyFill="1" applyBorder="1" applyAlignment="1" applyProtection="1">
      <alignment horizontal="center"/>
      <protection locked="0"/>
    </xf>
    <xf numFmtId="0" fontId="22" fillId="35" borderId="10" xfId="0" applyFont="1" applyFill="1" applyBorder="1" applyAlignment="1" applyProtection="1">
      <alignment horizontal="center"/>
      <protection locked="0"/>
    </xf>
    <xf numFmtId="0" fontId="22" fillId="35" borderId="10" xfId="5" applyNumberFormat="1" applyFont="1" applyFill="1" applyBorder="1" applyAlignment="1" applyProtection="1">
      <alignment horizontal="center" vertical="center"/>
      <protection locked="0"/>
    </xf>
    <xf numFmtId="0" fontId="29" fillId="34" borderId="0" xfId="7" applyFont="1" applyFill="1" applyBorder="1" applyProtection="1">
      <protection locked="0"/>
    </xf>
    <xf numFmtId="0" fontId="29" fillId="34" borderId="10" xfId="7" applyFont="1" applyFill="1" applyBorder="1" applyProtection="1">
      <protection locked="0"/>
    </xf>
    <xf numFmtId="0" fontId="22" fillId="34" borderId="10" xfId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49" fontId="24" fillId="34" borderId="10" xfId="5" applyNumberFormat="1" applyFont="1" applyFill="1" applyBorder="1" applyAlignment="1" applyProtection="1">
      <alignment horizontal="center" vertical="center"/>
      <protection locked="0"/>
    </xf>
    <xf numFmtId="0" fontId="22" fillId="35" borderId="10" xfId="6" applyFont="1" applyFill="1" applyBorder="1" applyAlignment="1" applyProtection="1">
      <alignment horizontal="center"/>
      <protection locked="0"/>
    </xf>
    <xf numFmtId="49" fontId="27" fillId="34" borderId="10" xfId="1" applyNumberFormat="1" applyFont="1" applyFill="1" applyBorder="1" applyAlignment="1" applyProtection="1">
      <alignment horizontal="center" vertical="center"/>
      <protection locked="0"/>
    </xf>
    <xf numFmtId="0" fontId="27" fillId="34" borderId="10" xfId="1" applyFont="1" applyFill="1" applyBorder="1" applyAlignment="1" applyProtection="1">
      <alignment horizontal="center" vertical="center"/>
      <protection locked="0"/>
    </xf>
    <xf numFmtId="49" fontId="30" fillId="34" borderId="10" xfId="1" applyNumberFormat="1" applyFont="1" applyFill="1" applyBorder="1" applyAlignment="1" applyProtection="1">
      <alignment horizontal="center" vertical="center"/>
      <protection locked="0"/>
    </xf>
    <xf numFmtId="0" fontId="31" fillId="34" borderId="10" xfId="7" applyFont="1" applyFill="1" applyBorder="1" applyAlignment="1" applyProtection="1">
      <alignment horizontal="left"/>
      <protection locked="0"/>
    </xf>
    <xf numFmtId="0" fontId="31" fillId="34" borderId="10" xfId="7" applyFont="1" applyFill="1" applyBorder="1" applyAlignment="1" applyProtection="1">
      <alignment horizontal="center"/>
      <protection locked="0"/>
    </xf>
    <xf numFmtId="166" fontId="30" fillId="34" borderId="10" xfId="2" applyNumberFormat="1" applyFont="1" applyFill="1" applyBorder="1" applyAlignment="1" applyProtection="1">
      <alignment horizontal="right" vertical="center"/>
    </xf>
    <xf numFmtId="0" fontId="32" fillId="0" borderId="10" xfId="3" applyFont="1" applyBorder="1" applyAlignment="1" applyProtection="1">
      <alignment horizontal="center" wrapText="1"/>
      <protection locked="0"/>
    </xf>
    <xf numFmtId="0" fontId="31" fillId="0" borderId="10" xfId="7" applyFont="1" applyBorder="1" applyAlignment="1" applyProtection="1">
      <alignment horizontal="center"/>
      <protection locked="0"/>
    </xf>
    <xf numFmtId="0" fontId="33" fillId="0" borderId="0" xfId="1" applyFont="1" applyBorder="1" applyAlignment="1" applyProtection="1">
      <alignment vertical="center"/>
      <protection locked="0"/>
    </xf>
    <xf numFmtId="0" fontId="33" fillId="0" borderId="0" xfId="1" applyFont="1" applyBorder="1" applyAlignment="1" applyProtection="1">
      <alignment horizontal="center" vertical="center"/>
      <protection locked="0"/>
    </xf>
    <xf numFmtId="0" fontId="33" fillId="0" borderId="0" xfId="1" applyFont="1" applyBorder="1" applyAlignment="1" applyProtection="1">
      <alignment horizontal="left" vertical="center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1" fontId="33" fillId="0" borderId="0" xfId="1" applyNumberFormat="1" applyFont="1" applyBorder="1" applyAlignment="1" applyProtection="1">
      <alignment horizontal="center" vertical="center"/>
      <protection locked="0"/>
    </xf>
    <xf numFmtId="165" fontId="33" fillId="0" borderId="0" xfId="2" applyNumberFormat="1" applyFont="1" applyBorder="1" applyAlignment="1" applyProtection="1">
      <alignment horizontal="center" vertical="center"/>
      <protection locked="0"/>
    </xf>
  </cellXfs>
  <cellStyles count="1692">
    <cellStyle name="20% - Ênfase1 10" xfId="8"/>
    <cellStyle name="20% - Ênfase1 10 2" xfId="9"/>
    <cellStyle name="20% - Ênfase1 10 2 2" xfId="10"/>
    <cellStyle name="20% - Ênfase1 10 2 3" xfId="11"/>
    <cellStyle name="20% - Ênfase1 10 3" xfId="12"/>
    <cellStyle name="20% - Ênfase1 10 4" xfId="13"/>
    <cellStyle name="20% - Ênfase1 11" xfId="14"/>
    <cellStyle name="20% - Ênfase1 11 2" xfId="15"/>
    <cellStyle name="20% - Ênfase1 11 2 2" xfId="16"/>
    <cellStyle name="20% - Ênfase1 11 2 3" xfId="17"/>
    <cellStyle name="20% - Ênfase1 11 3" xfId="18"/>
    <cellStyle name="20% - Ênfase1 11 4" xfId="19"/>
    <cellStyle name="20% - Ênfase1 12" xfId="20"/>
    <cellStyle name="20% - Ênfase1 12 2" xfId="21"/>
    <cellStyle name="20% - Ênfase1 12 3" xfId="22"/>
    <cellStyle name="20% - Ênfase1 13" xfId="23"/>
    <cellStyle name="20% - Ênfase1 13 2" xfId="24"/>
    <cellStyle name="20% - Ênfase1 13 3" xfId="25"/>
    <cellStyle name="20% - Ênfase1 14" xfId="26"/>
    <cellStyle name="20% - Ênfase1 14 2" xfId="27"/>
    <cellStyle name="20% - Ênfase1 14 3" xfId="28"/>
    <cellStyle name="20% - Ênfase1 15" xfId="29"/>
    <cellStyle name="20% - Ênfase1 15 2" xfId="30"/>
    <cellStyle name="20% - Ênfase1 15 3" xfId="31"/>
    <cellStyle name="20% - Ênfase1 16" xfId="32"/>
    <cellStyle name="20% - Ênfase1 16 2" xfId="33"/>
    <cellStyle name="20% - Ênfase1 16 3" xfId="34"/>
    <cellStyle name="20% - Ênfase1 17" xfId="35"/>
    <cellStyle name="20% - Ênfase1 17 2" xfId="36"/>
    <cellStyle name="20% - Ênfase1 17 3" xfId="37"/>
    <cellStyle name="20% - Ênfase1 18" xfId="38"/>
    <cellStyle name="20% - Ênfase1 18 2" xfId="39"/>
    <cellStyle name="20% - Ênfase1 18 3" xfId="40"/>
    <cellStyle name="20% - Ênfase1 19" xfId="41"/>
    <cellStyle name="20% - Ênfase1 19 2" xfId="42"/>
    <cellStyle name="20% - Ênfase1 19 3" xfId="43"/>
    <cellStyle name="20% - Ênfase1 2" xfId="44"/>
    <cellStyle name="20% - Ênfase1 2 2" xfId="45"/>
    <cellStyle name="20% - Ênfase1 2 2 2" xfId="46"/>
    <cellStyle name="20% - Ênfase1 2 2 3" xfId="47"/>
    <cellStyle name="20% - Ênfase1 2 3" xfId="48"/>
    <cellStyle name="20% - Ênfase1 2 4" xfId="49"/>
    <cellStyle name="20% - Ênfase1 20" xfId="50"/>
    <cellStyle name="20% - Ênfase1 20 2" xfId="51"/>
    <cellStyle name="20% - Ênfase1 20 3" xfId="52"/>
    <cellStyle name="20% - Ênfase1 21" xfId="53"/>
    <cellStyle name="20% - Ênfase1 21 2" xfId="54"/>
    <cellStyle name="20% - Ênfase1 21 3" xfId="55"/>
    <cellStyle name="20% - Ênfase1 22" xfId="56"/>
    <cellStyle name="20% - Ênfase1 22 2" xfId="57"/>
    <cellStyle name="20% - Ênfase1 22 3" xfId="58"/>
    <cellStyle name="20% - Ênfase1 23" xfId="59"/>
    <cellStyle name="20% - Ênfase1 23 2" xfId="60"/>
    <cellStyle name="20% - Ênfase1 3" xfId="61"/>
    <cellStyle name="20% - Ênfase1 3 2" xfId="62"/>
    <cellStyle name="20% - Ênfase1 3 2 2" xfId="63"/>
    <cellStyle name="20% - Ênfase1 3 2 3" xfId="64"/>
    <cellStyle name="20% - Ênfase1 3 3" xfId="65"/>
    <cellStyle name="20% - Ênfase1 3 4" xfId="66"/>
    <cellStyle name="20% - Ênfase1 4" xfId="67"/>
    <cellStyle name="20% - Ênfase1 4 2" xfId="68"/>
    <cellStyle name="20% - Ênfase1 4 2 2" xfId="69"/>
    <cellStyle name="20% - Ênfase1 4 2 3" xfId="70"/>
    <cellStyle name="20% - Ênfase1 4 3" xfId="71"/>
    <cellStyle name="20% - Ênfase1 4 4" xfId="72"/>
    <cellStyle name="20% - Ênfase1 5" xfId="73"/>
    <cellStyle name="20% - Ênfase1 5 2" xfId="74"/>
    <cellStyle name="20% - Ênfase1 5 2 2" xfId="75"/>
    <cellStyle name="20% - Ênfase1 5 2 3" xfId="76"/>
    <cellStyle name="20% - Ênfase1 5 3" xfId="77"/>
    <cellStyle name="20% - Ênfase1 5 4" xfId="78"/>
    <cellStyle name="20% - Ênfase1 6" xfId="79"/>
    <cellStyle name="20% - Ênfase1 6 2" xfId="80"/>
    <cellStyle name="20% - Ênfase1 6 2 2" xfId="81"/>
    <cellStyle name="20% - Ênfase1 6 2 3" xfId="82"/>
    <cellStyle name="20% - Ênfase1 6 3" xfId="83"/>
    <cellStyle name="20% - Ênfase1 6 4" xfId="84"/>
    <cellStyle name="20% - Ênfase1 7" xfId="85"/>
    <cellStyle name="20% - Ênfase1 7 2" xfId="86"/>
    <cellStyle name="20% - Ênfase1 7 2 2" xfId="87"/>
    <cellStyle name="20% - Ênfase1 7 2 3" xfId="88"/>
    <cellStyle name="20% - Ênfase1 7 3" xfId="89"/>
    <cellStyle name="20% - Ênfase1 7 4" xfId="90"/>
    <cellStyle name="20% - Ênfase1 8" xfId="91"/>
    <cellStyle name="20% - Ênfase1 8 2" xfId="92"/>
    <cellStyle name="20% - Ênfase1 8 2 2" xfId="93"/>
    <cellStyle name="20% - Ênfase1 8 2 3" xfId="94"/>
    <cellStyle name="20% - Ênfase1 8 3" xfId="95"/>
    <cellStyle name="20% - Ênfase1 8 4" xfId="96"/>
    <cellStyle name="20% - Ênfase1 9" xfId="97"/>
    <cellStyle name="20% - Ênfase1 9 2" xfId="98"/>
    <cellStyle name="20% - Ênfase1 9 2 2" xfId="99"/>
    <cellStyle name="20% - Ênfase1 9 2 3" xfId="100"/>
    <cellStyle name="20% - Ênfase1 9 3" xfId="101"/>
    <cellStyle name="20% - Ênfase1 9 4" xfId="102"/>
    <cellStyle name="20% - Ênfase2 10" xfId="103"/>
    <cellStyle name="20% - Ênfase2 10 2" xfId="104"/>
    <cellStyle name="20% - Ênfase2 10 2 2" xfId="105"/>
    <cellStyle name="20% - Ênfase2 10 2 3" xfId="106"/>
    <cellStyle name="20% - Ênfase2 10 3" xfId="107"/>
    <cellStyle name="20% - Ênfase2 10 4" xfId="108"/>
    <cellStyle name="20% - Ênfase2 11" xfId="109"/>
    <cellStyle name="20% - Ênfase2 11 2" xfId="110"/>
    <cellStyle name="20% - Ênfase2 11 3" xfId="111"/>
    <cellStyle name="20% - Ênfase2 12" xfId="112"/>
    <cellStyle name="20% - Ênfase2 12 2" xfId="113"/>
    <cellStyle name="20% - Ênfase2 12 3" xfId="114"/>
    <cellStyle name="20% - Ênfase2 13" xfId="115"/>
    <cellStyle name="20% - Ênfase2 13 2" xfId="116"/>
    <cellStyle name="20% - Ênfase2 13 3" xfId="117"/>
    <cellStyle name="20% - Ênfase2 14" xfId="118"/>
    <cellStyle name="20% - Ênfase2 14 2" xfId="119"/>
    <cellStyle name="20% - Ênfase2 14 3" xfId="120"/>
    <cellStyle name="20% - Ênfase2 15" xfId="121"/>
    <cellStyle name="20% - Ênfase2 15 2" xfId="122"/>
    <cellStyle name="20% - Ênfase2 15 3" xfId="123"/>
    <cellStyle name="20% - Ênfase2 16" xfId="124"/>
    <cellStyle name="20% - Ênfase2 16 2" xfId="125"/>
    <cellStyle name="20% - Ênfase2 16 3" xfId="126"/>
    <cellStyle name="20% - Ênfase2 17" xfId="127"/>
    <cellStyle name="20% - Ênfase2 17 2" xfId="128"/>
    <cellStyle name="20% - Ênfase2 17 3" xfId="129"/>
    <cellStyle name="20% - Ênfase2 18" xfId="130"/>
    <cellStyle name="20% - Ênfase2 18 2" xfId="131"/>
    <cellStyle name="20% - Ênfase2 18 3" xfId="132"/>
    <cellStyle name="20% - Ênfase2 19" xfId="133"/>
    <cellStyle name="20% - Ênfase2 19 2" xfId="134"/>
    <cellStyle name="20% - Ênfase2 19 3" xfId="135"/>
    <cellStyle name="20% - Ênfase2 2" xfId="136"/>
    <cellStyle name="20% - Ênfase2 2 2" xfId="137"/>
    <cellStyle name="20% - Ênfase2 2 2 2" xfId="138"/>
    <cellStyle name="20% - Ênfase2 2 2 3" xfId="139"/>
    <cellStyle name="20% - Ênfase2 2 3" xfId="140"/>
    <cellStyle name="20% - Ênfase2 2 4" xfId="141"/>
    <cellStyle name="20% - Ênfase2 20" xfId="142"/>
    <cellStyle name="20% - Ênfase2 20 2" xfId="143"/>
    <cellStyle name="20% - Ênfase2 20 3" xfId="144"/>
    <cellStyle name="20% - Ênfase2 21" xfId="145"/>
    <cellStyle name="20% - Ênfase2 21 2" xfId="146"/>
    <cellStyle name="20% - Ênfase2 21 3" xfId="147"/>
    <cellStyle name="20% - Ênfase2 22" xfId="148"/>
    <cellStyle name="20% - Ênfase2 22 2" xfId="149"/>
    <cellStyle name="20% - Ênfase2 3" xfId="150"/>
    <cellStyle name="20% - Ênfase2 3 2" xfId="151"/>
    <cellStyle name="20% - Ênfase2 3 2 2" xfId="152"/>
    <cellStyle name="20% - Ênfase2 3 2 3" xfId="153"/>
    <cellStyle name="20% - Ênfase2 3 3" xfId="154"/>
    <cellStyle name="20% - Ênfase2 3 4" xfId="155"/>
    <cellStyle name="20% - Ênfase2 4" xfId="156"/>
    <cellStyle name="20% - Ênfase2 4 2" xfId="157"/>
    <cellStyle name="20% - Ênfase2 4 2 2" xfId="158"/>
    <cellStyle name="20% - Ênfase2 4 2 3" xfId="159"/>
    <cellStyle name="20% - Ênfase2 4 3" xfId="160"/>
    <cellStyle name="20% - Ênfase2 4 4" xfId="161"/>
    <cellStyle name="20% - Ênfase2 5" xfId="162"/>
    <cellStyle name="20% - Ênfase2 5 2" xfId="163"/>
    <cellStyle name="20% - Ênfase2 5 2 2" xfId="164"/>
    <cellStyle name="20% - Ênfase2 5 2 3" xfId="165"/>
    <cellStyle name="20% - Ênfase2 5 3" xfId="166"/>
    <cellStyle name="20% - Ênfase2 5 4" xfId="167"/>
    <cellStyle name="20% - Ênfase2 6" xfId="168"/>
    <cellStyle name="20% - Ênfase2 6 2" xfId="169"/>
    <cellStyle name="20% - Ênfase2 6 2 2" xfId="170"/>
    <cellStyle name="20% - Ênfase2 6 2 3" xfId="171"/>
    <cellStyle name="20% - Ênfase2 6 3" xfId="172"/>
    <cellStyle name="20% - Ênfase2 6 4" xfId="173"/>
    <cellStyle name="20% - Ênfase2 7" xfId="174"/>
    <cellStyle name="20% - Ênfase2 7 2" xfId="175"/>
    <cellStyle name="20% - Ênfase2 7 2 2" xfId="176"/>
    <cellStyle name="20% - Ênfase2 7 2 3" xfId="177"/>
    <cellStyle name="20% - Ênfase2 7 3" xfId="178"/>
    <cellStyle name="20% - Ênfase2 7 4" xfId="179"/>
    <cellStyle name="20% - Ênfase2 8" xfId="180"/>
    <cellStyle name="20% - Ênfase2 8 2" xfId="181"/>
    <cellStyle name="20% - Ênfase2 8 2 2" xfId="182"/>
    <cellStyle name="20% - Ênfase2 8 2 3" xfId="183"/>
    <cellStyle name="20% - Ênfase2 8 3" xfId="184"/>
    <cellStyle name="20% - Ênfase2 8 4" xfId="185"/>
    <cellStyle name="20% - Ênfase2 9" xfId="186"/>
    <cellStyle name="20% - Ênfase2 9 2" xfId="187"/>
    <cellStyle name="20% - Ênfase2 9 2 2" xfId="188"/>
    <cellStyle name="20% - Ênfase2 9 2 3" xfId="189"/>
    <cellStyle name="20% - Ênfase2 9 3" xfId="190"/>
    <cellStyle name="20% - Ênfase2 9 4" xfId="191"/>
    <cellStyle name="20% - Ênfase3 10" xfId="192"/>
    <cellStyle name="20% - Ênfase3 10 2" xfId="193"/>
    <cellStyle name="20% - Ênfase3 10 2 2" xfId="194"/>
    <cellStyle name="20% - Ênfase3 10 2 3" xfId="195"/>
    <cellStyle name="20% - Ênfase3 10 3" xfId="196"/>
    <cellStyle name="20% - Ênfase3 10 4" xfId="197"/>
    <cellStyle name="20% - Ênfase3 11" xfId="198"/>
    <cellStyle name="20% - Ênfase3 11 2" xfId="199"/>
    <cellStyle name="20% - Ênfase3 11 3" xfId="200"/>
    <cellStyle name="20% - Ênfase3 12" xfId="201"/>
    <cellStyle name="20% - Ênfase3 12 2" xfId="202"/>
    <cellStyle name="20% - Ênfase3 12 3" xfId="203"/>
    <cellStyle name="20% - Ênfase3 13" xfId="204"/>
    <cellStyle name="20% - Ênfase3 13 2" xfId="205"/>
    <cellStyle name="20% - Ênfase3 13 3" xfId="206"/>
    <cellStyle name="20% - Ênfase3 14" xfId="207"/>
    <cellStyle name="20% - Ênfase3 14 2" xfId="208"/>
    <cellStyle name="20% - Ênfase3 14 3" xfId="209"/>
    <cellStyle name="20% - Ênfase3 15" xfId="210"/>
    <cellStyle name="20% - Ênfase3 15 2" xfId="211"/>
    <cellStyle name="20% - Ênfase3 15 3" xfId="212"/>
    <cellStyle name="20% - Ênfase3 16" xfId="213"/>
    <cellStyle name="20% - Ênfase3 16 2" xfId="214"/>
    <cellStyle name="20% - Ênfase3 16 3" xfId="215"/>
    <cellStyle name="20% - Ênfase3 17" xfId="216"/>
    <cellStyle name="20% - Ênfase3 17 2" xfId="217"/>
    <cellStyle name="20% - Ênfase3 17 3" xfId="218"/>
    <cellStyle name="20% - Ênfase3 18" xfId="219"/>
    <cellStyle name="20% - Ênfase3 18 2" xfId="220"/>
    <cellStyle name="20% - Ênfase3 18 3" xfId="221"/>
    <cellStyle name="20% - Ênfase3 19" xfId="222"/>
    <cellStyle name="20% - Ênfase3 19 2" xfId="223"/>
    <cellStyle name="20% - Ênfase3 19 3" xfId="224"/>
    <cellStyle name="20% - Ênfase3 2" xfId="225"/>
    <cellStyle name="20% - Ênfase3 2 2" xfId="226"/>
    <cellStyle name="20% - Ênfase3 2 2 2" xfId="227"/>
    <cellStyle name="20% - Ênfase3 2 2 3" xfId="228"/>
    <cellStyle name="20% - Ênfase3 2 3" xfId="229"/>
    <cellStyle name="20% - Ênfase3 2 4" xfId="230"/>
    <cellStyle name="20% - Ênfase3 20" xfId="231"/>
    <cellStyle name="20% - Ênfase3 20 2" xfId="232"/>
    <cellStyle name="20% - Ênfase3 20 3" xfId="233"/>
    <cellStyle name="20% - Ênfase3 21" xfId="234"/>
    <cellStyle name="20% - Ênfase3 21 2" xfId="235"/>
    <cellStyle name="20% - Ênfase3 21 3" xfId="236"/>
    <cellStyle name="20% - Ênfase3 22" xfId="237"/>
    <cellStyle name="20% - Ênfase3 22 2" xfId="238"/>
    <cellStyle name="20% - Ênfase3 3" xfId="239"/>
    <cellStyle name="20% - Ênfase3 3 2" xfId="240"/>
    <cellStyle name="20% - Ênfase3 3 2 2" xfId="241"/>
    <cellStyle name="20% - Ênfase3 3 2 3" xfId="242"/>
    <cellStyle name="20% - Ênfase3 3 3" xfId="243"/>
    <cellStyle name="20% - Ênfase3 3 4" xfId="244"/>
    <cellStyle name="20% - Ênfase3 4" xfId="245"/>
    <cellStyle name="20% - Ênfase3 4 2" xfId="246"/>
    <cellStyle name="20% - Ênfase3 4 2 2" xfId="247"/>
    <cellStyle name="20% - Ênfase3 4 2 3" xfId="248"/>
    <cellStyle name="20% - Ênfase3 4 3" xfId="249"/>
    <cellStyle name="20% - Ênfase3 4 4" xfId="250"/>
    <cellStyle name="20% - Ênfase3 5" xfId="251"/>
    <cellStyle name="20% - Ênfase3 5 2" xfId="252"/>
    <cellStyle name="20% - Ênfase3 5 2 2" xfId="253"/>
    <cellStyle name="20% - Ênfase3 5 2 3" xfId="254"/>
    <cellStyle name="20% - Ênfase3 5 3" xfId="255"/>
    <cellStyle name="20% - Ênfase3 5 4" xfId="256"/>
    <cellStyle name="20% - Ênfase3 6" xfId="257"/>
    <cellStyle name="20% - Ênfase3 6 2" xfId="258"/>
    <cellStyle name="20% - Ênfase3 6 2 2" xfId="259"/>
    <cellStyle name="20% - Ênfase3 6 2 3" xfId="260"/>
    <cellStyle name="20% - Ênfase3 6 3" xfId="261"/>
    <cellStyle name="20% - Ênfase3 6 4" xfId="262"/>
    <cellStyle name="20% - Ênfase3 7" xfId="263"/>
    <cellStyle name="20% - Ênfase3 7 2" xfId="264"/>
    <cellStyle name="20% - Ênfase3 7 2 2" xfId="265"/>
    <cellStyle name="20% - Ênfase3 7 2 3" xfId="266"/>
    <cellStyle name="20% - Ênfase3 7 3" xfId="267"/>
    <cellStyle name="20% - Ênfase3 7 4" xfId="268"/>
    <cellStyle name="20% - Ênfase3 8" xfId="269"/>
    <cellStyle name="20% - Ênfase3 8 2" xfId="270"/>
    <cellStyle name="20% - Ênfase3 8 2 2" xfId="271"/>
    <cellStyle name="20% - Ênfase3 8 2 3" xfId="272"/>
    <cellStyle name="20% - Ênfase3 8 3" xfId="273"/>
    <cellStyle name="20% - Ênfase3 8 4" xfId="274"/>
    <cellStyle name="20% - Ênfase3 9" xfId="275"/>
    <cellStyle name="20% - Ênfase3 9 2" xfId="276"/>
    <cellStyle name="20% - Ênfase3 9 2 2" xfId="277"/>
    <cellStyle name="20% - Ênfase3 9 2 3" xfId="278"/>
    <cellStyle name="20% - Ênfase3 9 3" xfId="279"/>
    <cellStyle name="20% - Ênfase3 9 4" xfId="280"/>
    <cellStyle name="20% - Ênfase4 10" xfId="281"/>
    <cellStyle name="20% - Ênfase4 10 2" xfId="282"/>
    <cellStyle name="20% - Ênfase4 10 2 2" xfId="283"/>
    <cellStyle name="20% - Ênfase4 10 2 3" xfId="284"/>
    <cellStyle name="20% - Ênfase4 10 3" xfId="285"/>
    <cellStyle name="20% - Ênfase4 10 4" xfId="286"/>
    <cellStyle name="20% - Ênfase4 11" xfId="287"/>
    <cellStyle name="20% - Ênfase4 11 2" xfId="288"/>
    <cellStyle name="20% - Ênfase4 11 3" xfId="289"/>
    <cellStyle name="20% - Ênfase4 12" xfId="290"/>
    <cellStyle name="20% - Ênfase4 12 2" xfId="291"/>
    <cellStyle name="20% - Ênfase4 12 3" xfId="292"/>
    <cellStyle name="20% - Ênfase4 13" xfId="293"/>
    <cellStyle name="20% - Ênfase4 13 2" xfId="294"/>
    <cellStyle name="20% - Ênfase4 13 3" xfId="295"/>
    <cellStyle name="20% - Ênfase4 14" xfId="296"/>
    <cellStyle name="20% - Ênfase4 14 2" xfId="297"/>
    <cellStyle name="20% - Ênfase4 14 3" xfId="298"/>
    <cellStyle name="20% - Ênfase4 15" xfId="299"/>
    <cellStyle name="20% - Ênfase4 15 2" xfId="300"/>
    <cellStyle name="20% - Ênfase4 15 3" xfId="301"/>
    <cellStyle name="20% - Ênfase4 16" xfId="302"/>
    <cellStyle name="20% - Ênfase4 16 2" xfId="303"/>
    <cellStyle name="20% - Ênfase4 16 3" xfId="304"/>
    <cellStyle name="20% - Ênfase4 17" xfId="305"/>
    <cellStyle name="20% - Ênfase4 17 2" xfId="306"/>
    <cellStyle name="20% - Ênfase4 17 3" xfId="307"/>
    <cellStyle name="20% - Ênfase4 18" xfId="308"/>
    <cellStyle name="20% - Ênfase4 18 2" xfId="309"/>
    <cellStyle name="20% - Ênfase4 18 3" xfId="310"/>
    <cellStyle name="20% - Ênfase4 19" xfId="311"/>
    <cellStyle name="20% - Ênfase4 19 2" xfId="312"/>
    <cellStyle name="20% - Ênfase4 19 3" xfId="313"/>
    <cellStyle name="20% - Ênfase4 2" xfId="314"/>
    <cellStyle name="20% - Ênfase4 2 2" xfId="315"/>
    <cellStyle name="20% - Ênfase4 2 2 2" xfId="316"/>
    <cellStyle name="20% - Ênfase4 2 2 3" xfId="317"/>
    <cellStyle name="20% - Ênfase4 2 3" xfId="318"/>
    <cellStyle name="20% - Ênfase4 2 4" xfId="319"/>
    <cellStyle name="20% - Ênfase4 20" xfId="320"/>
    <cellStyle name="20% - Ênfase4 20 2" xfId="321"/>
    <cellStyle name="20% - Ênfase4 20 3" xfId="322"/>
    <cellStyle name="20% - Ênfase4 21" xfId="323"/>
    <cellStyle name="20% - Ênfase4 21 2" xfId="324"/>
    <cellStyle name="20% - Ênfase4 21 3" xfId="325"/>
    <cellStyle name="20% - Ênfase4 22" xfId="326"/>
    <cellStyle name="20% - Ênfase4 22 2" xfId="327"/>
    <cellStyle name="20% - Ênfase4 3" xfId="328"/>
    <cellStyle name="20% - Ênfase4 3 2" xfId="329"/>
    <cellStyle name="20% - Ênfase4 3 2 2" xfId="330"/>
    <cellStyle name="20% - Ênfase4 3 2 3" xfId="331"/>
    <cellStyle name="20% - Ênfase4 3 3" xfId="332"/>
    <cellStyle name="20% - Ênfase4 3 4" xfId="333"/>
    <cellStyle name="20% - Ênfase4 4" xfId="334"/>
    <cellStyle name="20% - Ênfase4 4 2" xfId="335"/>
    <cellStyle name="20% - Ênfase4 4 2 2" xfId="336"/>
    <cellStyle name="20% - Ênfase4 4 2 3" xfId="337"/>
    <cellStyle name="20% - Ênfase4 4 3" xfId="338"/>
    <cellStyle name="20% - Ênfase4 4 4" xfId="339"/>
    <cellStyle name="20% - Ênfase4 5" xfId="340"/>
    <cellStyle name="20% - Ênfase4 5 2" xfId="341"/>
    <cellStyle name="20% - Ênfase4 5 2 2" xfId="342"/>
    <cellStyle name="20% - Ênfase4 5 2 3" xfId="343"/>
    <cellStyle name="20% - Ênfase4 5 3" xfId="344"/>
    <cellStyle name="20% - Ênfase4 5 4" xfId="345"/>
    <cellStyle name="20% - Ênfase4 6" xfId="346"/>
    <cellStyle name="20% - Ênfase4 6 2" xfId="347"/>
    <cellStyle name="20% - Ênfase4 6 2 2" xfId="348"/>
    <cellStyle name="20% - Ênfase4 6 2 3" xfId="349"/>
    <cellStyle name="20% - Ênfase4 6 3" xfId="350"/>
    <cellStyle name="20% - Ênfase4 6 4" xfId="351"/>
    <cellStyle name="20% - Ênfase4 7" xfId="352"/>
    <cellStyle name="20% - Ênfase4 7 2" xfId="353"/>
    <cellStyle name="20% - Ênfase4 7 2 2" xfId="354"/>
    <cellStyle name="20% - Ênfase4 7 2 3" xfId="355"/>
    <cellStyle name="20% - Ênfase4 7 3" xfId="356"/>
    <cellStyle name="20% - Ênfase4 7 4" xfId="357"/>
    <cellStyle name="20% - Ênfase4 8" xfId="358"/>
    <cellStyle name="20% - Ênfase4 8 2" xfId="359"/>
    <cellStyle name="20% - Ênfase4 8 2 2" xfId="360"/>
    <cellStyle name="20% - Ênfase4 8 2 3" xfId="361"/>
    <cellStyle name="20% - Ênfase4 8 3" xfId="362"/>
    <cellStyle name="20% - Ênfase4 8 4" xfId="363"/>
    <cellStyle name="20% - Ênfase4 9" xfId="364"/>
    <cellStyle name="20% - Ênfase4 9 2" xfId="365"/>
    <cellStyle name="20% - Ênfase4 9 2 2" xfId="366"/>
    <cellStyle name="20% - Ênfase4 9 2 3" xfId="367"/>
    <cellStyle name="20% - Ênfase4 9 3" xfId="368"/>
    <cellStyle name="20% - Ênfase4 9 4" xfId="369"/>
    <cellStyle name="20% - Ênfase5 10" xfId="370"/>
    <cellStyle name="20% - Ênfase5 10 2" xfId="371"/>
    <cellStyle name="20% - Ênfase5 10 2 2" xfId="372"/>
    <cellStyle name="20% - Ênfase5 10 2 3" xfId="373"/>
    <cellStyle name="20% - Ênfase5 10 3" xfId="374"/>
    <cellStyle name="20% - Ênfase5 10 4" xfId="375"/>
    <cellStyle name="20% - Ênfase5 11" xfId="376"/>
    <cellStyle name="20% - Ênfase5 11 2" xfId="377"/>
    <cellStyle name="20% - Ênfase5 11 3" xfId="378"/>
    <cellStyle name="20% - Ênfase5 12" xfId="379"/>
    <cellStyle name="20% - Ênfase5 12 2" xfId="380"/>
    <cellStyle name="20% - Ênfase5 12 3" xfId="381"/>
    <cellStyle name="20% - Ênfase5 13" xfId="382"/>
    <cellStyle name="20% - Ênfase5 13 2" xfId="383"/>
    <cellStyle name="20% - Ênfase5 13 3" xfId="384"/>
    <cellStyle name="20% - Ênfase5 14" xfId="385"/>
    <cellStyle name="20% - Ênfase5 14 2" xfId="386"/>
    <cellStyle name="20% - Ênfase5 14 3" xfId="387"/>
    <cellStyle name="20% - Ênfase5 15" xfId="388"/>
    <cellStyle name="20% - Ênfase5 15 2" xfId="389"/>
    <cellStyle name="20% - Ênfase5 15 3" xfId="390"/>
    <cellStyle name="20% - Ênfase5 16" xfId="391"/>
    <cellStyle name="20% - Ênfase5 16 2" xfId="392"/>
    <cellStyle name="20% - Ênfase5 16 3" xfId="393"/>
    <cellStyle name="20% - Ênfase5 17" xfId="394"/>
    <cellStyle name="20% - Ênfase5 17 2" xfId="395"/>
    <cellStyle name="20% - Ênfase5 17 3" xfId="396"/>
    <cellStyle name="20% - Ênfase5 18" xfId="397"/>
    <cellStyle name="20% - Ênfase5 18 2" xfId="398"/>
    <cellStyle name="20% - Ênfase5 18 3" xfId="399"/>
    <cellStyle name="20% - Ênfase5 19" xfId="400"/>
    <cellStyle name="20% - Ênfase5 19 2" xfId="401"/>
    <cellStyle name="20% - Ênfase5 19 3" xfId="402"/>
    <cellStyle name="20% - Ênfase5 2" xfId="403"/>
    <cellStyle name="20% - Ênfase5 2 2" xfId="404"/>
    <cellStyle name="20% - Ênfase5 2 2 2" xfId="405"/>
    <cellStyle name="20% - Ênfase5 2 2 3" xfId="406"/>
    <cellStyle name="20% - Ênfase5 2 3" xfId="407"/>
    <cellStyle name="20% - Ênfase5 2 4" xfId="408"/>
    <cellStyle name="20% - Ênfase5 20" xfId="409"/>
    <cellStyle name="20% - Ênfase5 20 2" xfId="410"/>
    <cellStyle name="20% - Ênfase5 20 3" xfId="411"/>
    <cellStyle name="20% - Ênfase5 21" xfId="412"/>
    <cellStyle name="20% - Ênfase5 21 2" xfId="413"/>
    <cellStyle name="20% - Ênfase5 21 3" xfId="414"/>
    <cellStyle name="20% - Ênfase5 22" xfId="415"/>
    <cellStyle name="20% - Ênfase5 22 2" xfId="416"/>
    <cellStyle name="20% - Ênfase5 3" xfId="417"/>
    <cellStyle name="20% - Ênfase5 3 2" xfId="418"/>
    <cellStyle name="20% - Ênfase5 3 2 2" xfId="419"/>
    <cellStyle name="20% - Ênfase5 3 2 3" xfId="420"/>
    <cellStyle name="20% - Ênfase5 3 3" xfId="421"/>
    <cellStyle name="20% - Ênfase5 3 4" xfId="422"/>
    <cellStyle name="20% - Ênfase5 4" xfId="423"/>
    <cellStyle name="20% - Ênfase5 4 2" xfId="424"/>
    <cellStyle name="20% - Ênfase5 4 2 2" xfId="425"/>
    <cellStyle name="20% - Ênfase5 4 2 3" xfId="426"/>
    <cellStyle name="20% - Ênfase5 4 3" xfId="427"/>
    <cellStyle name="20% - Ênfase5 4 4" xfId="428"/>
    <cellStyle name="20% - Ênfase5 5" xfId="429"/>
    <cellStyle name="20% - Ênfase5 5 2" xfId="430"/>
    <cellStyle name="20% - Ênfase5 5 2 2" xfId="431"/>
    <cellStyle name="20% - Ênfase5 5 2 3" xfId="432"/>
    <cellStyle name="20% - Ênfase5 5 3" xfId="433"/>
    <cellStyle name="20% - Ênfase5 5 4" xfId="434"/>
    <cellStyle name="20% - Ênfase5 6" xfId="435"/>
    <cellStyle name="20% - Ênfase5 6 2" xfId="436"/>
    <cellStyle name="20% - Ênfase5 6 2 2" xfId="437"/>
    <cellStyle name="20% - Ênfase5 6 2 3" xfId="438"/>
    <cellStyle name="20% - Ênfase5 6 3" xfId="439"/>
    <cellStyle name="20% - Ênfase5 6 4" xfId="440"/>
    <cellStyle name="20% - Ênfase5 7" xfId="441"/>
    <cellStyle name="20% - Ênfase5 7 2" xfId="442"/>
    <cellStyle name="20% - Ênfase5 7 2 2" xfId="443"/>
    <cellStyle name="20% - Ênfase5 7 2 3" xfId="444"/>
    <cellStyle name="20% - Ênfase5 7 3" xfId="445"/>
    <cellStyle name="20% - Ênfase5 7 4" xfId="446"/>
    <cellStyle name="20% - Ênfase5 8" xfId="447"/>
    <cellStyle name="20% - Ênfase5 8 2" xfId="448"/>
    <cellStyle name="20% - Ênfase5 8 2 2" xfId="449"/>
    <cellStyle name="20% - Ênfase5 8 2 3" xfId="450"/>
    <cellStyle name="20% - Ênfase5 8 3" xfId="451"/>
    <cellStyle name="20% - Ênfase5 8 4" xfId="452"/>
    <cellStyle name="20% - Ênfase5 9" xfId="453"/>
    <cellStyle name="20% - Ênfase5 9 2" xfId="454"/>
    <cellStyle name="20% - Ênfase5 9 2 2" xfId="455"/>
    <cellStyle name="20% - Ênfase5 9 2 3" xfId="456"/>
    <cellStyle name="20% - Ênfase5 9 3" xfId="457"/>
    <cellStyle name="20% - Ênfase5 9 4" xfId="458"/>
    <cellStyle name="20% - Ênfase6 10" xfId="459"/>
    <cellStyle name="20% - Ênfase6 10 2" xfId="460"/>
    <cellStyle name="20% - Ênfase6 10 2 2" xfId="461"/>
    <cellStyle name="20% - Ênfase6 10 2 3" xfId="462"/>
    <cellStyle name="20% - Ênfase6 10 3" xfId="463"/>
    <cellStyle name="20% - Ênfase6 10 4" xfId="464"/>
    <cellStyle name="20% - Ênfase6 11" xfId="465"/>
    <cellStyle name="20% - Ênfase6 11 2" xfId="466"/>
    <cellStyle name="20% - Ênfase6 11 3" xfId="467"/>
    <cellStyle name="20% - Ênfase6 12" xfId="468"/>
    <cellStyle name="20% - Ênfase6 12 2" xfId="469"/>
    <cellStyle name="20% - Ênfase6 12 3" xfId="470"/>
    <cellStyle name="20% - Ênfase6 13" xfId="471"/>
    <cellStyle name="20% - Ênfase6 13 2" xfId="472"/>
    <cellStyle name="20% - Ênfase6 13 3" xfId="473"/>
    <cellStyle name="20% - Ênfase6 14" xfId="474"/>
    <cellStyle name="20% - Ênfase6 14 2" xfId="475"/>
    <cellStyle name="20% - Ênfase6 14 3" xfId="476"/>
    <cellStyle name="20% - Ênfase6 15" xfId="477"/>
    <cellStyle name="20% - Ênfase6 15 2" xfId="478"/>
    <cellStyle name="20% - Ênfase6 15 3" xfId="479"/>
    <cellStyle name="20% - Ênfase6 16" xfId="480"/>
    <cellStyle name="20% - Ênfase6 16 2" xfId="481"/>
    <cellStyle name="20% - Ênfase6 16 3" xfId="482"/>
    <cellStyle name="20% - Ênfase6 17" xfId="483"/>
    <cellStyle name="20% - Ênfase6 17 2" xfId="484"/>
    <cellStyle name="20% - Ênfase6 17 3" xfId="485"/>
    <cellStyle name="20% - Ênfase6 18" xfId="486"/>
    <cellStyle name="20% - Ênfase6 18 2" xfId="487"/>
    <cellStyle name="20% - Ênfase6 18 3" xfId="488"/>
    <cellStyle name="20% - Ênfase6 19" xfId="489"/>
    <cellStyle name="20% - Ênfase6 19 2" xfId="490"/>
    <cellStyle name="20% - Ênfase6 19 3" xfId="491"/>
    <cellStyle name="20% - Ênfase6 2" xfId="492"/>
    <cellStyle name="20% - Ênfase6 2 2" xfId="493"/>
    <cellStyle name="20% - Ênfase6 2 2 2" xfId="494"/>
    <cellStyle name="20% - Ênfase6 2 2 3" xfId="495"/>
    <cellStyle name="20% - Ênfase6 2 3" xfId="496"/>
    <cellStyle name="20% - Ênfase6 2 4" xfId="497"/>
    <cellStyle name="20% - Ênfase6 20" xfId="498"/>
    <cellStyle name="20% - Ênfase6 20 2" xfId="499"/>
    <cellStyle name="20% - Ênfase6 20 3" xfId="500"/>
    <cellStyle name="20% - Ênfase6 21" xfId="501"/>
    <cellStyle name="20% - Ênfase6 21 2" xfId="502"/>
    <cellStyle name="20% - Ênfase6 21 3" xfId="503"/>
    <cellStyle name="20% - Ênfase6 22" xfId="504"/>
    <cellStyle name="20% - Ênfase6 22 2" xfId="505"/>
    <cellStyle name="20% - Ênfase6 3" xfId="506"/>
    <cellStyle name="20% - Ênfase6 3 2" xfId="507"/>
    <cellStyle name="20% - Ênfase6 3 2 2" xfId="508"/>
    <cellStyle name="20% - Ênfase6 3 2 3" xfId="509"/>
    <cellStyle name="20% - Ênfase6 3 3" xfId="510"/>
    <cellStyle name="20% - Ênfase6 3 4" xfId="511"/>
    <cellStyle name="20% - Ênfase6 4" xfId="512"/>
    <cellStyle name="20% - Ênfase6 4 2" xfId="513"/>
    <cellStyle name="20% - Ênfase6 4 2 2" xfId="514"/>
    <cellStyle name="20% - Ênfase6 4 2 3" xfId="515"/>
    <cellStyle name="20% - Ênfase6 4 3" xfId="516"/>
    <cellStyle name="20% - Ênfase6 4 4" xfId="517"/>
    <cellStyle name="20% - Ênfase6 5" xfId="518"/>
    <cellStyle name="20% - Ênfase6 5 2" xfId="519"/>
    <cellStyle name="20% - Ênfase6 5 2 2" xfId="520"/>
    <cellStyle name="20% - Ênfase6 5 2 3" xfId="521"/>
    <cellStyle name="20% - Ênfase6 5 3" xfId="522"/>
    <cellStyle name="20% - Ênfase6 5 4" xfId="523"/>
    <cellStyle name="20% - Ênfase6 6" xfId="524"/>
    <cellStyle name="20% - Ênfase6 6 2" xfId="525"/>
    <cellStyle name="20% - Ênfase6 6 2 2" xfId="526"/>
    <cellStyle name="20% - Ênfase6 6 2 3" xfId="527"/>
    <cellStyle name="20% - Ênfase6 6 3" xfId="528"/>
    <cellStyle name="20% - Ênfase6 6 4" xfId="529"/>
    <cellStyle name="20% - Ênfase6 7" xfId="530"/>
    <cellStyle name="20% - Ênfase6 7 2" xfId="531"/>
    <cellStyle name="20% - Ênfase6 7 2 2" xfId="532"/>
    <cellStyle name="20% - Ênfase6 7 2 3" xfId="533"/>
    <cellStyle name="20% - Ênfase6 7 3" xfId="534"/>
    <cellStyle name="20% - Ênfase6 7 4" xfId="535"/>
    <cellStyle name="20% - Ênfase6 8" xfId="536"/>
    <cellStyle name="20% - Ênfase6 8 2" xfId="537"/>
    <cellStyle name="20% - Ênfase6 8 2 2" xfId="538"/>
    <cellStyle name="20% - Ênfase6 8 2 3" xfId="539"/>
    <cellStyle name="20% - Ênfase6 8 3" xfId="540"/>
    <cellStyle name="20% - Ênfase6 8 4" xfId="541"/>
    <cellStyle name="20% - Ênfase6 9" xfId="542"/>
    <cellStyle name="20% - Ênfase6 9 2" xfId="543"/>
    <cellStyle name="20% - Ênfase6 9 2 2" xfId="544"/>
    <cellStyle name="20% - Ênfase6 9 2 3" xfId="545"/>
    <cellStyle name="20% - Ênfase6 9 3" xfId="546"/>
    <cellStyle name="20% - Ênfase6 9 4" xfId="547"/>
    <cellStyle name="40% - Ênfase1 10" xfId="548"/>
    <cellStyle name="40% - Ênfase1 10 2" xfId="549"/>
    <cellStyle name="40% - Ênfase1 10 2 2" xfId="550"/>
    <cellStyle name="40% - Ênfase1 10 2 3" xfId="551"/>
    <cellStyle name="40% - Ênfase1 10 3" xfId="552"/>
    <cellStyle name="40% - Ênfase1 10 4" xfId="553"/>
    <cellStyle name="40% - Ênfase1 11" xfId="554"/>
    <cellStyle name="40% - Ênfase1 11 2" xfId="555"/>
    <cellStyle name="40% - Ênfase1 11 2 2" xfId="556"/>
    <cellStyle name="40% - Ênfase1 11 2 3" xfId="557"/>
    <cellStyle name="40% - Ênfase1 11 3" xfId="558"/>
    <cellStyle name="40% - Ênfase1 11 4" xfId="559"/>
    <cellStyle name="40% - Ênfase1 12" xfId="560"/>
    <cellStyle name="40% - Ênfase1 12 2" xfId="561"/>
    <cellStyle name="40% - Ênfase1 12 3" xfId="562"/>
    <cellStyle name="40% - Ênfase1 13" xfId="563"/>
    <cellStyle name="40% - Ênfase1 13 2" xfId="564"/>
    <cellStyle name="40% - Ênfase1 13 3" xfId="565"/>
    <cellStyle name="40% - Ênfase1 14" xfId="566"/>
    <cellStyle name="40% - Ênfase1 14 2" xfId="567"/>
    <cellStyle name="40% - Ênfase1 14 3" xfId="568"/>
    <cellStyle name="40% - Ênfase1 15" xfId="569"/>
    <cellStyle name="40% - Ênfase1 15 2" xfId="570"/>
    <cellStyle name="40% - Ênfase1 15 3" xfId="571"/>
    <cellStyle name="40% - Ênfase1 16" xfId="572"/>
    <cellStyle name="40% - Ênfase1 16 2" xfId="573"/>
    <cellStyle name="40% - Ênfase1 16 3" xfId="574"/>
    <cellStyle name="40% - Ênfase1 17" xfId="575"/>
    <cellStyle name="40% - Ênfase1 17 2" xfId="576"/>
    <cellStyle name="40% - Ênfase1 17 3" xfId="577"/>
    <cellStyle name="40% - Ênfase1 18" xfId="578"/>
    <cellStyle name="40% - Ênfase1 18 2" xfId="579"/>
    <cellStyle name="40% - Ênfase1 18 3" xfId="580"/>
    <cellStyle name="40% - Ênfase1 19" xfId="581"/>
    <cellStyle name="40% - Ênfase1 19 2" xfId="582"/>
    <cellStyle name="40% - Ênfase1 19 3" xfId="583"/>
    <cellStyle name="40% - Ênfase1 2" xfId="584"/>
    <cellStyle name="40% - Ênfase1 2 2" xfId="585"/>
    <cellStyle name="40% - Ênfase1 2 2 2" xfId="586"/>
    <cellStyle name="40% - Ênfase1 2 2 3" xfId="587"/>
    <cellStyle name="40% - Ênfase1 2 3" xfId="588"/>
    <cellStyle name="40% - Ênfase1 2 4" xfId="589"/>
    <cellStyle name="40% - Ênfase1 20" xfId="590"/>
    <cellStyle name="40% - Ênfase1 20 2" xfId="591"/>
    <cellStyle name="40% - Ênfase1 20 3" xfId="592"/>
    <cellStyle name="40% - Ênfase1 21" xfId="593"/>
    <cellStyle name="40% - Ênfase1 21 2" xfId="594"/>
    <cellStyle name="40% - Ênfase1 21 3" xfId="595"/>
    <cellStyle name="40% - Ênfase1 22" xfId="596"/>
    <cellStyle name="40% - Ênfase1 22 2" xfId="597"/>
    <cellStyle name="40% - Ênfase1 22 3" xfId="598"/>
    <cellStyle name="40% - Ênfase1 23" xfId="599"/>
    <cellStyle name="40% - Ênfase1 23 2" xfId="600"/>
    <cellStyle name="40% - Ênfase1 3" xfId="601"/>
    <cellStyle name="40% - Ênfase1 3 2" xfId="602"/>
    <cellStyle name="40% - Ênfase1 3 2 2" xfId="603"/>
    <cellStyle name="40% - Ênfase1 3 2 3" xfId="604"/>
    <cellStyle name="40% - Ênfase1 3 3" xfId="605"/>
    <cellStyle name="40% - Ênfase1 3 4" xfId="606"/>
    <cellStyle name="40% - Ênfase1 4" xfId="607"/>
    <cellStyle name="40% - Ênfase1 4 2" xfId="608"/>
    <cellStyle name="40% - Ênfase1 4 2 2" xfId="609"/>
    <cellStyle name="40% - Ênfase1 4 2 3" xfId="610"/>
    <cellStyle name="40% - Ênfase1 4 3" xfId="611"/>
    <cellStyle name="40% - Ênfase1 4 4" xfId="612"/>
    <cellStyle name="40% - Ênfase1 5" xfId="613"/>
    <cellStyle name="40% - Ênfase1 5 2" xfId="614"/>
    <cellStyle name="40% - Ênfase1 5 2 2" xfId="615"/>
    <cellStyle name="40% - Ênfase1 5 2 3" xfId="616"/>
    <cellStyle name="40% - Ênfase1 5 3" xfId="617"/>
    <cellStyle name="40% - Ênfase1 5 4" xfId="618"/>
    <cellStyle name="40% - Ênfase1 6" xfId="619"/>
    <cellStyle name="40% - Ênfase1 6 2" xfId="620"/>
    <cellStyle name="40% - Ênfase1 6 2 2" xfId="621"/>
    <cellStyle name="40% - Ênfase1 6 2 3" xfId="622"/>
    <cellStyle name="40% - Ênfase1 6 3" xfId="623"/>
    <cellStyle name="40% - Ênfase1 6 4" xfId="624"/>
    <cellStyle name="40% - Ênfase1 7" xfId="625"/>
    <cellStyle name="40% - Ênfase1 7 2" xfId="626"/>
    <cellStyle name="40% - Ênfase1 7 2 2" xfId="627"/>
    <cellStyle name="40% - Ênfase1 7 2 3" xfId="628"/>
    <cellStyle name="40% - Ênfase1 7 3" xfId="629"/>
    <cellStyle name="40% - Ênfase1 7 4" xfId="630"/>
    <cellStyle name="40% - Ênfase1 8" xfId="631"/>
    <cellStyle name="40% - Ênfase1 8 2" xfId="632"/>
    <cellStyle name="40% - Ênfase1 8 2 2" xfId="633"/>
    <cellStyle name="40% - Ênfase1 8 2 3" xfId="634"/>
    <cellStyle name="40% - Ênfase1 8 3" xfId="635"/>
    <cellStyle name="40% - Ênfase1 8 4" xfId="636"/>
    <cellStyle name="40% - Ênfase1 9" xfId="637"/>
    <cellStyle name="40% - Ênfase1 9 2" xfId="638"/>
    <cellStyle name="40% - Ênfase1 9 2 2" xfId="639"/>
    <cellStyle name="40% - Ênfase1 9 2 3" xfId="640"/>
    <cellStyle name="40% - Ênfase1 9 3" xfId="641"/>
    <cellStyle name="40% - Ênfase1 9 4" xfId="642"/>
    <cellStyle name="40% - Ênfase2 10" xfId="643"/>
    <cellStyle name="40% - Ênfase2 10 2" xfId="644"/>
    <cellStyle name="40% - Ênfase2 10 2 2" xfId="645"/>
    <cellStyle name="40% - Ênfase2 10 2 3" xfId="646"/>
    <cellStyle name="40% - Ênfase2 10 3" xfId="647"/>
    <cellStyle name="40% - Ênfase2 10 4" xfId="648"/>
    <cellStyle name="40% - Ênfase2 11" xfId="649"/>
    <cellStyle name="40% - Ênfase2 11 2" xfId="650"/>
    <cellStyle name="40% - Ênfase2 11 3" xfId="651"/>
    <cellStyle name="40% - Ênfase2 12" xfId="652"/>
    <cellStyle name="40% - Ênfase2 12 2" xfId="653"/>
    <cellStyle name="40% - Ênfase2 12 3" xfId="654"/>
    <cellStyle name="40% - Ênfase2 13" xfId="655"/>
    <cellStyle name="40% - Ênfase2 13 2" xfId="656"/>
    <cellStyle name="40% - Ênfase2 13 3" xfId="657"/>
    <cellStyle name="40% - Ênfase2 14" xfId="658"/>
    <cellStyle name="40% - Ênfase2 14 2" xfId="659"/>
    <cellStyle name="40% - Ênfase2 14 3" xfId="660"/>
    <cellStyle name="40% - Ênfase2 15" xfId="661"/>
    <cellStyle name="40% - Ênfase2 15 2" xfId="662"/>
    <cellStyle name="40% - Ênfase2 15 3" xfId="663"/>
    <cellStyle name="40% - Ênfase2 16" xfId="664"/>
    <cellStyle name="40% - Ênfase2 16 2" xfId="665"/>
    <cellStyle name="40% - Ênfase2 16 3" xfId="666"/>
    <cellStyle name="40% - Ênfase2 17" xfId="667"/>
    <cellStyle name="40% - Ênfase2 17 2" xfId="668"/>
    <cellStyle name="40% - Ênfase2 17 3" xfId="669"/>
    <cellStyle name="40% - Ênfase2 18" xfId="670"/>
    <cellStyle name="40% - Ênfase2 18 2" xfId="671"/>
    <cellStyle name="40% - Ênfase2 18 3" xfId="672"/>
    <cellStyle name="40% - Ênfase2 19" xfId="673"/>
    <cellStyle name="40% - Ênfase2 19 2" xfId="674"/>
    <cellStyle name="40% - Ênfase2 19 3" xfId="675"/>
    <cellStyle name="40% - Ênfase2 2" xfId="676"/>
    <cellStyle name="40% - Ênfase2 2 2" xfId="677"/>
    <cellStyle name="40% - Ênfase2 2 2 2" xfId="678"/>
    <cellStyle name="40% - Ênfase2 2 2 3" xfId="679"/>
    <cellStyle name="40% - Ênfase2 2 3" xfId="680"/>
    <cellStyle name="40% - Ênfase2 2 4" xfId="681"/>
    <cellStyle name="40% - Ênfase2 20" xfId="682"/>
    <cellStyle name="40% - Ênfase2 20 2" xfId="683"/>
    <cellStyle name="40% - Ênfase2 20 3" xfId="684"/>
    <cellStyle name="40% - Ênfase2 21" xfId="685"/>
    <cellStyle name="40% - Ênfase2 21 2" xfId="686"/>
    <cellStyle name="40% - Ênfase2 21 3" xfId="687"/>
    <cellStyle name="40% - Ênfase2 22" xfId="688"/>
    <cellStyle name="40% - Ênfase2 22 2" xfId="689"/>
    <cellStyle name="40% - Ênfase2 3" xfId="690"/>
    <cellStyle name="40% - Ênfase2 3 2" xfId="691"/>
    <cellStyle name="40% - Ênfase2 3 2 2" xfId="692"/>
    <cellStyle name="40% - Ênfase2 3 2 3" xfId="693"/>
    <cellStyle name="40% - Ênfase2 3 3" xfId="694"/>
    <cellStyle name="40% - Ênfase2 3 4" xfId="695"/>
    <cellStyle name="40% - Ênfase2 4" xfId="696"/>
    <cellStyle name="40% - Ênfase2 4 2" xfId="697"/>
    <cellStyle name="40% - Ênfase2 4 2 2" xfId="698"/>
    <cellStyle name="40% - Ênfase2 4 2 3" xfId="699"/>
    <cellStyle name="40% - Ênfase2 4 3" xfId="700"/>
    <cellStyle name="40% - Ênfase2 4 4" xfId="701"/>
    <cellStyle name="40% - Ênfase2 5" xfId="702"/>
    <cellStyle name="40% - Ênfase2 5 2" xfId="703"/>
    <cellStyle name="40% - Ênfase2 5 2 2" xfId="704"/>
    <cellStyle name="40% - Ênfase2 5 2 3" xfId="705"/>
    <cellStyle name="40% - Ênfase2 5 3" xfId="706"/>
    <cellStyle name="40% - Ênfase2 5 4" xfId="707"/>
    <cellStyle name="40% - Ênfase2 6" xfId="708"/>
    <cellStyle name="40% - Ênfase2 6 2" xfId="709"/>
    <cellStyle name="40% - Ênfase2 6 2 2" xfId="710"/>
    <cellStyle name="40% - Ênfase2 6 2 3" xfId="711"/>
    <cellStyle name="40% - Ênfase2 6 3" xfId="712"/>
    <cellStyle name="40% - Ênfase2 6 4" xfId="713"/>
    <cellStyle name="40% - Ênfase2 7" xfId="714"/>
    <cellStyle name="40% - Ênfase2 7 2" xfId="715"/>
    <cellStyle name="40% - Ênfase2 7 2 2" xfId="716"/>
    <cellStyle name="40% - Ênfase2 7 2 3" xfId="717"/>
    <cellStyle name="40% - Ênfase2 7 3" xfId="718"/>
    <cellStyle name="40% - Ênfase2 7 4" xfId="719"/>
    <cellStyle name="40% - Ênfase2 8" xfId="720"/>
    <cellStyle name="40% - Ênfase2 8 2" xfId="721"/>
    <cellStyle name="40% - Ênfase2 8 2 2" xfId="722"/>
    <cellStyle name="40% - Ênfase2 8 2 3" xfId="723"/>
    <cellStyle name="40% - Ênfase2 8 3" xfId="724"/>
    <cellStyle name="40% - Ênfase2 8 4" xfId="725"/>
    <cellStyle name="40% - Ênfase2 9" xfId="726"/>
    <cellStyle name="40% - Ênfase2 9 2" xfId="727"/>
    <cellStyle name="40% - Ênfase2 9 2 2" xfId="728"/>
    <cellStyle name="40% - Ênfase2 9 2 3" xfId="729"/>
    <cellStyle name="40% - Ênfase2 9 3" xfId="730"/>
    <cellStyle name="40% - Ênfase2 9 4" xfId="731"/>
    <cellStyle name="40% - Ênfase3 10" xfId="732"/>
    <cellStyle name="40% - Ênfase3 10 2" xfId="733"/>
    <cellStyle name="40% - Ênfase3 10 2 2" xfId="734"/>
    <cellStyle name="40% - Ênfase3 10 2 3" xfId="735"/>
    <cellStyle name="40% - Ênfase3 10 3" xfId="736"/>
    <cellStyle name="40% - Ênfase3 10 4" xfId="737"/>
    <cellStyle name="40% - Ênfase3 11" xfId="738"/>
    <cellStyle name="40% - Ênfase3 11 2" xfId="739"/>
    <cellStyle name="40% - Ênfase3 11 3" xfId="740"/>
    <cellStyle name="40% - Ênfase3 12" xfId="741"/>
    <cellStyle name="40% - Ênfase3 12 2" xfId="742"/>
    <cellStyle name="40% - Ênfase3 12 3" xfId="743"/>
    <cellStyle name="40% - Ênfase3 13" xfId="744"/>
    <cellStyle name="40% - Ênfase3 13 2" xfId="745"/>
    <cellStyle name="40% - Ênfase3 13 3" xfId="746"/>
    <cellStyle name="40% - Ênfase3 14" xfId="747"/>
    <cellStyle name="40% - Ênfase3 14 2" xfId="748"/>
    <cellStyle name="40% - Ênfase3 14 3" xfId="749"/>
    <cellStyle name="40% - Ênfase3 15" xfId="750"/>
    <cellStyle name="40% - Ênfase3 15 2" xfId="751"/>
    <cellStyle name="40% - Ênfase3 15 3" xfId="752"/>
    <cellStyle name="40% - Ênfase3 16" xfId="753"/>
    <cellStyle name="40% - Ênfase3 16 2" xfId="754"/>
    <cellStyle name="40% - Ênfase3 16 3" xfId="755"/>
    <cellStyle name="40% - Ênfase3 17" xfId="756"/>
    <cellStyle name="40% - Ênfase3 17 2" xfId="757"/>
    <cellStyle name="40% - Ênfase3 17 3" xfId="758"/>
    <cellStyle name="40% - Ênfase3 18" xfId="759"/>
    <cellStyle name="40% - Ênfase3 18 2" xfId="760"/>
    <cellStyle name="40% - Ênfase3 18 3" xfId="761"/>
    <cellStyle name="40% - Ênfase3 19" xfId="762"/>
    <cellStyle name="40% - Ênfase3 19 2" xfId="763"/>
    <cellStyle name="40% - Ênfase3 19 3" xfId="764"/>
    <cellStyle name="40% - Ênfase3 2" xfId="765"/>
    <cellStyle name="40% - Ênfase3 2 2" xfId="766"/>
    <cellStyle name="40% - Ênfase3 2 2 2" xfId="767"/>
    <cellStyle name="40% - Ênfase3 2 2 3" xfId="768"/>
    <cellStyle name="40% - Ênfase3 2 3" xfId="769"/>
    <cellStyle name="40% - Ênfase3 2 4" xfId="770"/>
    <cellStyle name="40% - Ênfase3 20" xfId="771"/>
    <cellStyle name="40% - Ênfase3 20 2" xfId="772"/>
    <cellStyle name="40% - Ênfase3 20 3" xfId="773"/>
    <cellStyle name="40% - Ênfase3 21" xfId="774"/>
    <cellStyle name="40% - Ênfase3 21 2" xfId="775"/>
    <cellStyle name="40% - Ênfase3 21 3" xfId="776"/>
    <cellStyle name="40% - Ênfase3 22" xfId="777"/>
    <cellStyle name="40% - Ênfase3 22 2" xfId="778"/>
    <cellStyle name="40% - Ênfase3 3" xfId="779"/>
    <cellStyle name="40% - Ênfase3 3 2" xfId="780"/>
    <cellStyle name="40% - Ênfase3 3 2 2" xfId="781"/>
    <cellStyle name="40% - Ênfase3 3 2 3" xfId="782"/>
    <cellStyle name="40% - Ênfase3 3 3" xfId="783"/>
    <cellStyle name="40% - Ênfase3 3 4" xfId="784"/>
    <cellStyle name="40% - Ênfase3 4" xfId="785"/>
    <cellStyle name="40% - Ênfase3 4 2" xfId="786"/>
    <cellStyle name="40% - Ênfase3 4 2 2" xfId="787"/>
    <cellStyle name="40% - Ênfase3 4 2 3" xfId="788"/>
    <cellStyle name="40% - Ênfase3 4 3" xfId="789"/>
    <cellStyle name="40% - Ênfase3 4 4" xfId="790"/>
    <cellStyle name="40% - Ênfase3 5" xfId="791"/>
    <cellStyle name="40% - Ênfase3 5 2" xfId="792"/>
    <cellStyle name="40% - Ênfase3 5 2 2" xfId="793"/>
    <cellStyle name="40% - Ênfase3 5 2 3" xfId="794"/>
    <cellStyle name="40% - Ênfase3 5 3" xfId="795"/>
    <cellStyle name="40% - Ênfase3 5 4" xfId="796"/>
    <cellStyle name="40% - Ênfase3 6" xfId="797"/>
    <cellStyle name="40% - Ênfase3 6 2" xfId="798"/>
    <cellStyle name="40% - Ênfase3 6 2 2" xfId="799"/>
    <cellStyle name="40% - Ênfase3 6 2 3" xfId="800"/>
    <cellStyle name="40% - Ênfase3 6 3" xfId="801"/>
    <cellStyle name="40% - Ênfase3 6 4" xfId="802"/>
    <cellStyle name="40% - Ênfase3 7" xfId="803"/>
    <cellStyle name="40% - Ênfase3 7 2" xfId="804"/>
    <cellStyle name="40% - Ênfase3 7 2 2" xfId="805"/>
    <cellStyle name="40% - Ênfase3 7 2 3" xfId="806"/>
    <cellStyle name="40% - Ênfase3 7 3" xfId="807"/>
    <cellStyle name="40% - Ênfase3 7 4" xfId="808"/>
    <cellStyle name="40% - Ênfase3 8" xfId="809"/>
    <cellStyle name="40% - Ênfase3 8 2" xfId="810"/>
    <cellStyle name="40% - Ênfase3 8 2 2" xfId="811"/>
    <cellStyle name="40% - Ênfase3 8 2 3" xfId="812"/>
    <cellStyle name="40% - Ênfase3 8 3" xfId="813"/>
    <cellStyle name="40% - Ênfase3 8 4" xfId="814"/>
    <cellStyle name="40% - Ênfase3 9" xfId="815"/>
    <cellStyle name="40% - Ênfase3 9 2" xfId="816"/>
    <cellStyle name="40% - Ênfase3 9 2 2" xfId="817"/>
    <cellStyle name="40% - Ênfase3 9 2 3" xfId="818"/>
    <cellStyle name="40% - Ênfase3 9 3" xfId="819"/>
    <cellStyle name="40% - Ênfase3 9 4" xfId="820"/>
    <cellStyle name="40% - Ênfase4 10" xfId="821"/>
    <cellStyle name="40% - Ênfase4 10 2" xfId="822"/>
    <cellStyle name="40% - Ênfase4 10 2 2" xfId="823"/>
    <cellStyle name="40% - Ênfase4 10 2 3" xfId="824"/>
    <cellStyle name="40% - Ênfase4 10 3" xfId="825"/>
    <cellStyle name="40% - Ênfase4 10 4" xfId="826"/>
    <cellStyle name="40% - Ênfase4 11" xfId="827"/>
    <cellStyle name="40% - Ênfase4 11 2" xfId="828"/>
    <cellStyle name="40% - Ênfase4 11 3" xfId="829"/>
    <cellStyle name="40% - Ênfase4 12" xfId="830"/>
    <cellStyle name="40% - Ênfase4 12 2" xfId="831"/>
    <cellStyle name="40% - Ênfase4 12 3" xfId="832"/>
    <cellStyle name="40% - Ênfase4 13" xfId="833"/>
    <cellStyle name="40% - Ênfase4 13 2" xfId="834"/>
    <cellStyle name="40% - Ênfase4 13 3" xfId="835"/>
    <cellStyle name="40% - Ênfase4 14" xfId="836"/>
    <cellStyle name="40% - Ênfase4 14 2" xfId="837"/>
    <cellStyle name="40% - Ênfase4 14 3" xfId="838"/>
    <cellStyle name="40% - Ênfase4 15" xfId="839"/>
    <cellStyle name="40% - Ênfase4 15 2" xfId="840"/>
    <cellStyle name="40% - Ênfase4 15 3" xfId="841"/>
    <cellStyle name="40% - Ênfase4 16" xfId="842"/>
    <cellStyle name="40% - Ênfase4 16 2" xfId="843"/>
    <cellStyle name="40% - Ênfase4 16 3" xfId="844"/>
    <cellStyle name="40% - Ênfase4 17" xfId="845"/>
    <cellStyle name="40% - Ênfase4 17 2" xfId="846"/>
    <cellStyle name="40% - Ênfase4 17 3" xfId="847"/>
    <cellStyle name="40% - Ênfase4 18" xfId="848"/>
    <cellStyle name="40% - Ênfase4 18 2" xfId="849"/>
    <cellStyle name="40% - Ênfase4 18 3" xfId="850"/>
    <cellStyle name="40% - Ênfase4 19" xfId="851"/>
    <cellStyle name="40% - Ênfase4 19 2" xfId="852"/>
    <cellStyle name="40% - Ênfase4 19 3" xfId="853"/>
    <cellStyle name="40% - Ênfase4 2" xfId="854"/>
    <cellStyle name="40% - Ênfase4 2 2" xfId="855"/>
    <cellStyle name="40% - Ênfase4 2 2 2" xfId="856"/>
    <cellStyle name="40% - Ênfase4 2 2 3" xfId="857"/>
    <cellStyle name="40% - Ênfase4 2 3" xfId="858"/>
    <cellStyle name="40% - Ênfase4 2 4" xfId="859"/>
    <cellStyle name="40% - Ênfase4 20" xfId="860"/>
    <cellStyle name="40% - Ênfase4 20 2" xfId="861"/>
    <cellStyle name="40% - Ênfase4 20 3" xfId="862"/>
    <cellStyle name="40% - Ênfase4 21" xfId="863"/>
    <cellStyle name="40% - Ênfase4 21 2" xfId="864"/>
    <cellStyle name="40% - Ênfase4 21 3" xfId="865"/>
    <cellStyle name="40% - Ênfase4 22" xfId="866"/>
    <cellStyle name="40% - Ênfase4 22 2" xfId="867"/>
    <cellStyle name="40% - Ênfase4 3" xfId="868"/>
    <cellStyle name="40% - Ênfase4 3 2" xfId="869"/>
    <cellStyle name="40% - Ênfase4 3 2 2" xfId="870"/>
    <cellStyle name="40% - Ênfase4 3 2 3" xfId="871"/>
    <cellStyle name="40% - Ênfase4 3 3" xfId="872"/>
    <cellStyle name="40% - Ênfase4 3 4" xfId="873"/>
    <cellStyle name="40% - Ênfase4 4" xfId="874"/>
    <cellStyle name="40% - Ênfase4 4 2" xfId="875"/>
    <cellStyle name="40% - Ênfase4 4 2 2" xfId="876"/>
    <cellStyle name="40% - Ênfase4 4 2 3" xfId="877"/>
    <cellStyle name="40% - Ênfase4 4 3" xfId="878"/>
    <cellStyle name="40% - Ênfase4 4 4" xfId="879"/>
    <cellStyle name="40% - Ênfase4 5" xfId="880"/>
    <cellStyle name="40% - Ênfase4 5 2" xfId="881"/>
    <cellStyle name="40% - Ênfase4 5 2 2" xfId="882"/>
    <cellStyle name="40% - Ênfase4 5 2 3" xfId="883"/>
    <cellStyle name="40% - Ênfase4 5 3" xfId="884"/>
    <cellStyle name="40% - Ênfase4 5 4" xfId="885"/>
    <cellStyle name="40% - Ênfase4 6" xfId="886"/>
    <cellStyle name="40% - Ênfase4 6 2" xfId="887"/>
    <cellStyle name="40% - Ênfase4 6 2 2" xfId="888"/>
    <cellStyle name="40% - Ênfase4 6 2 3" xfId="889"/>
    <cellStyle name="40% - Ênfase4 6 3" xfId="890"/>
    <cellStyle name="40% - Ênfase4 6 4" xfId="891"/>
    <cellStyle name="40% - Ênfase4 7" xfId="892"/>
    <cellStyle name="40% - Ênfase4 7 2" xfId="893"/>
    <cellStyle name="40% - Ênfase4 7 2 2" xfId="894"/>
    <cellStyle name="40% - Ênfase4 7 2 3" xfId="895"/>
    <cellStyle name="40% - Ênfase4 7 3" xfId="896"/>
    <cellStyle name="40% - Ênfase4 7 4" xfId="897"/>
    <cellStyle name="40% - Ênfase4 8" xfId="898"/>
    <cellStyle name="40% - Ênfase4 8 2" xfId="899"/>
    <cellStyle name="40% - Ênfase4 8 2 2" xfId="900"/>
    <cellStyle name="40% - Ênfase4 8 2 3" xfId="901"/>
    <cellStyle name="40% - Ênfase4 8 3" xfId="902"/>
    <cellStyle name="40% - Ênfase4 8 4" xfId="903"/>
    <cellStyle name="40% - Ênfase4 9" xfId="904"/>
    <cellStyle name="40% - Ênfase4 9 2" xfId="905"/>
    <cellStyle name="40% - Ênfase4 9 2 2" xfId="906"/>
    <cellStyle name="40% - Ênfase4 9 2 3" xfId="907"/>
    <cellStyle name="40% - Ênfase4 9 3" xfId="908"/>
    <cellStyle name="40% - Ênfase4 9 4" xfId="909"/>
    <cellStyle name="40% - Ênfase5 10" xfId="910"/>
    <cellStyle name="40% - Ênfase5 10 2" xfId="911"/>
    <cellStyle name="40% - Ênfase5 10 2 2" xfId="912"/>
    <cellStyle name="40% - Ênfase5 10 2 3" xfId="913"/>
    <cellStyle name="40% - Ênfase5 10 3" xfId="914"/>
    <cellStyle name="40% - Ênfase5 10 4" xfId="915"/>
    <cellStyle name="40% - Ênfase5 11" xfId="916"/>
    <cellStyle name="40% - Ênfase5 11 2" xfId="917"/>
    <cellStyle name="40% - Ênfase5 11 3" xfId="918"/>
    <cellStyle name="40% - Ênfase5 12" xfId="919"/>
    <cellStyle name="40% - Ênfase5 12 2" xfId="920"/>
    <cellStyle name="40% - Ênfase5 12 3" xfId="921"/>
    <cellStyle name="40% - Ênfase5 13" xfId="922"/>
    <cellStyle name="40% - Ênfase5 13 2" xfId="923"/>
    <cellStyle name="40% - Ênfase5 13 3" xfId="924"/>
    <cellStyle name="40% - Ênfase5 14" xfId="925"/>
    <cellStyle name="40% - Ênfase5 14 2" xfId="926"/>
    <cellStyle name="40% - Ênfase5 14 3" xfId="927"/>
    <cellStyle name="40% - Ênfase5 15" xfId="928"/>
    <cellStyle name="40% - Ênfase5 15 2" xfId="929"/>
    <cellStyle name="40% - Ênfase5 15 3" xfId="930"/>
    <cellStyle name="40% - Ênfase5 16" xfId="931"/>
    <cellStyle name="40% - Ênfase5 16 2" xfId="932"/>
    <cellStyle name="40% - Ênfase5 16 3" xfId="933"/>
    <cellStyle name="40% - Ênfase5 17" xfId="934"/>
    <cellStyle name="40% - Ênfase5 17 2" xfId="935"/>
    <cellStyle name="40% - Ênfase5 17 3" xfId="936"/>
    <cellStyle name="40% - Ênfase5 18" xfId="937"/>
    <cellStyle name="40% - Ênfase5 18 2" xfId="938"/>
    <cellStyle name="40% - Ênfase5 18 3" xfId="939"/>
    <cellStyle name="40% - Ênfase5 19" xfId="940"/>
    <cellStyle name="40% - Ênfase5 19 2" xfId="941"/>
    <cellStyle name="40% - Ênfase5 19 3" xfId="942"/>
    <cellStyle name="40% - Ênfase5 2" xfId="943"/>
    <cellStyle name="40% - Ênfase5 2 2" xfId="944"/>
    <cellStyle name="40% - Ênfase5 2 2 2" xfId="945"/>
    <cellStyle name="40% - Ênfase5 2 2 3" xfId="946"/>
    <cellStyle name="40% - Ênfase5 2 3" xfId="947"/>
    <cellStyle name="40% - Ênfase5 2 4" xfId="948"/>
    <cellStyle name="40% - Ênfase5 20" xfId="949"/>
    <cellStyle name="40% - Ênfase5 20 2" xfId="950"/>
    <cellStyle name="40% - Ênfase5 20 3" xfId="951"/>
    <cellStyle name="40% - Ênfase5 21" xfId="952"/>
    <cellStyle name="40% - Ênfase5 21 2" xfId="953"/>
    <cellStyle name="40% - Ênfase5 21 3" xfId="954"/>
    <cellStyle name="40% - Ênfase5 22" xfId="955"/>
    <cellStyle name="40% - Ênfase5 22 2" xfId="956"/>
    <cellStyle name="40% - Ênfase5 3" xfId="957"/>
    <cellStyle name="40% - Ênfase5 3 2" xfId="958"/>
    <cellStyle name="40% - Ênfase5 3 2 2" xfId="959"/>
    <cellStyle name="40% - Ênfase5 3 2 3" xfId="960"/>
    <cellStyle name="40% - Ênfase5 3 3" xfId="961"/>
    <cellStyle name="40% - Ênfase5 3 4" xfId="962"/>
    <cellStyle name="40% - Ênfase5 4" xfId="963"/>
    <cellStyle name="40% - Ênfase5 4 2" xfId="964"/>
    <cellStyle name="40% - Ênfase5 4 2 2" xfId="965"/>
    <cellStyle name="40% - Ênfase5 4 2 3" xfId="966"/>
    <cellStyle name="40% - Ênfase5 4 3" xfId="967"/>
    <cellStyle name="40% - Ênfase5 4 4" xfId="968"/>
    <cellStyle name="40% - Ênfase5 5" xfId="969"/>
    <cellStyle name="40% - Ênfase5 5 2" xfId="970"/>
    <cellStyle name="40% - Ênfase5 5 2 2" xfId="971"/>
    <cellStyle name="40% - Ênfase5 5 2 3" xfId="972"/>
    <cellStyle name="40% - Ênfase5 5 3" xfId="973"/>
    <cellStyle name="40% - Ênfase5 5 4" xfId="974"/>
    <cellStyle name="40% - Ênfase5 6" xfId="975"/>
    <cellStyle name="40% - Ênfase5 6 2" xfId="976"/>
    <cellStyle name="40% - Ênfase5 6 2 2" xfId="977"/>
    <cellStyle name="40% - Ênfase5 6 2 3" xfId="978"/>
    <cellStyle name="40% - Ênfase5 6 3" xfId="979"/>
    <cellStyle name="40% - Ênfase5 6 4" xfId="980"/>
    <cellStyle name="40% - Ênfase5 7" xfId="981"/>
    <cellStyle name="40% - Ênfase5 7 2" xfId="982"/>
    <cellStyle name="40% - Ênfase5 7 2 2" xfId="983"/>
    <cellStyle name="40% - Ênfase5 7 2 3" xfId="984"/>
    <cellStyle name="40% - Ênfase5 7 3" xfId="985"/>
    <cellStyle name="40% - Ênfase5 7 4" xfId="986"/>
    <cellStyle name="40% - Ênfase5 8" xfId="987"/>
    <cellStyle name="40% - Ênfase5 8 2" xfId="988"/>
    <cellStyle name="40% - Ênfase5 8 2 2" xfId="989"/>
    <cellStyle name="40% - Ênfase5 8 2 3" xfId="990"/>
    <cellStyle name="40% - Ênfase5 8 3" xfId="991"/>
    <cellStyle name="40% - Ênfase5 8 4" xfId="992"/>
    <cellStyle name="40% - Ênfase5 9" xfId="993"/>
    <cellStyle name="40% - Ênfase5 9 2" xfId="994"/>
    <cellStyle name="40% - Ênfase5 9 2 2" xfId="995"/>
    <cellStyle name="40% - Ênfase5 9 2 3" xfId="996"/>
    <cellStyle name="40% - Ênfase5 9 3" xfId="997"/>
    <cellStyle name="40% - Ênfase5 9 4" xfId="998"/>
    <cellStyle name="40% - Ênfase6 10" xfId="999"/>
    <cellStyle name="40% - Ênfase6 10 2" xfId="1000"/>
    <cellStyle name="40% - Ênfase6 10 2 2" xfId="1001"/>
    <cellStyle name="40% - Ênfase6 10 2 3" xfId="1002"/>
    <cellStyle name="40% - Ênfase6 10 3" xfId="1003"/>
    <cellStyle name="40% - Ênfase6 10 4" xfId="1004"/>
    <cellStyle name="40% - Ênfase6 11" xfId="1005"/>
    <cellStyle name="40% - Ênfase6 11 2" xfId="1006"/>
    <cellStyle name="40% - Ênfase6 11 3" xfId="1007"/>
    <cellStyle name="40% - Ênfase6 12" xfId="1008"/>
    <cellStyle name="40% - Ênfase6 12 2" xfId="1009"/>
    <cellStyle name="40% - Ênfase6 12 3" xfId="1010"/>
    <cellStyle name="40% - Ênfase6 13" xfId="1011"/>
    <cellStyle name="40% - Ênfase6 13 2" xfId="1012"/>
    <cellStyle name="40% - Ênfase6 13 3" xfId="1013"/>
    <cellStyle name="40% - Ênfase6 14" xfId="1014"/>
    <cellStyle name="40% - Ênfase6 14 2" xfId="1015"/>
    <cellStyle name="40% - Ênfase6 14 3" xfId="1016"/>
    <cellStyle name="40% - Ênfase6 15" xfId="1017"/>
    <cellStyle name="40% - Ênfase6 15 2" xfId="1018"/>
    <cellStyle name="40% - Ênfase6 15 3" xfId="1019"/>
    <cellStyle name="40% - Ênfase6 16" xfId="1020"/>
    <cellStyle name="40% - Ênfase6 16 2" xfId="1021"/>
    <cellStyle name="40% - Ênfase6 16 3" xfId="1022"/>
    <cellStyle name="40% - Ênfase6 17" xfId="1023"/>
    <cellStyle name="40% - Ênfase6 17 2" xfId="1024"/>
    <cellStyle name="40% - Ênfase6 17 3" xfId="1025"/>
    <cellStyle name="40% - Ênfase6 18" xfId="1026"/>
    <cellStyle name="40% - Ênfase6 18 2" xfId="1027"/>
    <cellStyle name="40% - Ênfase6 18 3" xfId="1028"/>
    <cellStyle name="40% - Ênfase6 19" xfId="1029"/>
    <cellStyle name="40% - Ênfase6 19 2" xfId="1030"/>
    <cellStyle name="40% - Ênfase6 19 3" xfId="1031"/>
    <cellStyle name="40% - Ênfase6 2" xfId="1032"/>
    <cellStyle name="40% - Ênfase6 2 2" xfId="1033"/>
    <cellStyle name="40% - Ênfase6 2 2 2" xfId="1034"/>
    <cellStyle name="40% - Ênfase6 2 2 3" xfId="1035"/>
    <cellStyle name="40% - Ênfase6 2 3" xfId="1036"/>
    <cellStyle name="40% - Ênfase6 2 4" xfId="1037"/>
    <cellStyle name="40% - Ênfase6 20" xfId="1038"/>
    <cellStyle name="40% - Ênfase6 20 2" xfId="1039"/>
    <cellStyle name="40% - Ênfase6 20 3" xfId="1040"/>
    <cellStyle name="40% - Ênfase6 21" xfId="1041"/>
    <cellStyle name="40% - Ênfase6 21 2" xfId="1042"/>
    <cellStyle name="40% - Ênfase6 21 3" xfId="1043"/>
    <cellStyle name="40% - Ênfase6 22" xfId="1044"/>
    <cellStyle name="40% - Ênfase6 22 2" xfId="1045"/>
    <cellStyle name="40% - Ênfase6 3" xfId="1046"/>
    <cellStyle name="40% - Ênfase6 3 2" xfId="1047"/>
    <cellStyle name="40% - Ênfase6 3 2 2" xfId="1048"/>
    <cellStyle name="40% - Ênfase6 3 2 3" xfId="1049"/>
    <cellStyle name="40% - Ênfase6 3 3" xfId="1050"/>
    <cellStyle name="40% - Ênfase6 3 4" xfId="1051"/>
    <cellStyle name="40% - Ênfase6 4" xfId="1052"/>
    <cellStyle name="40% - Ênfase6 4 2" xfId="1053"/>
    <cellStyle name="40% - Ênfase6 4 2 2" xfId="1054"/>
    <cellStyle name="40% - Ênfase6 4 2 3" xfId="1055"/>
    <cellStyle name="40% - Ênfase6 4 3" xfId="1056"/>
    <cellStyle name="40% - Ênfase6 4 4" xfId="1057"/>
    <cellStyle name="40% - Ênfase6 5" xfId="1058"/>
    <cellStyle name="40% - Ênfase6 5 2" xfId="1059"/>
    <cellStyle name="40% - Ênfase6 5 2 2" xfId="1060"/>
    <cellStyle name="40% - Ênfase6 5 2 3" xfId="1061"/>
    <cellStyle name="40% - Ênfase6 5 3" xfId="1062"/>
    <cellStyle name="40% - Ênfase6 5 4" xfId="1063"/>
    <cellStyle name="40% - Ênfase6 6" xfId="1064"/>
    <cellStyle name="40% - Ênfase6 6 2" xfId="1065"/>
    <cellStyle name="40% - Ênfase6 6 2 2" xfId="1066"/>
    <cellStyle name="40% - Ênfase6 6 2 3" xfId="1067"/>
    <cellStyle name="40% - Ênfase6 6 3" xfId="1068"/>
    <cellStyle name="40% - Ênfase6 6 4" xfId="1069"/>
    <cellStyle name="40% - Ênfase6 7" xfId="1070"/>
    <cellStyle name="40% - Ênfase6 7 2" xfId="1071"/>
    <cellStyle name="40% - Ênfase6 7 2 2" xfId="1072"/>
    <cellStyle name="40% - Ênfase6 7 2 3" xfId="1073"/>
    <cellStyle name="40% - Ênfase6 7 3" xfId="1074"/>
    <cellStyle name="40% - Ênfase6 7 4" xfId="1075"/>
    <cellStyle name="40% - Ênfase6 8" xfId="1076"/>
    <cellStyle name="40% - Ênfase6 8 2" xfId="1077"/>
    <cellStyle name="40% - Ênfase6 8 2 2" xfId="1078"/>
    <cellStyle name="40% - Ênfase6 8 2 3" xfId="1079"/>
    <cellStyle name="40% - Ênfase6 8 3" xfId="1080"/>
    <cellStyle name="40% - Ênfase6 8 4" xfId="1081"/>
    <cellStyle name="40% - Ênfase6 9" xfId="1082"/>
    <cellStyle name="40% - Ênfase6 9 2" xfId="1083"/>
    <cellStyle name="40% - Ênfase6 9 2 2" xfId="1084"/>
    <cellStyle name="40% - Ênfase6 9 2 3" xfId="1085"/>
    <cellStyle name="40% - Ênfase6 9 3" xfId="1086"/>
    <cellStyle name="40% - Ênfase6 9 4" xfId="1087"/>
    <cellStyle name="60% - Ênfase1 2" xfId="1088"/>
    <cellStyle name="60% - Ênfase1 2 2" xfId="1089"/>
    <cellStyle name="60% - Ênfase1 3" xfId="1090"/>
    <cellStyle name="60% - Ênfase1 3 2" xfId="1091"/>
    <cellStyle name="60% - Ênfase2 2" xfId="1092"/>
    <cellStyle name="60% - Ênfase2 2 2" xfId="1093"/>
    <cellStyle name="60% - Ênfase2 3" xfId="1094"/>
    <cellStyle name="60% - Ênfase2 3 2" xfId="1095"/>
    <cellStyle name="60% - Ênfase3 2" xfId="1096"/>
    <cellStyle name="60% - Ênfase3 2 2" xfId="1097"/>
    <cellStyle name="60% - Ênfase3 3" xfId="1098"/>
    <cellStyle name="60% - Ênfase3 3 2" xfId="1099"/>
    <cellStyle name="60% - Ênfase4 2" xfId="1100"/>
    <cellStyle name="60% - Ênfase4 2 2" xfId="1101"/>
    <cellStyle name="60% - Ênfase4 3" xfId="1102"/>
    <cellStyle name="60% - Ênfase4 3 2" xfId="1103"/>
    <cellStyle name="60% - Ênfase5 2" xfId="1104"/>
    <cellStyle name="60% - Ênfase5 2 2" xfId="1105"/>
    <cellStyle name="60% - Ênfase5 3" xfId="1106"/>
    <cellStyle name="60% - Ênfase5 3 2" xfId="1107"/>
    <cellStyle name="60% - Ênfase6 2" xfId="1108"/>
    <cellStyle name="60% - Ênfase6 2 2" xfId="1109"/>
    <cellStyle name="60% - Ênfase6 3" xfId="1110"/>
    <cellStyle name="60% - Ênfase6 3 2" xfId="1111"/>
    <cellStyle name="Bom 2" xfId="1112"/>
    <cellStyle name="Bom 2 2" xfId="1113"/>
    <cellStyle name="Bom 3" xfId="1114"/>
    <cellStyle name="Bom 3 2" xfId="1115"/>
    <cellStyle name="Cálculo 2" xfId="1116"/>
    <cellStyle name="Cálculo 2 2" xfId="1117"/>
    <cellStyle name="Cálculo 3" xfId="1118"/>
    <cellStyle name="Cálculo 3 2" xfId="1119"/>
    <cellStyle name="Célula de Verificação 2" xfId="1120"/>
    <cellStyle name="Célula de Verificação 2 2" xfId="1121"/>
    <cellStyle name="Célula de Verificação 3" xfId="1122"/>
    <cellStyle name="Célula de Verificação 3 2" xfId="1123"/>
    <cellStyle name="Célula Vinculada 2" xfId="1124"/>
    <cellStyle name="Célula Vinculada 2 2" xfId="1125"/>
    <cellStyle name="Célula Vinculada 3" xfId="1126"/>
    <cellStyle name="Célula Vinculada 3 2" xfId="1127"/>
    <cellStyle name="Ênfase1 2" xfId="1128"/>
    <cellStyle name="Ênfase1 2 2" xfId="1129"/>
    <cellStyle name="Ênfase1 3" xfId="1130"/>
    <cellStyle name="Ênfase1 3 2" xfId="1131"/>
    <cellStyle name="Ênfase2 2" xfId="1132"/>
    <cellStyle name="Ênfase2 2 2" xfId="1133"/>
    <cellStyle name="Ênfase2 3" xfId="1134"/>
    <cellStyle name="Ênfase2 3 2" xfId="1135"/>
    <cellStyle name="Ênfase3 2" xfId="1136"/>
    <cellStyle name="Ênfase3 2 2" xfId="1137"/>
    <cellStyle name="Ênfase3 3" xfId="1138"/>
    <cellStyle name="Ênfase3 3 2" xfId="1139"/>
    <cellStyle name="Ênfase4 2" xfId="1140"/>
    <cellStyle name="Ênfase4 2 2" xfId="1141"/>
    <cellStyle name="Ênfase4 3" xfId="1142"/>
    <cellStyle name="Ênfase4 3 2" xfId="1143"/>
    <cellStyle name="Ênfase5 2" xfId="1144"/>
    <cellStyle name="Ênfase5 2 2" xfId="1145"/>
    <cellStyle name="Ênfase5 3" xfId="1146"/>
    <cellStyle name="Ênfase5 3 2" xfId="1147"/>
    <cellStyle name="Ênfase6 2" xfId="1148"/>
    <cellStyle name="Ênfase6 2 2" xfId="1149"/>
    <cellStyle name="Ênfase6 3" xfId="1150"/>
    <cellStyle name="Ênfase6 3 2" xfId="1151"/>
    <cellStyle name="Entrada 2" xfId="1152"/>
    <cellStyle name="Entrada 2 2" xfId="1153"/>
    <cellStyle name="Entrada 3" xfId="1154"/>
    <cellStyle name="Entrada 3 2" xfId="1155"/>
    <cellStyle name="Excel Built-in Normal" xfId="1156"/>
    <cellStyle name="Excel Built-in Normal 2" xfId="1157"/>
    <cellStyle name="Excel_BuiltIn_Texto Explicativo 1" xfId="1158"/>
    <cellStyle name="Hiperlink 2" xfId="1159"/>
    <cellStyle name="Incorreto 2" xfId="1160"/>
    <cellStyle name="Incorreto 2 2" xfId="1161"/>
    <cellStyle name="Incorreto 3" xfId="1162"/>
    <cellStyle name="Incorreto 3 2" xfId="1163"/>
    <cellStyle name="Moeda [0] 2" xfId="1164"/>
    <cellStyle name="Moeda [0] 2 2" xfId="1165"/>
    <cellStyle name="Moeda 2" xfId="1166"/>
    <cellStyle name="Moeda 2 2" xfId="1167"/>
    <cellStyle name="Moeda 3" xfId="1168"/>
    <cellStyle name="Moeda 3 2" xfId="1169"/>
    <cellStyle name="Moeda 4" xfId="1170"/>
    <cellStyle name="Moeda 4 2" xfId="1171"/>
    <cellStyle name="Moeda 4 3" xfId="1172"/>
    <cellStyle name="Moeda 4 4" xfId="1173"/>
    <cellStyle name="Moeda 5" xfId="1174"/>
    <cellStyle name="Moeda 5 2" xfId="1175"/>
    <cellStyle name="Moeda 6" xfId="1176"/>
    <cellStyle name="Moeda 7" xfId="1177"/>
    <cellStyle name="Neutra 2" xfId="1178"/>
    <cellStyle name="Neutra 2 2" xfId="1179"/>
    <cellStyle name="Neutra 3" xfId="1180"/>
    <cellStyle name="Neutra 3 2" xfId="1181"/>
    <cellStyle name="Normal" xfId="0" builtinId="0"/>
    <cellStyle name="Normal 10" xfId="1182"/>
    <cellStyle name="Normal 10 2" xfId="7"/>
    <cellStyle name="Normal 10 2 2" xfId="6"/>
    <cellStyle name="Normal 10 3" xfId="1183"/>
    <cellStyle name="Normal 10 3 2" xfId="1184"/>
    <cellStyle name="Normal 10 3 3" xfId="1185"/>
    <cellStyle name="Normal 10 4" xfId="1186"/>
    <cellStyle name="Normal 10 5" xfId="1187"/>
    <cellStyle name="Normal 11" xfId="1188"/>
    <cellStyle name="Normal 11 2" xfId="1189"/>
    <cellStyle name="Normal 11 2 2" xfId="1190"/>
    <cellStyle name="Normal 11 2 3" xfId="1191"/>
    <cellStyle name="Normal 11 3" xfId="1192"/>
    <cellStyle name="Normal 11 4" xfId="1193"/>
    <cellStyle name="Normal 12" xfId="1194"/>
    <cellStyle name="Normal 12 2" xfId="1195"/>
    <cellStyle name="Normal 12 2 2" xfId="1196"/>
    <cellStyle name="Normal 12 2 3" xfId="1197"/>
    <cellStyle name="Normal 12 3" xfId="1198"/>
    <cellStyle name="Normal 12 4" xfId="1199"/>
    <cellStyle name="Normal 13" xfId="1200"/>
    <cellStyle name="Normal 13 2" xfId="1201"/>
    <cellStyle name="Normal 13 2 2" xfId="1202"/>
    <cellStyle name="Normal 13 2 3" xfId="1203"/>
    <cellStyle name="Normal 13 3" xfId="1204"/>
    <cellStyle name="Normal 13 4" xfId="1205"/>
    <cellStyle name="Normal 14" xfId="1206"/>
    <cellStyle name="Normal 14 2" xfId="1207"/>
    <cellStyle name="Normal 14 2 2" xfId="1208"/>
    <cellStyle name="Normal 14 2 3" xfId="1209"/>
    <cellStyle name="Normal 14 3" xfId="1210"/>
    <cellStyle name="Normal 14 4" xfId="1211"/>
    <cellStyle name="Normal 15" xfId="1212"/>
    <cellStyle name="Normal 15 2" xfId="1213"/>
    <cellStyle name="Normal 15 2 2" xfId="1214"/>
    <cellStyle name="Normal 15 2 3" xfId="1215"/>
    <cellStyle name="Normal 15 3" xfId="1216"/>
    <cellStyle name="Normal 15 4" xfId="1217"/>
    <cellStyle name="Normal 16" xfId="1218"/>
    <cellStyle name="Normal 16 2" xfId="1219"/>
    <cellStyle name="Normal 16 2 2" xfId="1220"/>
    <cellStyle name="Normal 16 2 3" xfId="1221"/>
    <cellStyle name="Normal 16 3" xfId="1222"/>
    <cellStyle name="Normal 16 4" xfId="1223"/>
    <cellStyle name="Normal 17" xfId="1224"/>
    <cellStyle name="Normal 17 2" xfId="1225"/>
    <cellStyle name="Normal 17 2 2" xfId="1226"/>
    <cellStyle name="Normal 17 2 3" xfId="1227"/>
    <cellStyle name="Normal 17 3" xfId="1228"/>
    <cellStyle name="Normal 17 4" xfId="1229"/>
    <cellStyle name="Normal 18" xfId="1230"/>
    <cellStyle name="Normal 18 2" xfId="1231"/>
    <cellStyle name="Normal 18 2 2" xfId="1232"/>
    <cellStyle name="Normal 18 2 3" xfId="1233"/>
    <cellStyle name="Normal 18 3" xfId="1234"/>
    <cellStyle name="Normal 18 4" xfId="1235"/>
    <cellStyle name="Normal 19" xfId="1236"/>
    <cellStyle name="Normal 19 2" xfId="1237"/>
    <cellStyle name="Normal 19 2 2" xfId="1238"/>
    <cellStyle name="Normal 19 2 3" xfId="1239"/>
    <cellStyle name="Normal 19 3" xfId="1240"/>
    <cellStyle name="Normal 19 4" xfId="1241"/>
    <cellStyle name="Normal 2" xfId="1242"/>
    <cellStyle name="Normal 2 10" xfId="1243"/>
    <cellStyle name="Normal 2 11" xfId="1244"/>
    <cellStyle name="Normal 2 12" xfId="1245"/>
    <cellStyle name="Normal 2 2" xfId="1246"/>
    <cellStyle name="Normal 2 2 2" xfId="1247"/>
    <cellStyle name="Normal 2 2 2 2" xfId="1248"/>
    <cellStyle name="Normal 2 2 2 3" xfId="1249"/>
    <cellStyle name="Normal 2 2 3" xfId="1250"/>
    <cellStyle name="Normal 2 2 4" xfId="1251"/>
    <cellStyle name="Normal 2 3" xfId="1252"/>
    <cellStyle name="Normal 2 3 2" xfId="1253"/>
    <cellStyle name="Normal 2 3 2 2" xfId="1254"/>
    <cellStyle name="Normal 2 3 2 3" xfId="1255"/>
    <cellStyle name="Normal 2 3 3" xfId="1256"/>
    <cellStyle name="Normal 2 3 4" xfId="1257"/>
    <cellStyle name="Normal 2 4" xfId="1258"/>
    <cellStyle name="Normal 2 4 2" xfId="1259"/>
    <cellStyle name="Normal 2 4 2 2" xfId="1260"/>
    <cellStyle name="Normal 2 4 2 3" xfId="1261"/>
    <cellStyle name="Normal 2 4 3" xfId="1262"/>
    <cellStyle name="Normal 2 4 4" xfId="1263"/>
    <cellStyle name="Normal 2 5" xfId="1264"/>
    <cellStyle name="Normal 2 5 2" xfId="1265"/>
    <cellStyle name="Normal 2 5 2 2" xfId="1266"/>
    <cellStyle name="Normal 2 5 2 3" xfId="1267"/>
    <cellStyle name="Normal 2 5 3" xfId="1268"/>
    <cellStyle name="Normal 2 5 4" xfId="1269"/>
    <cellStyle name="Normal 2 6" xfId="1270"/>
    <cellStyle name="Normal 2 6 2" xfId="1271"/>
    <cellStyle name="Normal 2 6 2 2" xfId="1272"/>
    <cellStyle name="Normal 2 6 2 3" xfId="1273"/>
    <cellStyle name="Normal 2 6 3" xfId="1274"/>
    <cellStyle name="Normal 2 6 4" xfId="1275"/>
    <cellStyle name="Normal 2 7" xfId="1276"/>
    <cellStyle name="Normal 2 7 2" xfId="1277"/>
    <cellStyle name="Normal 2 7 2 2" xfId="1278"/>
    <cellStyle name="Normal 2 7 2 3" xfId="1279"/>
    <cellStyle name="Normal 2 7 3" xfId="1280"/>
    <cellStyle name="Normal 2 7 4" xfId="1281"/>
    <cellStyle name="Normal 2 8" xfId="1282"/>
    <cellStyle name="Normal 2 8 2" xfId="1283"/>
    <cellStyle name="Normal 2 8 2 2" xfId="1284"/>
    <cellStyle name="Normal 2 8 2 3" xfId="1285"/>
    <cellStyle name="Normal 2 8 3" xfId="1286"/>
    <cellStyle name="Normal 2 8 4" xfId="1287"/>
    <cellStyle name="Normal 2 9" xfId="1288"/>
    <cellStyle name="Normal 2 9 10" xfId="1289"/>
    <cellStyle name="Normal 2 9 11" xfId="1290"/>
    <cellStyle name="Normal 2 9 2" xfId="1291"/>
    <cellStyle name="Normal 2 9 2 2" xfId="1292"/>
    <cellStyle name="Normal 2 9 2 3" xfId="1293"/>
    <cellStyle name="Normal 2 9 3" xfId="1294"/>
    <cellStyle name="Normal 2 9 3 2" xfId="1295"/>
    <cellStyle name="Normal 2 9 3 3" xfId="1296"/>
    <cellStyle name="Normal 2 9 4" xfId="1297"/>
    <cellStyle name="Normal 2 9 4 2" xfId="1298"/>
    <cellStyle name="Normal 2 9 4 3" xfId="1299"/>
    <cellStyle name="Normal 2 9 5" xfId="1300"/>
    <cellStyle name="Normal 2 9 5 2" xfId="1301"/>
    <cellStyle name="Normal 2 9 5 3" xfId="1302"/>
    <cellStyle name="Normal 2 9 6" xfId="1303"/>
    <cellStyle name="Normal 2 9 6 2" xfId="1304"/>
    <cellStyle name="Normal 2 9 6 3" xfId="1305"/>
    <cellStyle name="Normal 2 9 7" xfId="1306"/>
    <cellStyle name="Normal 2 9 7 2" xfId="1307"/>
    <cellStyle name="Normal 2 9 7 3" xfId="1308"/>
    <cellStyle name="Normal 2 9 8" xfId="1309"/>
    <cellStyle name="Normal 2 9 8 2" xfId="1310"/>
    <cellStyle name="Normal 2 9 8 3" xfId="1311"/>
    <cellStyle name="Normal 2 9 9" xfId="1312"/>
    <cellStyle name="Normal 2 9 9 2" xfId="1313"/>
    <cellStyle name="Normal 2 9 9 3" xfId="1314"/>
    <cellStyle name="Normal 20" xfId="1315"/>
    <cellStyle name="Normal 20 2" xfId="1316"/>
    <cellStyle name="Normal 20 3" xfId="1317"/>
    <cellStyle name="Normal 21" xfId="1318"/>
    <cellStyle name="Normal 21 2" xfId="1319"/>
    <cellStyle name="Normal 21 3" xfId="1320"/>
    <cellStyle name="Normal 22" xfId="1321"/>
    <cellStyle name="Normal 22 2" xfId="1322"/>
    <cellStyle name="Normal 22 3" xfId="1323"/>
    <cellStyle name="Normal 23" xfId="1324"/>
    <cellStyle name="Normal 23 2" xfId="1325"/>
    <cellStyle name="Normal 23 3" xfId="1326"/>
    <cellStyle name="Normal 24" xfId="1327"/>
    <cellStyle name="Normal 24 2" xfId="1328"/>
    <cellStyle name="Normal 24 3" xfId="1329"/>
    <cellStyle name="Normal 25" xfId="1330"/>
    <cellStyle name="Normal 25 2" xfId="1331"/>
    <cellStyle name="Normal 25 3" xfId="1332"/>
    <cellStyle name="Normal 26" xfId="1333"/>
    <cellStyle name="Normal 26 2" xfId="1334"/>
    <cellStyle name="Normal 26 3" xfId="1335"/>
    <cellStyle name="Normal 27" xfId="1336"/>
    <cellStyle name="Normal 27 2" xfId="1337"/>
    <cellStyle name="Normal 27 3" xfId="1338"/>
    <cellStyle name="Normal 28" xfId="1339"/>
    <cellStyle name="Normal 28 2" xfId="1340"/>
    <cellStyle name="Normal 28 3" xfId="1341"/>
    <cellStyle name="Normal 29" xfId="1342"/>
    <cellStyle name="Normal 29 2" xfId="1343"/>
    <cellStyle name="Normal 29 3" xfId="1344"/>
    <cellStyle name="Normal 3" xfId="1345"/>
    <cellStyle name="Normal 3 2" xfId="1346"/>
    <cellStyle name="Normal 30" xfId="1347"/>
    <cellStyle name="Normal 30 2" xfId="1348"/>
    <cellStyle name="Normal 30 3" xfId="1349"/>
    <cellStyle name="Normal 31" xfId="1350"/>
    <cellStyle name="Normal 31 2" xfId="1351"/>
    <cellStyle name="Normal 31 3" xfId="1352"/>
    <cellStyle name="Normal 32" xfId="1353"/>
    <cellStyle name="Normal 32 2" xfId="1354"/>
    <cellStyle name="Normal 32 3" xfId="1355"/>
    <cellStyle name="Normal 33" xfId="1356"/>
    <cellStyle name="Normal 33 2" xfId="1357"/>
    <cellStyle name="Normal 33 3" xfId="1358"/>
    <cellStyle name="Normal 34" xfId="1359"/>
    <cellStyle name="Normal 34 2" xfId="1360"/>
    <cellStyle name="Normal 34 3" xfId="1361"/>
    <cellStyle name="Normal 35" xfId="1362"/>
    <cellStyle name="Normal 35 2" xfId="1363"/>
    <cellStyle name="Normal 36" xfId="1364"/>
    <cellStyle name="Normal 36 2" xfId="1365"/>
    <cellStyle name="Normal 36 3" xfId="1366"/>
    <cellStyle name="Normal 37" xfId="1367"/>
    <cellStyle name="Normal 37 2" xfId="1368"/>
    <cellStyle name="Normal 38" xfId="1369"/>
    <cellStyle name="Normal 38 2" xfId="1370"/>
    <cellStyle name="Normal 38 3" xfId="1371"/>
    <cellStyle name="Normal 39" xfId="1372"/>
    <cellStyle name="Normal 39 2" xfId="1373"/>
    <cellStyle name="Normal 39 3" xfId="1374"/>
    <cellStyle name="Normal 4" xfId="1375"/>
    <cellStyle name="Normal 4 2" xfId="1376"/>
    <cellStyle name="Normal 4 3" xfId="1377"/>
    <cellStyle name="Normal 4 4" xfId="1378"/>
    <cellStyle name="Normal 40" xfId="1379"/>
    <cellStyle name="Normal 40 2" xfId="1380"/>
    <cellStyle name="Normal 40 3" xfId="1381"/>
    <cellStyle name="Normal 41" xfId="1382"/>
    <cellStyle name="Normal 41 2" xfId="1383"/>
    <cellStyle name="Normal 41 3" xfId="1384"/>
    <cellStyle name="Normal 42" xfId="3"/>
    <cellStyle name="Normal 42 2" xfId="1385"/>
    <cellStyle name="Normal 42 3" xfId="1386"/>
    <cellStyle name="Normal 43" xfId="1387"/>
    <cellStyle name="Normal 43 2" xfId="1388"/>
    <cellStyle name="Normal 43 3" xfId="1389"/>
    <cellStyle name="Normal 44" xfId="1390"/>
    <cellStyle name="Normal 44 2" xfId="1391"/>
    <cellStyle name="Normal 45" xfId="1392"/>
    <cellStyle name="Normal 46" xfId="1393"/>
    <cellStyle name="Normal 5" xfId="1394"/>
    <cellStyle name="Normal 5 2" xfId="1395"/>
    <cellStyle name="Normal 5 2 2" xfId="1396"/>
    <cellStyle name="Normal 5 2 2 2" xfId="1397"/>
    <cellStyle name="Normal 5 2 2 3" xfId="1398"/>
    <cellStyle name="Normal 5 2 3" xfId="1399"/>
    <cellStyle name="Normal 5 2 4" xfId="1400"/>
    <cellStyle name="Normal 5 3" xfId="1401"/>
    <cellStyle name="Normal 5 3 2" xfId="1402"/>
    <cellStyle name="Normal 5 3 3" xfId="1403"/>
    <cellStyle name="Normal 5 4" xfId="1404"/>
    <cellStyle name="Normal 5 5" xfId="1405"/>
    <cellStyle name="Normal 6" xfId="1406"/>
    <cellStyle name="Normal 6 2" xfId="1407"/>
    <cellStyle name="Normal 6 2 2" xfId="1408"/>
    <cellStyle name="Normal 6 2 3" xfId="1409"/>
    <cellStyle name="Normal 6 3" xfId="1410"/>
    <cellStyle name="Normal 6 4" xfId="1411"/>
    <cellStyle name="Normal 7" xfId="1412"/>
    <cellStyle name="Normal 7 2" xfId="1413"/>
    <cellStyle name="Normal 7 2 2" xfId="1414"/>
    <cellStyle name="Normal 7 2 3" xfId="1415"/>
    <cellStyle name="Normal 7 3" xfId="1416"/>
    <cellStyle name="Normal 7 4" xfId="1417"/>
    <cellStyle name="Normal 8" xfId="1418"/>
    <cellStyle name="Normal 8 2" xfId="1419"/>
    <cellStyle name="Normal 8 2 2" xfId="1420"/>
    <cellStyle name="Normal 8 2 3" xfId="1421"/>
    <cellStyle name="Normal 8 3" xfId="1422"/>
    <cellStyle name="Normal 8 4" xfId="1423"/>
    <cellStyle name="Normal 9" xfId="1424"/>
    <cellStyle name="Normal 9 2" xfId="1425"/>
    <cellStyle name="Normal 9 2 2" xfId="1426"/>
    <cellStyle name="Normal 9 3" xfId="1427"/>
    <cellStyle name="Normal 9 3 2" xfId="1428"/>
    <cellStyle name="Normal 9 3 3" xfId="1429"/>
    <cellStyle name="Normal 9 4" xfId="1430"/>
    <cellStyle name="Normal 9 5" xfId="1431"/>
    <cellStyle name="Nota 10" xfId="1432"/>
    <cellStyle name="Nota 10 2" xfId="1433"/>
    <cellStyle name="Nota 10 2 2" xfId="1434"/>
    <cellStyle name="Nota 10 2 3" xfId="1435"/>
    <cellStyle name="Nota 10 3" xfId="1436"/>
    <cellStyle name="Nota 10 4" xfId="1437"/>
    <cellStyle name="Nota 11" xfId="1438"/>
    <cellStyle name="Nota 11 2" xfId="1439"/>
    <cellStyle name="Nota 11 2 2" xfId="1440"/>
    <cellStyle name="Nota 11 2 3" xfId="1441"/>
    <cellStyle name="Nota 11 3" xfId="1442"/>
    <cellStyle name="Nota 11 4" xfId="1443"/>
    <cellStyle name="Nota 12" xfId="1444"/>
    <cellStyle name="Nota 12 2" xfId="1445"/>
    <cellStyle name="Nota 12 3" xfId="1446"/>
    <cellStyle name="Nota 13" xfId="1447"/>
    <cellStyle name="Nota 13 2" xfId="1448"/>
    <cellStyle name="Nota 13 3" xfId="1449"/>
    <cellStyle name="Nota 14" xfId="1450"/>
    <cellStyle name="Nota 14 2" xfId="1451"/>
    <cellStyle name="Nota 14 3" xfId="1452"/>
    <cellStyle name="Nota 15" xfId="1453"/>
    <cellStyle name="Nota 15 2" xfId="1454"/>
    <cellStyle name="Nota 15 3" xfId="1455"/>
    <cellStyle name="Nota 16" xfId="1456"/>
    <cellStyle name="Nota 16 2" xfId="1457"/>
    <cellStyle name="Nota 16 3" xfId="1458"/>
    <cellStyle name="Nota 17" xfId="1459"/>
    <cellStyle name="Nota 17 2" xfId="1460"/>
    <cellStyle name="Nota 17 3" xfId="1461"/>
    <cellStyle name="Nota 18" xfId="1462"/>
    <cellStyle name="Nota 18 2" xfId="1463"/>
    <cellStyle name="Nota 18 3" xfId="1464"/>
    <cellStyle name="Nota 19" xfId="1465"/>
    <cellStyle name="Nota 19 2" xfId="1466"/>
    <cellStyle name="Nota 19 3" xfId="1467"/>
    <cellStyle name="Nota 2" xfId="1468"/>
    <cellStyle name="Nota 2 2" xfId="1469"/>
    <cellStyle name="Nota 2 2 2" xfId="1470"/>
    <cellStyle name="Nota 2 2 2 2" xfId="1471"/>
    <cellStyle name="Nota 2 2 2 3" xfId="1472"/>
    <cellStyle name="Nota 2 2 3" xfId="1473"/>
    <cellStyle name="Nota 2 2 4" xfId="1474"/>
    <cellStyle name="Nota 2 3" xfId="1475"/>
    <cellStyle name="Nota 2 3 2" xfId="1476"/>
    <cellStyle name="Nota 2 3 3" xfId="1477"/>
    <cellStyle name="Nota 2 4" xfId="1478"/>
    <cellStyle name="Nota 2 5" xfId="1479"/>
    <cellStyle name="Nota 20" xfId="1480"/>
    <cellStyle name="Nota 20 2" xfId="1481"/>
    <cellStyle name="Nota 20 3" xfId="1482"/>
    <cellStyle name="Nota 21" xfId="1483"/>
    <cellStyle name="Nota 21 2" xfId="1484"/>
    <cellStyle name="Nota 21 3" xfId="1485"/>
    <cellStyle name="Nota 22" xfId="1486"/>
    <cellStyle name="Nota 22 2" xfId="1487"/>
    <cellStyle name="Nota 22 3" xfId="1488"/>
    <cellStyle name="Nota 23" xfId="1489"/>
    <cellStyle name="Nota 23 2" xfId="1490"/>
    <cellStyle name="Nota 3" xfId="1491"/>
    <cellStyle name="Nota 3 2" xfId="1492"/>
    <cellStyle name="Nota 3 2 2" xfId="1493"/>
    <cellStyle name="Nota 3 2 3" xfId="1494"/>
    <cellStyle name="Nota 3 3" xfId="1495"/>
    <cellStyle name="Nota 3 4" xfId="1496"/>
    <cellStyle name="Nota 4" xfId="1497"/>
    <cellStyle name="Nota 4 2" xfId="1498"/>
    <cellStyle name="Nota 4 2 2" xfId="1499"/>
    <cellStyle name="Nota 4 2 3" xfId="1500"/>
    <cellStyle name="Nota 4 3" xfId="1501"/>
    <cellStyle name="Nota 4 4" xfId="1502"/>
    <cellStyle name="Nota 5" xfId="1503"/>
    <cellStyle name="Nota 5 2" xfId="1504"/>
    <cellStyle name="Nota 5 2 2" xfId="1505"/>
    <cellStyle name="Nota 5 2 3" xfId="1506"/>
    <cellStyle name="Nota 5 3" xfId="1507"/>
    <cellStyle name="Nota 5 4" xfId="1508"/>
    <cellStyle name="Nota 6" xfId="1509"/>
    <cellStyle name="Nota 6 2" xfId="1510"/>
    <cellStyle name="Nota 6 2 2" xfId="1511"/>
    <cellStyle name="Nota 6 2 3" xfId="1512"/>
    <cellStyle name="Nota 6 3" xfId="1513"/>
    <cellStyle name="Nota 6 4" xfId="1514"/>
    <cellStyle name="Nota 7" xfId="1515"/>
    <cellStyle name="Nota 7 2" xfId="1516"/>
    <cellStyle name="Nota 7 2 2" xfId="1517"/>
    <cellStyle name="Nota 7 2 3" xfId="1518"/>
    <cellStyle name="Nota 7 3" xfId="1519"/>
    <cellStyle name="Nota 7 4" xfId="1520"/>
    <cellStyle name="Nota 8" xfId="1521"/>
    <cellStyle name="Nota 8 2" xfId="1522"/>
    <cellStyle name="Nota 8 2 2" xfId="1523"/>
    <cellStyle name="Nota 8 2 3" xfId="1524"/>
    <cellStyle name="Nota 8 3" xfId="1525"/>
    <cellStyle name="Nota 8 4" xfId="1526"/>
    <cellStyle name="Nota 9" xfId="1527"/>
    <cellStyle name="Nota 9 2" xfId="1528"/>
    <cellStyle name="Nota 9 2 2" xfId="1529"/>
    <cellStyle name="Nota 9 2 3" xfId="1530"/>
    <cellStyle name="Nota 9 3" xfId="1531"/>
    <cellStyle name="Nota 9 4" xfId="1532"/>
    <cellStyle name="Porcentagem 2" xfId="1533"/>
    <cellStyle name="Porcentagem 2 2" xfId="1534"/>
    <cellStyle name="Saída 2" xfId="1535"/>
    <cellStyle name="Saída 2 2" xfId="1536"/>
    <cellStyle name="Saída 3" xfId="1537"/>
    <cellStyle name="Saída 3 2" xfId="1538"/>
    <cellStyle name="Separador de milhares [0] 2" xfId="1539"/>
    <cellStyle name="Separador de milhares [0] 2 2" xfId="1540"/>
    <cellStyle name="Separador de milhares 2" xfId="1541"/>
    <cellStyle name="Separador de milhares 2 2" xfId="1542"/>
    <cellStyle name="Separador de milhares 2 2 2" xfId="1543"/>
    <cellStyle name="Separador de milhares 2 2 3" xfId="1544"/>
    <cellStyle name="Separador de milhares 2 3" xfId="1545"/>
    <cellStyle name="Separador de milhares 2 3 2" xfId="1546"/>
    <cellStyle name="Separador de milhares 2 3 3" xfId="1547"/>
    <cellStyle name="Separador de milhares 2 3 4" xfId="1548"/>
    <cellStyle name="Separador de milhares 2 4" xfId="1549"/>
    <cellStyle name="Separador de milhares 2 5" xfId="1550"/>
    <cellStyle name="Separador de milhares 2 6" xfId="1551"/>
    <cellStyle name="Separador de milhares 3" xfId="1552"/>
    <cellStyle name="Separador de milhares 3 10" xfId="1553"/>
    <cellStyle name="Separador de milhares 3 10 2" xfId="1554"/>
    <cellStyle name="Separador de milhares 3 2" xfId="1555"/>
    <cellStyle name="Separador de milhares 3 2 2" xfId="1556"/>
    <cellStyle name="Separador de milhares 3 2 3" xfId="1557"/>
    <cellStyle name="Separador de milhares 3 2 4" xfId="1558"/>
    <cellStyle name="Separador de milhares 3 3" xfId="1559"/>
    <cellStyle name="Separador de milhares 4" xfId="1560"/>
    <cellStyle name="Separador de milhares 4 2" xfId="1561"/>
    <cellStyle name="Separador de milhares 4 2 2" xfId="1562"/>
    <cellStyle name="Separador de milhares 4 2 2 2" xfId="1563"/>
    <cellStyle name="Separador de milhares 4 2 2 3" xfId="1564"/>
    <cellStyle name="Separador de milhares 4 2 3" xfId="1565"/>
    <cellStyle name="Separador de milhares 4 2 4" xfId="1566"/>
    <cellStyle name="Separador de milhares 4 3" xfId="1567"/>
    <cellStyle name="Separador de milhares 4 3 2" xfId="1568"/>
    <cellStyle name="Separador de milhares 4 3 3" xfId="1569"/>
    <cellStyle name="Separador de milhares 4 4" xfId="1570"/>
    <cellStyle name="Separador de milhares 4 5" xfId="1571"/>
    <cellStyle name="TableStyleLight1" xfId="1"/>
    <cellStyle name="TableStyleLight1 2" xfId="5"/>
    <cellStyle name="Texto de Aviso 2" xfId="1572"/>
    <cellStyle name="Texto de Aviso 2 2" xfId="1573"/>
    <cellStyle name="Texto de Aviso 3" xfId="1574"/>
    <cellStyle name="Texto de Aviso 3 2" xfId="1575"/>
    <cellStyle name="Texto Explicativo 2" xfId="1576"/>
    <cellStyle name="Texto Explicativo 2 2" xfId="1577"/>
    <cellStyle name="Texto Explicativo 3" xfId="1578"/>
    <cellStyle name="Texto Explicativo 3 2" xfId="1579"/>
    <cellStyle name="Título 1 2" xfId="1580"/>
    <cellStyle name="Título 1 2 2" xfId="1581"/>
    <cellStyle name="Título 1 3" xfId="1582"/>
    <cellStyle name="Título 1 3 2" xfId="1583"/>
    <cellStyle name="Título 2 2" xfId="1584"/>
    <cellStyle name="Título 2 2 2" xfId="1585"/>
    <cellStyle name="Título 2 3" xfId="1586"/>
    <cellStyle name="Título 2 3 2" xfId="1587"/>
    <cellStyle name="Título 3 2" xfId="1588"/>
    <cellStyle name="Título 3 2 2" xfId="1589"/>
    <cellStyle name="Título 3 3" xfId="1590"/>
    <cellStyle name="Título 3 3 2" xfId="1591"/>
    <cellStyle name="Título 4 2" xfId="1592"/>
    <cellStyle name="Título 4 2 2" xfId="1593"/>
    <cellStyle name="Título 4 3" xfId="1594"/>
    <cellStyle name="Título 4 3 2" xfId="1595"/>
    <cellStyle name="Título 5" xfId="1596"/>
    <cellStyle name="Título 5 2" xfId="1597"/>
    <cellStyle name="Título 6" xfId="1598"/>
    <cellStyle name="Título 6 2" xfId="1599"/>
    <cellStyle name="Título 7" xfId="1600"/>
    <cellStyle name="Título 7 2" xfId="1601"/>
    <cellStyle name="Total 2" xfId="1602"/>
    <cellStyle name="Total 2 2" xfId="1603"/>
    <cellStyle name="Total 3" xfId="1604"/>
    <cellStyle name="Total 3 2" xfId="1605"/>
    <cellStyle name="Vírgula 10" xfId="1606"/>
    <cellStyle name="Vírgula 10 2" xfId="1607"/>
    <cellStyle name="Vírgula 10 3" xfId="1608"/>
    <cellStyle name="Vírgula 11" xfId="1609"/>
    <cellStyle name="Vírgula 11 2" xfId="1610"/>
    <cellStyle name="Vírgula 11 3" xfId="1611"/>
    <cellStyle name="Vírgula 12" xfId="1612"/>
    <cellStyle name="Vírgula 12 2" xfId="1613"/>
    <cellStyle name="Vírgula 12 3" xfId="1614"/>
    <cellStyle name="Vírgula 13" xfId="1615"/>
    <cellStyle name="Vírgula 13 2" xfId="1616"/>
    <cellStyle name="Vírgula 13 3" xfId="1617"/>
    <cellStyle name="Vírgula 14" xfId="1618"/>
    <cellStyle name="Vírgula 14 2" xfId="1619"/>
    <cellStyle name="Vírgula 14 3" xfId="1620"/>
    <cellStyle name="Vírgula 15" xfId="1621"/>
    <cellStyle name="Vírgula 15 2" xfId="1622"/>
    <cellStyle name="Vírgula 15 3" xfId="1623"/>
    <cellStyle name="Vírgula 16" xfId="1624"/>
    <cellStyle name="Vírgula 16 2" xfId="1625"/>
    <cellStyle name="Vírgula 16 3" xfId="1626"/>
    <cellStyle name="Vírgula 16 4" xfId="1627"/>
    <cellStyle name="Vírgula 16 5" xfId="1628"/>
    <cellStyle name="Vírgula 17" xfId="1629"/>
    <cellStyle name="Vírgula 17 2" xfId="1630"/>
    <cellStyle name="Vírgula 17 3" xfId="1631"/>
    <cellStyle name="Vírgula 18" xfId="1632"/>
    <cellStyle name="Vírgula 18 2" xfId="1633"/>
    <cellStyle name="Vírgula 18 3" xfId="1634"/>
    <cellStyle name="Vírgula 19" xfId="1635"/>
    <cellStyle name="Vírgula 19 2" xfId="1636"/>
    <cellStyle name="Vírgula 19 3" xfId="1637"/>
    <cellStyle name="Vírgula 2" xfId="1638"/>
    <cellStyle name="Vírgula 2 2" xfId="1639"/>
    <cellStyle name="Vírgula 2 2 2" xfId="1640"/>
    <cellStyle name="Vírgula 2 2 3" xfId="1641"/>
    <cellStyle name="Vírgula 2 3" xfId="1642"/>
    <cellStyle name="Vírgula 2 4" xfId="1643"/>
    <cellStyle name="Vírgula 20" xfId="1644"/>
    <cellStyle name="Vírgula 20 2" xfId="1645"/>
    <cellStyle name="Vírgula 20 3" xfId="1646"/>
    <cellStyle name="Vírgula 21" xfId="1647"/>
    <cellStyle name="Vírgula 21 2" xfId="1648"/>
    <cellStyle name="Vírgula 21 2 2" xfId="1649"/>
    <cellStyle name="Vírgula 21 3" xfId="1650"/>
    <cellStyle name="Vírgula 22" xfId="1651"/>
    <cellStyle name="Vírgula 23" xfId="1652"/>
    <cellStyle name="Vírgula 3" xfId="1653"/>
    <cellStyle name="Vírgula 3 2" xfId="1654"/>
    <cellStyle name="Vírgula 3 2 2" xfId="1655"/>
    <cellStyle name="Vírgula 3 2 3" xfId="1656"/>
    <cellStyle name="Vírgula 3 3" xfId="1657"/>
    <cellStyle name="Vírgula 3 4" xfId="1658"/>
    <cellStyle name="Vírgula 4" xfId="1659"/>
    <cellStyle name="Vírgula 4 2" xfId="2"/>
    <cellStyle name="Vírgula 4 2 2" xfId="4"/>
    <cellStyle name="Vírgula 4 3" xfId="1660"/>
    <cellStyle name="Vírgula 4 3 2" xfId="1661"/>
    <cellStyle name="Vírgula 4 3 3" xfId="1662"/>
    <cellStyle name="Vírgula 4 4" xfId="1663"/>
    <cellStyle name="Vírgula 4 5" xfId="1664"/>
    <cellStyle name="Vírgula 5" xfId="1665"/>
    <cellStyle name="Vírgula 5 2" xfId="1666"/>
    <cellStyle name="Vírgula 5 2 2" xfId="1667"/>
    <cellStyle name="Vírgula 5 2 3" xfId="1668"/>
    <cellStyle name="Vírgula 5 3" xfId="1669"/>
    <cellStyle name="Vírgula 5 4" xfId="1670"/>
    <cellStyle name="Vírgula 6" xfId="1671"/>
    <cellStyle name="Vírgula 6 2" xfId="1672"/>
    <cellStyle name="Vírgula 6 2 2" xfId="1673"/>
    <cellStyle name="Vírgula 6 2 3" xfId="1674"/>
    <cellStyle name="Vírgula 6 3" xfId="1675"/>
    <cellStyle name="Vírgula 6 4" xfId="1676"/>
    <cellStyle name="Vírgula 7" xfId="1677"/>
    <cellStyle name="Vírgula 7 2" xfId="1678"/>
    <cellStyle name="Vírgula 7 2 2" xfId="1679"/>
    <cellStyle name="Vírgula 7 2 3" xfId="1680"/>
    <cellStyle name="Vírgula 7 3" xfId="1681"/>
    <cellStyle name="Vírgula 7 4" xfId="1682"/>
    <cellStyle name="Vírgula 8" xfId="1683"/>
    <cellStyle name="Vírgula 8 2" xfId="1684"/>
    <cellStyle name="Vírgula 8 2 2" xfId="1685"/>
    <cellStyle name="Vírgula 8 2 3" xfId="1686"/>
    <cellStyle name="Vírgula 8 3" xfId="1687"/>
    <cellStyle name="Vírgula 8 4" xfId="1688"/>
    <cellStyle name="Vírgula 9" xfId="1689"/>
    <cellStyle name="Vírgula 9 2" xfId="1690"/>
    <cellStyle name="Vírgula 9 3" xfId="16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/11.PCF%20Novembr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01"/>
  <sheetViews>
    <sheetView tabSelected="1" topLeftCell="A115" zoomScaleNormal="100" workbookViewId="0">
      <selection activeCell="D61" sqref="D61"/>
    </sheetView>
  </sheetViews>
  <sheetFormatPr defaultColWidth="9" defaultRowHeight="15.75"/>
  <cols>
    <col min="1" max="1" width="23.7109375" style="58" customWidth="1"/>
    <col min="2" max="2" width="56.140625" style="58" customWidth="1"/>
    <col min="3" max="3" width="22.28515625" style="59" customWidth="1"/>
    <col min="4" max="4" width="48.42578125" style="59" customWidth="1"/>
    <col min="5" max="5" width="16.140625" style="60" customWidth="1"/>
    <col min="6" max="6" width="15.140625" style="60" customWidth="1"/>
    <col min="7" max="7" width="14.42578125" style="60" customWidth="1"/>
    <col min="8" max="8" width="7.28515625" style="60" customWidth="1"/>
    <col min="9" max="9" width="10.28515625" style="60" customWidth="1"/>
    <col min="10" max="10" width="10.7109375" style="60" customWidth="1"/>
    <col min="11" max="11" width="14.85546875" style="60" customWidth="1"/>
    <col min="12" max="12" width="17.28515625" style="60" customWidth="1"/>
    <col min="13" max="13" width="15" style="60" customWidth="1"/>
    <col min="14" max="14" width="17" style="60" customWidth="1"/>
    <col min="15" max="15" width="17.7109375" style="60" customWidth="1"/>
    <col min="16" max="16" width="15.140625" style="60" customWidth="1"/>
    <col min="17" max="17" width="17.42578125" style="60" customWidth="1"/>
    <col min="18" max="18" width="17.5703125" style="61" customWidth="1"/>
    <col min="19" max="19" width="15.7109375" style="61" customWidth="1"/>
    <col min="20" max="20" width="15.28515625" style="61" customWidth="1"/>
    <col min="21" max="21" width="15.85546875" style="61" customWidth="1"/>
    <col min="22" max="22" width="14" style="61" customWidth="1"/>
    <col min="23" max="23" width="18.140625" style="61" customWidth="1"/>
    <col min="24" max="24" width="15.28515625" style="61" customWidth="1"/>
    <col min="25" max="25" width="16" style="61" customWidth="1"/>
    <col min="26" max="26" width="14.5703125" style="61" customWidth="1"/>
    <col min="27" max="27" width="19.7109375" style="61" customWidth="1"/>
    <col min="28" max="28" width="17.28515625" style="62" customWidth="1"/>
    <col min="29" max="238" width="9.140625" style="57" customWidth="1"/>
    <col min="239" max="239" width="9" style="57"/>
    <col min="240" max="240" width="6.5703125" style="57" customWidth="1"/>
    <col min="241" max="241" width="79.5703125" style="57" customWidth="1"/>
    <col min="242" max="242" width="23.5703125" style="57" customWidth="1"/>
    <col min="243" max="243" width="27.85546875" style="57" customWidth="1"/>
    <col min="244" max="244" width="22.28515625" style="57" customWidth="1"/>
    <col min="245" max="245" width="23.5703125" style="57" customWidth="1"/>
    <col min="246" max="246" width="39" style="57" customWidth="1"/>
    <col min="247" max="247" width="36.42578125" style="57" customWidth="1"/>
    <col min="248" max="248" width="8" style="57" customWidth="1"/>
    <col min="249" max="249" width="15.5703125" style="57" customWidth="1"/>
    <col min="250" max="250" width="17.28515625" style="57" customWidth="1"/>
    <col min="251" max="251" width="18.85546875" style="57" customWidth="1"/>
    <col min="252" max="252" width="81" style="57" customWidth="1"/>
    <col min="253" max="253" width="14.85546875" style="57" customWidth="1"/>
    <col min="254" max="254" width="15.7109375" style="57" customWidth="1"/>
    <col min="255" max="255" width="17.5703125" style="57" customWidth="1"/>
    <col min="256" max="256" width="18.42578125" style="57" customWidth="1"/>
    <col min="257" max="257" width="16.5703125" style="57" customWidth="1"/>
    <col min="258" max="258" width="17.7109375" style="57" customWidth="1"/>
    <col min="259" max="259" width="17.85546875" style="57" customWidth="1"/>
    <col min="260" max="260" width="18.42578125" style="57" customWidth="1"/>
    <col min="261" max="261" width="15.42578125" style="57" customWidth="1"/>
    <col min="262" max="262" width="14.5703125" style="57" customWidth="1"/>
    <col min="263" max="263" width="15" style="57" customWidth="1"/>
    <col min="264" max="264" width="6.7109375" style="57" customWidth="1"/>
    <col min="265" max="265" width="14.28515625" style="57" customWidth="1"/>
    <col min="266" max="266" width="17.5703125" style="57" customWidth="1"/>
    <col min="267" max="267" width="27.7109375" style="57" customWidth="1"/>
    <col min="268" max="270" width="9.140625" style="57" customWidth="1"/>
    <col min="271" max="271" width="14.85546875" style="57" customWidth="1"/>
    <col min="272" max="272" width="13.85546875" style="57" customWidth="1"/>
    <col min="273" max="494" width="9.140625" style="57" customWidth="1"/>
    <col min="495" max="495" width="9" style="57"/>
    <col min="496" max="496" width="6.5703125" style="57" customWidth="1"/>
    <col min="497" max="497" width="79.5703125" style="57" customWidth="1"/>
    <col min="498" max="498" width="23.5703125" style="57" customWidth="1"/>
    <col min="499" max="499" width="27.85546875" style="57" customWidth="1"/>
    <col min="500" max="500" width="22.28515625" style="57" customWidth="1"/>
    <col min="501" max="501" width="23.5703125" style="57" customWidth="1"/>
    <col min="502" max="502" width="39" style="57" customWidth="1"/>
    <col min="503" max="503" width="36.42578125" style="57" customWidth="1"/>
    <col min="504" max="504" width="8" style="57" customWidth="1"/>
    <col min="505" max="505" width="15.5703125" style="57" customWidth="1"/>
    <col min="506" max="506" width="17.28515625" style="57" customWidth="1"/>
    <col min="507" max="507" width="18.85546875" style="57" customWidth="1"/>
    <col min="508" max="508" width="81" style="57" customWidth="1"/>
    <col min="509" max="509" width="14.85546875" style="57" customWidth="1"/>
    <col min="510" max="510" width="15.7109375" style="57" customWidth="1"/>
    <col min="511" max="511" width="17.5703125" style="57" customWidth="1"/>
    <col min="512" max="512" width="18.42578125" style="57" customWidth="1"/>
    <col min="513" max="513" width="16.5703125" style="57" customWidth="1"/>
    <col min="514" max="514" width="17.7109375" style="57" customWidth="1"/>
    <col min="515" max="515" width="17.85546875" style="57" customWidth="1"/>
    <col min="516" max="516" width="18.42578125" style="57" customWidth="1"/>
    <col min="517" max="517" width="15.42578125" style="57" customWidth="1"/>
    <col min="518" max="518" width="14.5703125" style="57" customWidth="1"/>
    <col min="519" max="519" width="15" style="57" customWidth="1"/>
    <col min="520" max="520" width="6.7109375" style="57" customWidth="1"/>
    <col min="521" max="521" width="14.28515625" style="57" customWidth="1"/>
    <col min="522" max="522" width="17.5703125" style="57" customWidth="1"/>
    <col min="523" max="523" width="27.7109375" style="57" customWidth="1"/>
    <col min="524" max="526" width="9.140625" style="57" customWidth="1"/>
    <col min="527" max="527" width="14.85546875" style="57" customWidth="1"/>
    <col min="528" max="528" width="13.85546875" style="57" customWidth="1"/>
    <col min="529" max="750" width="9.140625" style="57" customWidth="1"/>
    <col min="751" max="751" width="9" style="57"/>
    <col min="752" max="752" width="6.5703125" style="57" customWidth="1"/>
    <col min="753" max="753" width="79.5703125" style="57" customWidth="1"/>
    <col min="754" max="754" width="23.5703125" style="57" customWidth="1"/>
    <col min="755" max="755" width="27.85546875" style="57" customWidth="1"/>
    <col min="756" max="756" width="22.28515625" style="57" customWidth="1"/>
    <col min="757" max="757" width="23.5703125" style="57" customWidth="1"/>
    <col min="758" max="758" width="39" style="57" customWidth="1"/>
    <col min="759" max="759" width="36.42578125" style="57" customWidth="1"/>
    <col min="760" max="760" width="8" style="57" customWidth="1"/>
    <col min="761" max="761" width="15.5703125" style="57" customWidth="1"/>
    <col min="762" max="762" width="17.28515625" style="57" customWidth="1"/>
    <col min="763" max="763" width="18.85546875" style="57" customWidth="1"/>
    <col min="764" max="764" width="81" style="57" customWidth="1"/>
    <col min="765" max="765" width="14.85546875" style="57" customWidth="1"/>
    <col min="766" max="766" width="15.7109375" style="57" customWidth="1"/>
    <col min="767" max="767" width="17.5703125" style="57" customWidth="1"/>
    <col min="768" max="768" width="18.42578125" style="57" customWidth="1"/>
    <col min="769" max="769" width="16.5703125" style="57" customWidth="1"/>
    <col min="770" max="770" width="17.7109375" style="57" customWidth="1"/>
    <col min="771" max="771" width="17.85546875" style="57" customWidth="1"/>
    <col min="772" max="772" width="18.42578125" style="57" customWidth="1"/>
    <col min="773" max="773" width="15.42578125" style="57" customWidth="1"/>
    <col min="774" max="774" width="14.5703125" style="57" customWidth="1"/>
    <col min="775" max="775" width="15" style="57" customWidth="1"/>
    <col min="776" max="776" width="6.7109375" style="57" customWidth="1"/>
    <col min="777" max="777" width="14.28515625" style="57" customWidth="1"/>
    <col min="778" max="778" width="17.5703125" style="57" customWidth="1"/>
    <col min="779" max="779" width="27.7109375" style="57" customWidth="1"/>
    <col min="780" max="782" width="9.140625" style="57" customWidth="1"/>
    <col min="783" max="783" width="14.85546875" style="57" customWidth="1"/>
    <col min="784" max="784" width="13.85546875" style="57" customWidth="1"/>
    <col min="785" max="1006" width="9.140625" style="57" customWidth="1"/>
    <col min="1007" max="1007" width="9" style="57"/>
    <col min="1008" max="1008" width="6.5703125" style="57" customWidth="1"/>
    <col min="1009" max="1009" width="79.5703125" style="57" customWidth="1"/>
    <col min="1010" max="1010" width="23.5703125" style="57" customWidth="1"/>
    <col min="1011" max="1011" width="27.85546875" style="57" customWidth="1"/>
    <col min="1012" max="1012" width="22.28515625" style="57" customWidth="1"/>
    <col min="1013" max="1013" width="23.5703125" style="57" customWidth="1"/>
    <col min="1014" max="1014" width="39" style="57" customWidth="1"/>
    <col min="1015" max="1015" width="36.42578125" style="57" customWidth="1"/>
    <col min="1016" max="1016" width="8" style="57" customWidth="1"/>
    <col min="1017" max="1017" width="15.5703125" style="57" customWidth="1"/>
    <col min="1018" max="1018" width="17.28515625" style="57" customWidth="1"/>
    <col min="1019" max="1019" width="18.85546875" style="57" customWidth="1"/>
    <col min="1020" max="1020" width="81" style="57" customWidth="1"/>
    <col min="1021" max="1021" width="14.85546875" style="57" customWidth="1"/>
    <col min="1022" max="1022" width="15.7109375" style="57" customWidth="1"/>
    <col min="1023" max="1023" width="17.5703125" style="57" customWidth="1"/>
    <col min="1024" max="1024" width="18.42578125" style="57" customWidth="1"/>
    <col min="1025" max="1025" width="16.5703125" style="57" customWidth="1"/>
    <col min="1026" max="1026" width="17.7109375" style="57" customWidth="1"/>
    <col min="1027" max="1027" width="17.85546875" style="57" customWidth="1"/>
    <col min="1028" max="1028" width="18.42578125" style="57" customWidth="1"/>
    <col min="1029" max="1029" width="15.42578125" style="57" customWidth="1"/>
    <col min="1030" max="1030" width="14.5703125" style="57" customWidth="1"/>
    <col min="1031" max="1031" width="15" style="57" customWidth="1"/>
    <col min="1032" max="1032" width="6.7109375" style="57" customWidth="1"/>
    <col min="1033" max="1033" width="14.28515625" style="57" customWidth="1"/>
    <col min="1034" max="1034" width="17.5703125" style="57" customWidth="1"/>
    <col min="1035" max="1035" width="27.7109375" style="57" customWidth="1"/>
    <col min="1036" max="1038" width="9.140625" style="57" customWidth="1"/>
    <col min="1039" max="1039" width="14.85546875" style="57" customWidth="1"/>
    <col min="1040" max="1040" width="13.85546875" style="57" customWidth="1"/>
    <col min="1041" max="1262" width="9.140625" style="57" customWidth="1"/>
    <col min="1263" max="1263" width="9" style="57"/>
    <col min="1264" max="1264" width="6.5703125" style="57" customWidth="1"/>
    <col min="1265" max="1265" width="79.5703125" style="57" customWidth="1"/>
    <col min="1266" max="1266" width="23.5703125" style="57" customWidth="1"/>
    <col min="1267" max="1267" width="27.85546875" style="57" customWidth="1"/>
    <col min="1268" max="1268" width="22.28515625" style="57" customWidth="1"/>
    <col min="1269" max="1269" width="23.5703125" style="57" customWidth="1"/>
    <col min="1270" max="1270" width="39" style="57" customWidth="1"/>
    <col min="1271" max="1271" width="36.42578125" style="57" customWidth="1"/>
    <col min="1272" max="1272" width="8" style="57" customWidth="1"/>
    <col min="1273" max="1273" width="15.5703125" style="57" customWidth="1"/>
    <col min="1274" max="1274" width="17.28515625" style="57" customWidth="1"/>
    <col min="1275" max="1275" width="18.85546875" style="57" customWidth="1"/>
    <col min="1276" max="1276" width="81" style="57" customWidth="1"/>
    <col min="1277" max="1277" width="14.85546875" style="57" customWidth="1"/>
    <col min="1278" max="1278" width="15.7109375" style="57" customWidth="1"/>
    <col min="1279" max="1279" width="17.5703125" style="57" customWidth="1"/>
    <col min="1280" max="1280" width="18.42578125" style="57" customWidth="1"/>
    <col min="1281" max="1281" width="16.5703125" style="57" customWidth="1"/>
    <col min="1282" max="1282" width="17.7109375" style="57" customWidth="1"/>
    <col min="1283" max="1283" width="17.85546875" style="57" customWidth="1"/>
    <col min="1284" max="1284" width="18.42578125" style="57" customWidth="1"/>
    <col min="1285" max="1285" width="15.42578125" style="57" customWidth="1"/>
    <col min="1286" max="1286" width="14.5703125" style="57" customWidth="1"/>
    <col min="1287" max="1287" width="15" style="57" customWidth="1"/>
    <col min="1288" max="1288" width="6.7109375" style="57" customWidth="1"/>
    <col min="1289" max="1289" width="14.28515625" style="57" customWidth="1"/>
    <col min="1290" max="1290" width="17.5703125" style="57" customWidth="1"/>
    <col min="1291" max="1291" width="27.7109375" style="57" customWidth="1"/>
    <col min="1292" max="1294" width="9.140625" style="57" customWidth="1"/>
    <col min="1295" max="1295" width="14.85546875" style="57" customWidth="1"/>
    <col min="1296" max="1296" width="13.85546875" style="57" customWidth="1"/>
    <col min="1297" max="1518" width="9.140625" style="57" customWidth="1"/>
    <col min="1519" max="1519" width="9" style="57"/>
    <col min="1520" max="1520" width="6.5703125" style="57" customWidth="1"/>
    <col min="1521" max="1521" width="79.5703125" style="57" customWidth="1"/>
    <col min="1522" max="1522" width="23.5703125" style="57" customWidth="1"/>
    <col min="1523" max="1523" width="27.85546875" style="57" customWidth="1"/>
    <col min="1524" max="1524" width="22.28515625" style="57" customWidth="1"/>
    <col min="1525" max="1525" width="23.5703125" style="57" customWidth="1"/>
    <col min="1526" max="1526" width="39" style="57" customWidth="1"/>
    <col min="1527" max="1527" width="36.42578125" style="57" customWidth="1"/>
    <col min="1528" max="1528" width="8" style="57" customWidth="1"/>
    <col min="1529" max="1529" width="15.5703125" style="57" customWidth="1"/>
    <col min="1530" max="1530" width="17.28515625" style="57" customWidth="1"/>
    <col min="1531" max="1531" width="18.85546875" style="57" customWidth="1"/>
    <col min="1532" max="1532" width="81" style="57" customWidth="1"/>
    <col min="1533" max="1533" width="14.85546875" style="57" customWidth="1"/>
    <col min="1534" max="1534" width="15.7109375" style="57" customWidth="1"/>
    <col min="1535" max="1535" width="17.5703125" style="57" customWidth="1"/>
    <col min="1536" max="1536" width="18.42578125" style="57" customWidth="1"/>
    <col min="1537" max="1537" width="16.5703125" style="57" customWidth="1"/>
    <col min="1538" max="1538" width="17.7109375" style="57" customWidth="1"/>
    <col min="1539" max="1539" width="17.85546875" style="57" customWidth="1"/>
    <col min="1540" max="1540" width="18.42578125" style="57" customWidth="1"/>
    <col min="1541" max="1541" width="15.42578125" style="57" customWidth="1"/>
    <col min="1542" max="1542" width="14.5703125" style="57" customWidth="1"/>
    <col min="1543" max="1543" width="15" style="57" customWidth="1"/>
    <col min="1544" max="1544" width="6.7109375" style="57" customWidth="1"/>
    <col min="1545" max="1545" width="14.28515625" style="57" customWidth="1"/>
    <col min="1546" max="1546" width="17.5703125" style="57" customWidth="1"/>
    <col min="1547" max="1547" width="27.7109375" style="57" customWidth="1"/>
    <col min="1548" max="1550" width="9.140625" style="57" customWidth="1"/>
    <col min="1551" max="1551" width="14.85546875" style="57" customWidth="1"/>
    <col min="1552" max="1552" width="13.85546875" style="57" customWidth="1"/>
    <col min="1553" max="1774" width="9.140625" style="57" customWidth="1"/>
    <col min="1775" max="1775" width="9" style="57"/>
    <col min="1776" max="1776" width="6.5703125" style="57" customWidth="1"/>
    <col min="1777" max="1777" width="79.5703125" style="57" customWidth="1"/>
    <col min="1778" max="1778" width="23.5703125" style="57" customWidth="1"/>
    <col min="1779" max="1779" width="27.85546875" style="57" customWidth="1"/>
    <col min="1780" max="1780" width="22.28515625" style="57" customWidth="1"/>
    <col min="1781" max="1781" width="23.5703125" style="57" customWidth="1"/>
    <col min="1782" max="1782" width="39" style="57" customWidth="1"/>
    <col min="1783" max="1783" width="36.42578125" style="57" customWidth="1"/>
    <col min="1784" max="1784" width="8" style="57" customWidth="1"/>
    <col min="1785" max="1785" width="15.5703125" style="57" customWidth="1"/>
    <col min="1786" max="1786" width="17.28515625" style="57" customWidth="1"/>
    <col min="1787" max="1787" width="18.85546875" style="57" customWidth="1"/>
    <col min="1788" max="1788" width="81" style="57" customWidth="1"/>
    <col min="1789" max="1789" width="14.85546875" style="57" customWidth="1"/>
    <col min="1790" max="1790" width="15.7109375" style="57" customWidth="1"/>
    <col min="1791" max="1791" width="17.5703125" style="57" customWidth="1"/>
    <col min="1792" max="1792" width="18.42578125" style="57" customWidth="1"/>
    <col min="1793" max="1793" width="16.5703125" style="57" customWidth="1"/>
    <col min="1794" max="1794" width="17.7109375" style="57" customWidth="1"/>
    <col min="1795" max="1795" width="17.85546875" style="57" customWidth="1"/>
    <col min="1796" max="1796" width="18.42578125" style="57" customWidth="1"/>
    <col min="1797" max="1797" width="15.42578125" style="57" customWidth="1"/>
    <col min="1798" max="1798" width="14.5703125" style="57" customWidth="1"/>
    <col min="1799" max="1799" width="15" style="57" customWidth="1"/>
    <col min="1800" max="1800" width="6.7109375" style="57" customWidth="1"/>
    <col min="1801" max="1801" width="14.28515625" style="57" customWidth="1"/>
    <col min="1802" max="1802" width="17.5703125" style="57" customWidth="1"/>
    <col min="1803" max="1803" width="27.7109375" style="57" customWidth="1"/>
    <col min="1804" max="1806" width="9.140625" style="57" customWidth="1"/>
    <col min="1807" max="1807" width="14.85546875" style="57" customWidth="1"/>
    <col min="1808" max="1808" width="13.85546875" style="57" customWidth="1"/>
    <col min="1809" max="2030" width="9.140625" style="57" customWidth="1"/>
    <col min="2031" max="2031" width="9" style="57"/>
    <col min="2032" max="2032" width="6.5703125" style="57" customWidth="1"/>
    <col min="2033" max="2033" width="79.5703125" style="57" customWidth="1"/>
    <col min="2034" max="2034" width="23.5703125" style="57" customWidth="1"/>
    <col min="2035" max="2035" width="27.85546875" style="57" customWidth="1"/>
    <col min="2036" max="2036" width="22.28515625" style="57" customWidth="1"/>
    <col min="2037" max="2037" width="23.5703125" style="57" customWidth="1"/>
    <col min="2038" max="2038" width="39" style="57" customWidth="1"/>
    <col min="2039" max="2039" width="36.42578125" style="57" customWidth="1"/>
    <col min="2040" max="2040" width="8" style="57" customWidth="1"/>
    <col min="2041" max="2041" width="15.5703125" style="57" customWidth="1"/>
    <col min="2042" max="2042" width="17.28515625" style="57" customWidth="1"/>
    <col min="2043" max="2043" width="18.85546875" style="57" customWidth="1"/>
    <col min="2044" max="2044" width="81" style="57" customWidth="1"/>
    <col min="2045" max="2045" width="14.85546875" style="57" customWidth="1"/>
    <col min="2046" max="2046" width="15.7109375" style="57" customWidth="1"/>
    <col min="2047" max="2047" width="17.5703125" style="57" customWidth="1"/>
    <col min="2048" max="2048" width="18.42578125" style="57" customWidth="1"/>
    <col min="2049" max="2049" width="16.5703125" style="57" customWidth="1"/>
    <col min="2050" max="2050" width="17.7109375" style="57" customWidth="1"/>
    <col min="2051" max="2051" width="17.85546875" style="57" customWidth="1"/>
    <col min="2052" max="2052" width="18.42578125" style="57" customWidth="1"/>
    <col min="2053" max="2053" width="15.42578125" style="57" customWidth="1"/>
    <col min="2054" max="2054" width="14.5703125" style="57" customWidth="1"/>
    <col min="2055" max="2055" width="15" style="57" customWidth="1"/>
    <col min="2056" max="2056" width="6.7109375" style="57" customWidth="1"/>
    <col min="2057" max="2057" width="14.28515625" style="57" customWidth="1"/>
    <col min="2058" max="2058" width="17.5703125" style="57" customWidth="1"/>
    <col min="2059" max="2059" width="27.7109375" style="57" customWidth="1"/>
    <col min="2060" max="2062" width="9.140625" style="57" customWidth="1"/>
    <col min="2063" max="2063" width="14.85546875" style="57" customWidth="1"/>
    <col min="2064" max="2064" width="13.85546875" style="57" customWidth="1"/>
    <col min="2065" max="2286" width="9.140625" style="57" customWidth="1"/>
    <col min="2287" max="2287" width="9" style="57"/>
    <col min="2288" max="2288" width="6.5703125" style="57" customWidth="1"/>
    <col min="2289" max="2289" width="79.5703125" style="57" customWidth="1"/>
    <col min="2290" max="2290" width="23.5703125" style="57" customWidth="1"/>
    <col min="2291" max="2291" width="27.85546875" style="57" customWidth="1"/>
    <col min="2292" max="2292" width="22.28515625" style="57" customWidth="1"/>
    <col min="2293" max="2293" width="23.5703125" style="57" customWidth="1"/>
    <col min="2294" max="2294" width="39" style="57" customWidth="1"/>
    <col min="2295" max="2295" width="36.42578125" style="57" customWidth="1"/>
    <col min="2296" max="2296" width="8" style="57" customWidth="1"/>
    <col min="2297" max="2297" width="15.5703125" style="57" customWidth="1"/>
    <col min="2298" max="2298" width="17.28515625" style="57" customWidth="1"/>
    <col min="2299" max="2299" width="18.85546875" style="57" customWidth="1"/>
    <col min="2300" max="2300" width="81" style="57" customWidth="1"/>
    <col min="2301" max="2301" width="14.85546875" style="57" customWidth="1"/>
    <col min="2302" max="2302" width="15.7109375" style="57" customWidth="1"/>
    <col min="2303" max="2303" width="17.5703125" style="57" customWidth="1"/>
    <col min="2304" max="2304" width="18.42578125" style="57" customWidth="1"/>
    <col min="2305" max="2305" width="16.5703125" style="57" customWidth="1"/>
    <col min="2306" max="2306" width="17.7109375" style="57" customWidth="1"/>
    <col min="2307" max="2307" width="17.85546875" style="57" customWidth="1"/>
    <col min="2308" max="2308" width="18.42578125" style="57" customWidth="1"/>
    <col min="2309" max="2309" width="15.42578125" style="57" customWidth="1"/>
    <col min="2310" max="2310" width="14.5703125" style="57" customWidth="1"/>
    <col min="2311" max="2311" width="15" style="57" customWidth="1"/>
    <col min="2312" max="2312" width="6.7109375" style="57" customWidth="1"/>
    <col min="2313" max="2313" width="14.28515625" style="57" customWidth="1"/>
    <col min="2314" max="2314" width="17.5703125" style="57" customWidth="1"/>
    <col min="2315" max="2315" width="27.7109375" style="57" customWidth="1"/>
    <col min="2316" max="2318" width="9.140625" style="57" customWidth="1"/>
    <col min="2319" max="2319" width="14.85546875" style="57" customWidth="1"/>
    <col min="2320" max="2320" width="13.85546875" style="57" customWidth="1"/>
    <col min="2321" max="2542" width="9.140625" style="57" customWidth="1"/>
    <col min="2543" max="2543" width="9" style="57"/>
    <col min="2544" max="2544" width="6.5703125" style="57" customWidth="1"/>
    <col min="2545" max="2545" width="79.5703125" style="57" customWidth="1"/>
    <col min="2546" max="2546" width="23.5703125" style="57" customWidth="1"/>
    <col min="2547" max="2547" width="27.85546875" style="57" customWidth="1"/>
    <col min="2548" max="2548" width="22.28515625" style="57" customWidth="1"/>
    <col min="2549" max="2549" width="23.5703125" style="57" customWidth="1"/>
    <col min="2550" max="2550" width="39" style="57" customWidth="1"/>
    <col min="2551" max="2551" width="36.42578125" style="57" customWidth="1"/>
    <col min="2552" max="2552" width="8" style="57" customWidth="1"/>
    <col min="2553" max="2553" width="15.5703125" style="57" customWidth="1"/>
    <col min="2554" max="2554" width="17.28515625" style="57" customWidth="1"/>
    <col min="2555" max="2555" width="18.85546875" style="57" customWidth="1"/>
    <col min="2556" max="2556" width="81" style="57" customWidth="1"/>
    <col min="2557" max="2557" width="14.85546875" style="57" customWidth="1"/>
    <col min="2558" max="2558" width="15.7109375" style="57" customWidth="1"/>
    <col min="2559" max="2559" width="17.5703125" style="57" customWidth="1"/>
    <col min="2560" max="2560" width="18.42578125" style="57" customWidth="1"/>
    <col min="2561" max="2561" width="16.5703125" style="57" customWidth="1"/>
    <col min="2562" max="2562" width="17.7109375" style="57" customWidth="1"/>
    <col min="2563" max="2563" width="17.85546875" style="57" customWidth="1"/>
    <col min="2564" max="2564" width="18.42578125" style="57" customWidth="1"/>
    <col min="2565" max="2565" width="15.42578125" style="57" customWidth="1"/>
    <col min="2566" max="2566" width="14.5703125" style="57" customWidth="1"/>
    <col min="2567" max="2567" width="15" style="57" customWidth="1"/>
    <col min="2568" max="2568" width="6.7109375" style="57" customWidth="1"/>
    <col min="2569" max="2569" width="14.28515625" style="57" customWidth="1"/>
    <col min="2570" max="2570" width="17.5703125" style="57" customWidth="1"/>
    <col min="2571" max="2571" width="27.7109375" style="57" customWidth="1"/>
    <col min="2572" max="2574" width="9.140625" style="57" customWidth="1"/>
    <col min="2575" max="2575" width="14.85546875" style="57" customWidth="1"/>
    <col min="2576" max="2576" width="13.85546875" style="57" customWidth="1"/>
    <col min="2577" max="2798" width="9.140625" style="57" customWidth="1"/>
    <col min="2799" max="2799" width="9" style="57"/>
    <col min="2800" max="2800" width="6.5703125" style="57" customWidth="1"/>
    <col min="2801" max="2801" width="79.5703125" style="57" customWidth="1"/>
    <col min="2802" max="2802" width="23.5703125" style="57" customWidth="1"/>
    <col min="2803" max="2803" width="27.85546875" style="57" customWidth="1"/>
    <col min="2804" max="2804" width="22.28515625" style="57" customWidth="1"/>
    <col min="2805" max="2805" width="23.5703125" style="57" customWidth="1"/>
    <col min="2806" max="2806" width="39" style="57" customWidth="1"/>
    <col min="2807" max="2807" width="36.42578125" style="57" customWidth="1"/>
    <col min="2808" max="2808" width="8" style="57" customWidth="1"/>
    <col min="2809" max="2809" width="15.5703125" style="57" customWidth="1"/>
    <col min="2810" max="2810" width="17.28515625" style="57" customWidth="1"/>
    <col min="2811" max="2811" width="18.85546875" style="57" customWidth="1"/>
    <col min="2812" max="2812" width="81" style="57" customWidth="1"/>
    <col min="2813" max="2813" width="14.85546875" style="57" customWidth="1"/>
    <col min="2814" max="2814" width="15.7109375" style="57" customWidth="1"/>
    <col min="2815" max="2815" width="17.5703125" style="57" customWidth="1"/>
    <col min="2816" max="2816" width="18.42578125" style="57" customWidth="1"/>
    <col min="2817" max="2817" width="16.5703125" style="57" customWidth="1"/>
    <col min="2818" max="2818" width="17.7109375" style="57" customWidth="1"/>
    <col min="2819" max="2819" width="17.85546875" style="57" customWidth="1"/>
    <col min="2820" max="2820" width="18.42578125" style="57" customWidth="1"/>
    <col min="2821" max="2821" width="15.42578125" style="57" customWidth="1"/>
    <col min="2822" max="2822" width="14.5703125" style="57" customWidth="1"/>
    <col min="2823" max="2823" width="15" style="57" customWidth="1"/>
    <col min="2824" max="2824" width="6.7109375" style="57" customWidth="1"/>
    <col min="2825" max="2825" width="14.28515625" style="57" customWidth="1"/>
    <col min="2826" max="2826" width="17.5703125" style="57" customWidth="1"/>
    <col min="2827" max="2827" width="27.7109375" style="57" customWidth="1"/>
    <col min="2828" max="2830" width="9.140625" style="57" customWidth="1"/>
    <col min="2831" max="2831" width="14.85546875" style="57" customWidth="1"/>
    <col min="2832" max="2832" width="13.85546875" style="57" customWidth="1"/>
    <col min="2833" max="3054" width="9.140625" style="57" customWidth="1"/>
    <col min="3055" max="3055" width="9" style="57"/>
    <col min="3056" max="3056" width="6.5703125" style="57" customWidth="1"/>
    <col min="3057" max="3057" width="79.5703125" style="57" customWidth="1"/>
    <col min="3058" max="3058" width="23.5703125" style="57" customWidth="1"/>
    <col min="3059" max="3059" width="27.85546875" style="57" customWidth="1"/>
    <col min="3060" max="3060" width="22.28515625" style="57" customWidth="1"/>
    <col min="3061" max="3061" width="23.5703125" style="57" customWidth="1"/>
    <col min="3062" max="3062" width="39" style="57" customWidth="1"/>
    <col min="3063" max="3063" width="36.42578125" style="57" customWidth="1"/>
    <col min="3064" max="3064" width="8" style="57" customWidth="1"/>
    <col min="3065" max="3065" width="15.5703125" style="57" customWidth="1"/>
    <col min="3066" max="3066" width="17.28515625" style="57" customWidth="1"/>
    <col min="3067" max="3067" width="18.85546875" style="57" customWidth="1"/>
    <col min="3068" max="3068" width="81" style="57" customWidth="1"/>
    <col min="3069" max="3069" width="14.85546875" style="57" customWidth="1"/>
    <col min="3070" max="3070" width="15.7109375" style="57" customWidth="1"/>
    <col min="3071" max="3071" width="17.5703125" style="57" customWidth="1"/>
    <col min="3072" max="3072" width="18.42578125" style="57" customWidth="1"/>
    <col min="3073" max="3073" width="16.5703125" style="57" customWidth="1"/>
    <col min="3074" max="3074" width="17.7109375" style="57" customWidth="1"/>
    <col min="3075" max="3075" width="17.85546875" style="57" customWidth="1"/>
    <col min="3076" max="3076" width="18.42578125" style="57" customWidth="1"/>
    <col min="3077" max="3077" width="15.42578125" style="57" customWidth="1"/>
    <col min="3078" max="3078" width="14.5703125" style="57" customWidth="1"/>
    <col min="3079" max="3079" width="15" style="57" customWidth="1"/>
    <col min="3080" max="3080" width="6.7109375" style="57" customWidth="1"/>
    <col min="3081" max="3081" width="14.28515625" style="57" customWidth="1"/>
    <col min="3082" max="3082" width="17.5703125" style="57" customWidth="1"/>
    <col min="3083" max="3083" width="27.7109375" style="57" customWidth="1"/>
    <col min="3084" max="3086" width="9.140625" style="57" customWidth="1"/>
    <col min="3087" max="3087" width="14.85546875" style="57" customWidth="1"/>
    <col min="3088" max="3088" width="13.85546875" style="57" customWidth="1"/>
    <col min="3089" max="3310" width="9.140625" style="57" customWidth="1"/>
    <col min="3311" max="3311" width="9" style="57"/>
    <col min="3312" max="3312" width="6.5703125" style="57" customWidth="1"/>
    <col min="3313" max="3313" width="79.5703125" style="57" customWidth="1"/>
    <col min="3314" max="3314" width="23.5703125" style="57" customWidth="1"/>
    <col min="3315" max="3315" width="27.85546875" style="57" customWidth="1"/>
    <col min="3316" max="3316" width="22.28515625" style="57" customWidth="1"/>
    <col min="3317" max="3317" width="23.5703125" style="57" customWidth="1"/>
    <col min="3318" max="3318" width="39" style="57" customWidth="1"/>
    <col min="3319" max="3319" width="36.42578125" style="57" customWidth="1"/>
    <col min="3320" max="3320" width="8" style="57" customWidth="1"/>
    <col min="3321" max="3321" width="15.5703125" style="57" customWidth="1"/>
    <col min="3322" max="3322" width="17.28515625" style="57" customWidth="1"/>
    <col min="3323" max="3323" width="18.85546875" style="57" customWidth="1"/>
    <col min="3324" max="3324" width="81" style="57" customWidth="1"/>
    <col min="3325" max="3325" width="14.85546875" style="57" customWidth="1"/>
    <col min="3326" max="3326" width="15.7109375" style="57" customWidth="1"/>
    <col min="3327" max="3327" width="17.5703125" style="57" customWidth="1"/>
    <col min="3328" max="3328" width="18.42578125" style="57" customWidth="1"/>
    <col min="3329" max="3329" width="16.5703125" style="57" customWidth="1"/>
    <col min="3330" max="3330" width="17.7109375" style="57" customWidth="1"/>
    <col min="3331" max="3331" width="17.85546875" style="57" customWidth="1"/>
    <col min="3332" max="3332" width="18.42578125" style="57" customWidth="1"/>
    <col min="3333" max="3333" width="15.42578125" style="57" customWidth="1"/>
    <col min="3334" max="3334" width="14.5703125" style="57" customWidth="1"/>
    <col min="3335" max="3335" width="15" style="57" customWidth="1"/>
    <col min="3336" max="3336" width="6.7109375" style="57" customWidth="1"/>
    <col min="3337" max="3337" width="14.28515625" style="57" customWidth="1"/>
    <col min="3338" max="3338" width="17.5703125" style="57" customWidth="1"/>
    <col min="3339" max="3339" width="27.7109375" style="57" customWidth="1"/>
    <col min="3340" max="3342" width="9.140625" style="57" customWidth="1"/>
    <col min="3343" max="3343" width="14.85546875" style="57" customWidth="1"/>
    <col min="3344" max="3344" width="13.85546875" style="57" customWidth="1"/>
    <col min="3345" max="3566" width="9.140625" style="57" customWidth="1"/>
    <col min="3567" max="3567" width="9" style="57"/>
    <col min="3568" max="3568" width="6.5703125" style="57" customWidth="1"/>
    <col min="3569" max="3569" width="79.5703125" style="57" customWidth="1"/>
    <col min="3570" max="3570" width="23.5703125" style="57" customWidth="1"/>
    <col min="3571" max="3571" width="27.85546875" style="57" customWidth="1"/>
    <col min="3572" max="3572" width="22.28515625" style="57" customWidth="1"/>
    <col min="3573" max="3573" width="23.5703125" style="57" customWidth="1"/>
    <col min="3574" max="3574" width="39" style="57" customWidth="1"/>
    <col min="3575" max="3575" width="36.42578125" style="57" customWidth="1"/>
    <col min="3576" max="3576" width="8" style="57" customWidth="1"/>
    <col min="3577" max="3577" width="15.5703125" style="57" customWidth="1"/>
    <col min="3578" max="3578" width="17.28515625" style="57" customWidth="1"/>
    <col min="3579" max="3579" width="18.85546875" style="57" customWidth="1"/>
    <col min="3580" max="3580" width="81" style="57" customWidth="1"/>
    <col min="3581" max="3581" width="14.85546875" style="57" customWidth="1"/>
    <col min="3582" max="3582" width="15.7109375" style="57" customWidth="1"/>
    <col min="3583" max="3583" width="17.5703125" style="57" customWidth="1"/>
    <col min="3584" max="3584" width="18.42578125" style="57" customWidth="1"/>
    <col min="3585" max="3585" width="16.5703125" style="57" customWidth="1"/>
    <col min="3586" max="3586" width="17.7109375" style="57" customWidth="1"/>
    <col min="3587" max="3587" width="17.85546875" style="57" customWidth="1"/>
    <col min="3588" max="3588" width="18.42578125" style="57" customWidth="1"/>
    <col min="3589" max="3589" width="15.42578125" style="57" customWidth="1"/>
    <col min="3590" max="3590" width="14.5703125" style="57" customWidth="1"/>
    <col min="3591" max="3591" width="15" style="57" customWidth="1"/>
    <col min="3592" max="3592" width="6.7109375" style="57" customWidth="1"/>
    <col min="3593" max="3593" width="14.28515625" style="57" customWidth="1"/>
    <col min="3594" max="3594" width="17.5703125" style="57" customWidth="1"/>
    <col min="3595" max="3595" width="27.7109375" style="57" customWidth="1"/>
    <col min="3596" max="3598" width="9.140625" style="57" customWidth="1"/>
    <col min="3599" max="3599" width="14.85546875" style="57" customWidth="1"/>
    <col min="3600" max="3600" width="13.85546875" style="57" customWidth="1"/>
    <col min="3601" max="3822" width="9.140625" style="57" customWidth="1"/>
    <col min="3823" max="3823" width="9" style="57"/>
    <col min="3824" max="3824" width="6.5703125" style="57" customWidth="1"/>
    <col min="3825" max="3825" width="79.5703125" style="57" customWidth="1"/>
    <col min="3826" max="3826" width="23.5703125" style="57" customWidth="1"/>
    <col min="3827" max="3827" width="27.85546875" style="57" customWidth="1"/>
    <col min="3828" max="3828" width="22.28515625" style="57" customWidth="1"/>
    <col min="3829" max="3829" width="23.5703125" style="57" customWidth="1"/>
    <col min="3830" max="3830" width="39" style="57" customWidth="1"/>
    <col min="3831" max="3831" width="36.42578125" style="57" customWidth="1"/>
    <col min="3832" max="3832" width="8" style="57" customWidth="1"/>
    <col min="3833" max="3833" width="15.5703125" style="57" customWidth="1"/>
    <col min="3834" max="3834" width="17.28515625" style="57" customWidth="1"/>
    <col min="3835" max="3835" width="18.85546875" style="57" customWidth="1"/>
    <col min="3836" max="3836" width="81" style="57" customWidth="1"/>
    <col min="3837" max="3837" width="14.85546875" style="57" customWidth="1"/>
    <col min="3838" max="3838" width="15.7109375" style="57" customWidth="1"/>
    <col min="3839" max="3839" width="17.5703125" style="57" customWidth="1"/>
    <col min="3840" max="3840" width="18.42578125" style="57" customWidth="1"/>
    <col min="3841" max="3841" width="16.5703125" style="57" customWidth="1"/>
    <col min="3842" max="3842" width="17.7109375" style="57" customWidth="1"/>
    <col min="3843" max="3843" width="17.85546875" style="57" customWidth="1"/>
    <col min="3844" max="3844" width="18.42578125" style="57" customWidth="1"/>
    <col min="3845" max="3845" width="15.42578125" style="57" customWidth="1"/>
    <col min="3846" max="3846" width="14.5703125" style="57" customWidth="1"/>
    <col min="3847" max="3847" width="15" style="57" customWidth="1"/>
    <col min="3848" max="3848" width="6.7109375" style="57" customWidth="1"/>
    <col min="3849" max="3849" width="14.28515625" style="57" customWidth="1"/>
    <col min="3850" max="3850" width="17.5703125" style="57" customWidth="1"/>
    <col min="3851" max="3851" width="27.7109375" style="57" customWidth="1"/>
    <col min="3852" max="3854" width="9.140625" style="57" customWidth="1"/>
    <col min="3855" max="3855" width="14.85546875" style="57" customWidth="1"/>
    <col min="3856" max="3856" width="13.85546875" style="57" customWidth="1"/>
    <col min="3857" max="4078" width="9.140625" style="57" customWidth="1"/>
    <col min="4079" max="4079" width="9" style="57"/>
    <col min="4080" max="4080" width="6.5703125" style="57" customWidth="1"/>
    <col min="4081" max="4081" width="79.5703125" style="57" customWidth="1"/>
    <col min="4082" max="4082" width="23.5703125" style="57" customWidth="1"/>
    <col min="4083" max="4083" width="27.85546875" style="57" customWidth="1"/>
    <col min="4084" max="4084" width="22.28515625" style="57" customWidth="1"/>
    <col min="4085" max="4085" width="23.5703125" style="57" customWidth="1"/>
    <col min="4086" max="4086" width="39" style="57" customWidth="1"/>
    <col min="4087" max="4087" width="36.42578125" style="57" customWidth="1"/>
    <col min="4088" max="4088" width="8" style="57" customWidth="1"/>
    <col min="4089" max="4089" width="15.5703125" style="57" customWidth="1"/>
    <col min="4090" max="4090" width="17.28515625" style="57" customWidth="1"/>
    <col min="4091" max="4091" width="18.85546875" style="57" customWidth="1"/>
    <col min="4092" max="4092" width="81" style="57" customWidth="1"/>
    <col min="4093" max="4093" width="14.85546875" style="57" customWidth="1"/>
    <col min="4094" max="4094" width="15.7109375" style="57" customWidth="1"/>
    <col min="4095" max="4095" width="17.5703125" style="57" customWidth="1"/>
    <col min="4096" max="4096" width="18.42578125" style="57" customWidth="1"/>
    <col min="4097" max="4097" width="16.5703125" style="57" customWidth="1"/>
    <col min="4098" max="4098" width="17.7109375" style="57" customWidth="1"/>
    <col min="4099" max="4099" width="17.85546875" style="57" customWidth="1"/>
    <col min="4100" max="4100" width="18.42578125" style="57" customWidth="1"/>
    <col min="4101" max="4101" width="15.42578125" style="57" customWidth="1"/>
    <col min="4102" max="4102" width="14.5703125" style="57" customWidth="1"/>
    <col min="4103" max="4103" width="15" style="57" customWidth="1"/>
    <col min="4104" max="4104" width="6.7109375" style="57" customWidth="1"/>
    <col min="4105" max="4105" width="14.28515625" style="57" customWidth="1"/>
    <col min="4106" max="4106" width="17.5703125" style="57" customWidth="1"/>
    <col min="4107" max="4107" width="27.7109375" style="57" customWidth="1"/>
    <col min="4108" max="4110" width="9.140625" style="57" customWidth="1"/>
    <col min="4111" max="4111" width="14.85546875" style="57" customWidth="1"/>
    <col min="4112" max="4112" width="13.85546875" style="57" customWidth="1"/>
    <col min="4113" max="4334" width="9.140625" style="57" customWidth="1"/>
    <col min="4335" max="4335" width="9" style="57"/>
    <col min="4336" max="4336" width="6.5703125" style="57" customWidth="1"/>
    <col min="4337" max="4337" width="79.5703125" style="57" customWidth="1"/>
    <col min="4338" max="4338" width="23.5703125" style="57" customWidth="1"/>
    <col min="4339" max="4339" width="27.85546875" style="57" customWidth="1"/>
    <col min="4340" max="4340" width="22.28515625" style="57" customWidth="1"/>
    <col min="4341" max="4341" width="23.5703125" style="57" customWidth="1"/>
    <col min="4342" max="4342" width="39" style="57" customWidth="1"/>
    <col min="4343" max="4343" width="36.42578125" style="57" customWidth="1"/>
    <col min="4344" max="4344" width="8" style="57" customWidth="1"/>
    <col min="4345" max="4345" width="15.5703125" style="57" customWidth="1"/>
    <col min="4346" max="4346" width="17.28515625" style="57" customWidth="1"/>
    <col min="4347" max="4347" width="18.85546875" style="57" customWidth="1"/>
    <col min="4348" max="4348" width="81" style="57" customWidth="1"/>
    <col min="4349" max="4349" width="14.85546875" style="57" customWidth="1"/>
    <col min="4350" max="4350" width="15.7109375" style="57" customWidth="1"/>
    <col min="4351" max="4351" width="17.5703125" style="57" customWidth="1"/>
    <col min="4352" max="4352" width="18.42578125" style="57" customWidth="1"/>
    <col min="4353" max="4353" width="16.5703125" style="57" customWidth="1"/>
    <col min="4354" max="4354" width="17.7109375" style="57" customWidth="1"/>
    <col min="4355" max="4355" width="17.85546875" style="57" customWidth="1"/>
    <col min="4356" max="4356" width="18.42578125" style="57" customWidth="1"/>
    <col min="4357" max="4357" width="15.42578125" style="57" customWidth="1"/>
    <col min="4358" max="4358" width="14.5703125" style="57" customWidth="1"/>
    <col min="4359" max="4359" width="15" style="57" customWidth="1"/>
    <col min="4360" max="4360" width="6.7109375" style="57" customWidth="1"/>
    <col min="4361" max="4361" width="14.28515625" style="57" customWidth="1"/>
    <col min="4362" max="4362" width="17.5703125" style="57" customWidth="1"/>
    <col min="4363" max="4363" width="27.7109375" style="57" customWidth="1"/>
    <col min="4364" max="4366" width="9.140625" style="57" customWidth="1"/>
    <col min="4367" max="4367" width="14.85546875" style="57" customWidth="1"/>
    <col min="4368" max="4368" width="13.85546875" style="57" customWidth="1"/>
    <col min="4369" max="4590" width="9.140625" style="57" customWidth="1"/>
    <col min="4591" max="4591" width="9" style="57"/>
    <col min="4592" max="4592" width="6.5703125" style="57" customWidth="1"/>
    <col min="4593" max="4593" width="79.5703125" style="57" customWidth="1"/>
    <col min="4594" max="4594" width="23.5703125" style="57" customWidth="1"/>
    <col min="4595" max="4595" width="27.85546875" style="57" customWidth="1"/>
    <col min="4596" max="4596" width="22.28515625" style="57" customWidth="1"/>
    <col min="4597" max="4597" width="23.5703125" style="57" customWidth="1"/>
    <col min="4598" max="4598" width="39" style="57" customWidth="1"/>
    <col min="4599" max="4599" width="36.42578125" style="57" customWidth="1"/>
    <col min="4600" max="4600" width="8" style="57" customWidth="1"/>
    <col min="4601" max="4601" width="15.5703125" style="57" customWidth="1"/>
    <col min="4602" max="4602" width="17.28515625" style="57" customWidth="1"/>
    <col min="4603" max="4603" width="18.85546875" style="57" customWidth="1"/>
    <col min="4604" max="4604" width="81" style="57" customWidth="1"/>
    <col min="4605" max="4605" width="14.85546875" style="57" customWidth="1"/>
    <col min="4606" max="4606" width="15.7109375" style="57" customWidth="1"/>
    <col min="4607" max="4607" width="17.5703125" style="57" customWidth="1"/>
    <col min="4608" max="4608" width="18.42578125" style="57" customWidth="1"/>
    <col min="4609" max="4609" width="16.5703125" style="57" customWidth="1"/>
    <col min="4610" max="4610" width="17.7109375" style="57" customWidth="1"/>
    <col min="4611" max="4611" width="17.85546875" style="57" customWidth="1"/>
    <col min="4612" max="4612" width="18.42578125" style="57" customWidth="1"/>
    <col min="4613" max="4613" width="15.42578125" style="57" customWidth="1"/>
    <col min="4614" max="4614" width="14.5703125" style="57" customWidth="1"/>
    <col min="4615" max="4615" width="15" style="57" customWidth="1"/>
    <col min="4616" max="4616" width="6.7109375" style="57" customWidth="1"/>
    <col min="4617" max="4617" width="14.28515625" style="57" customWidth="1"/>
    <col min="4618" max="4618" width="17.5703125" style="57" customWidth="1"/>
    <col min="4619" max="4619" width="27.7109375" style="57" customWidth="1"/>
    <col min="4620" max="4622" width="9.140625" style="57" customWidth="1"/>
    <col min="4623" max="4623" width="14.85546875" style="57" customWidth="1"/>
    <col min="4624" max="4624" width="13.85546875" style="57" customWidth="1"/>
    <col min="4625" max="4846" width="9.140625" style="57" customWidth="1"/>
    <col min="4847" max="4847" width="9" style="57"/>
    <col min="4848" max="4848" width="6.5703125" style="57" customWidth="1"/>
    <col min="4849" max="4849" width="79.5703125" style="57" customWidth="1"/>
    <col min="4850" max="4850" width="23.5703125" style="57" customWidth="1"/>
    <col min="4851" max="4851" width="27.85546875" style="57" customWidth="1"/>
    <col min="4852" max="4852" width="22.28515625" style="57" customWidth="1"/>
    <col min="4853" max="4853" width="23.5703125" style="57" customWidth="1"/>
    <col min="4854" max="4854" width="39" style="57" customWidth="1"/>
    <col min="4855" max="4855" width="36.42578125" style="57" customWidth="1"/>
    <col min="4856" max="4856" width="8" style="57" customWidth="1"/>
    <col min="4857" max="4857" width="15.5703125" style="57" customWidth="1"/>
    <col min="4858" max="4858" width="17.28515625" style="57" customWidth="1"/>
    <col min="4859" max="4859" width="18.85546875" style="57" customWidth="1"/>
    <col min="4860" max="4860" width="81" style="57" customWidth="1"/>
    <col min="4861" max="4861" width="14.85546875" style="57" customWidth="1"/>
    <col min="4862" max="4862" width="15.7109375" style="57" customWidth="1"/>
    <col min="4863" max="4863" width="17.5703125" style="57" customWidth="1"/>
    <col min="4864" max="4864" width="18.42578125" style="57" customWidth="1"/>
    <col min="4865" max="4865" width="16.5703125" style="57" customWidth="1"/>
    <col min="4866" max="4866" width="17.7109375" style="57" customWidth="1"/>
    <col min="4867" max="4867" width="17.85546875" style="57" customWidth="1"/>
    <col min="4868" max="4868" width="18.42578125" style="57" customWidth="1"/>
    <col min="4869" max="4869" width="15.42578125" style="57" customWidth="1"/>
    <col min="4870" max="4870" width="14.5703125" style="57" customWidth="1"/>
    <col min="4871" max="4871" width="15" style="57" customWidth="1"/>
    <col min="4872" max="4872" width="6.7109375" style="57" customWidth="1"/>
    <col min="4873" max="4873" width="14.28515625" style="57" customWidth="1"/>
    <col min="4874" max="4874" width="17.5703125" style="57" customWidth="1"/>
    <col min="4875" max="4875" width="27.7109375" style="57" customWidth="1"/>
    <col min="4876" max="4878" width="9.140625" style="57" customWidth="1"/>
    <col min="4879" max="4879" width="14.85546875" style="57" customWidth="1"/>
    <col min="4880" max="4880" width="13.85546875" style="57" customWidth="1"/>
    <col min="4881" max="5102" width="9.140625" style="57" customWidth="1"/>
    <col min="5103" max="5103" width="9" style="57"/>
    <col min="5104" max="5104" width="6.5703125" style="57" customWidth="1"/>
    <col min="5105" max="5105" width="79.5703125" style="57" customWidth="1"/>
    <col min="5106" max="5106" width="23.5703125" style="57" customWidth="1"/>
    <col min="5107" max="5107" width="27.85546875" style="57" customWidth="1"/>
    <col min="5108" max="5108" width="22.28515625" style="57" customWidth="1"/>
    <col min="5109" max="5109" width="23.5703125" style="57" customWidth="1"/>
    <col min="5110" max="5110" width="39" style="57" customWidth="1"/>
    <col min="5111" max="5111" width="36.42578125" style="57" customWidth="1"/>
    <col min="5112" max="5112" width="8" style="57" customWidth="1"/>
    <col min="5113" max="5113" width="15.5703125" style="57" customWidth="1"/>
    <col min="5114" max="5114" width="17.28515625" style="57" customWidth="1"/>
    <col min="5115" max="5115" width="18.85546875" style="57" customWidth="1"/>
    <col min="5116" max="5116" width="81" style="57" customWidth="1"/>
    <col min="5117" max="5117" width="14.85546875" style="57" customWidth="1"/>
    <col min="5118" max="5118" width="15.7109375" style="57" customWidth="1"/>
    <col min="5119" max="5119" width="17.5703125" style="57" customWidth="1"/>
    <col min="5120" max="5120" width="18.42578125" style="57" customWidth="1"/>
    <col min="5121" max="5121" width="16.5703125" style="57" customWidth="1"/>
    <col min="5122" max="5122" width="17.7109375" style="57" customWidth="1"/>
    <col min="5123" max="5123" width="17.85546875" style="57" customWidth="1"/>
    <col min="5124" max="5124" width="18.42578125" style="57" customWidth="1"/>
    <col min="5125" max="5125" width="15.42578125" style="57" customWidth="1"/>
    <col min="5126" max="5126" width="14.5703125" style="57" customWidth="1"/>
    <col min="5127" max="5127" width="15" style="57" customWidth="1"/>
    <col min="5128" max="5128" width="6.7109375" style="57" customWidth="1"/>
    <col min="5129" max="5129" width="14.28515625" style="57" customWidth="1"/>
    <col min="5130" max="5130" width="17.5703125" style="57" customWidth="1"/>
    <col min="5131" max="5131" width="27.7109375" style="57" customWidth="1"/>
    <col min="5132" max="5134" width="9.140625" style="57" customWidth="1"/>
    <col min="5135" max="5135" width="14.85546875" style="57" customWidth="1"/>
    <col min="5136" max="5136" width="13.85546875" style="57" customWidth="1"/>
    <col min="5137" max="5358" width="9.140625" style="57" customWidth="1"/>
    <col min="5359" max="5359" width="9" style="57"/>
    <col min="5360" max="5360" width="6.5703125" style="57" customWidth="1"/>
    <col min="5361" max="5361" width="79.5703125" style="57" customWidth="1"/>
    <col min="5362" max="5362" width="23.5703125" style="57" customWidth="1"/>
    <col min="5363" max="5363" width="27.85546875" style="57" customWidth="1"/>
    <col min="5364" max="5364" width="22.28515625" style="57" customWidth="1"/>
    <col min="5365" max="5365" width="23.5703125" style="57" customWidth="1"/>
    <col min="5366" max="5366" width="39" style="57" customWidth="1"/>
    <col min="5367" max="5367" width="36.42578125" style="57" customWidth="1"/>
    <col min="5368" max="5368" width="8" style="57" customWidth="1"/>
    <col min="5369" max="5369" width="15.5703125" style="57" customWidth="1"/>
    <col min="5370" max="5370" width="17.28515625" style="57" customWidth="1"/>
    <col min="5371" max="5371" width="18.85546875" style="57" customWidth="1"/>
    <col min="5372" max="5372" width="81" style="57" customWidth="1"/>
    <col min="5373" max="5373" width="14.85546875" style="57" customWidth="1"/>
    <col min="5374" max="5374" width="15.7109375" style="57" customWidth="1"/>
    <col min="5375" max="5375" width="17.5703125" style="57" customWidth="1"/>
    <col min="5376" max="5376" width="18.42578125" style="57" customWidth="1"/>
    <col min="5377" max="5377" width="16.5703125" style="57" customWidth="1"/>
    <col min="5378" max="5378" width="17.7109375" style="57" customWidth="1"/>
    <col min="5379" max="5379" width="17.85546875" style="57" customWidth="1"/>
    <col min="5380" max="5380" width="18.42578125" style="57" customWidth="1"/>
    <col min="5381" max="5381" width="15.42578125" style="57" customWidth="1"/>
    <col min="5382" max="5382" width="14.5703125" style="57" customWidth="1"/>
    <col min="5383" max="5383" width="15" style="57" customWidth="1"/>
    <col min="5384" max="5384" width="6.7109375" style="57" customWidth="1"/>
    <col min="5385" max="5385" width="14.28515625" style="57" customWidth="1"/>
    <col min="5386" max="5386" width="17.5703125" style="57" customWidth="1"/>
    <col min="5387" max="5387" width="27.7109375" style="57" customWidth="1"/>
    <col min="5388" max="5390" width="9.140625" style="57" customWidth="1"/>
    <col min="5391" max="5391" width="14.85546875" style="57" customWidth="1"/>
    <col min="5392" max="5392" width="13.85546875" style="57" customWidth="1"/>
    <col min="5393" max="5614" width="9.140625" style="57" customWidth="1"/>
    <col min="5615" max="5615" width="9" style="57"/>
    <col min="5616" max="5616" width="6.5703125" style="57" customWidth="1"/>
    <col min="5617" max="5617" width="79.5703125" style="57" customWidth="1"/>
    <col min="5618" max="5618" width="23.5703125" style="57" customWidth="1"/>
    <col min="5619" max="5619" width="27.85546875" style="57" customWidth="1"/>
    <col min="5620" max="5620" width="22.28515625" style="57" customWidth="1"/>
    <col min="5621" max="5621" width="23.5703125" style="57" customWidth="1"/>
    <col min="5622" max="5622" width="39" style="57" customWidth="1"/>
    <col min="5623" max="5623" width="36.42578125" style="57" customWidth="1"/>
    <col min="5624" max="5624" width="8" style="57" customWidth="1"/>
    <col min="5625" max="5625" width="15.5703125" style="57" customWidth="1"/>
    <col min="5626" max="5626" width="17.28515625" style="57" customWidth="1"/>
    <col min="5627" max="5627" width="18.85546875" style="57" customWidth="1"/>
    <col min="5628" max="5628" width="81" style="57" customWidth="1"/>
    <col min="5629" max="5629" width="14.85546875" style="57" customWidth="1"/>
    <col min="5630" max="5630" width="15.7109375" style="57" customWidth="1"/>
    <col min="5631" max="5631" width="17.5703125" style="57" customWidth="1"/>
    <col min="5632" max="5632" width="18.42578125" style="57" customWidth="1"/>
    <col min="5633" max="5633" width="16.5703125" style="57" customWidth="1"/>
    <col min="5634" max="5634" width="17.7109375" style="57" customWidth="1"/>
    <col min="5635" max="5635" width="17.85546875" style="57" customWidth="1"/>
    <col min="5636" max="5636" width="18.42578125" style="57" customWidth="1"/>
    <col min="5637" max="5637" width="15.42578125" style="57" customWidth="1"/>
    <col min="5638" max="5638" width="14.5703125" style="57" customWidth="1"/>
    <col min="5639" max="5639" width="15" style="57" customWidth="1"/>
    <col min="5640" max="5640" width="6.7109375" style="57" customWidth="1"/>
    <col min="5641" max="5641" width="14.28515625" style="57" customWidth="1"/>
    <col min="5642" max="5642" width="17.5703125" style="57" customWidth="1"/>
    <col min="5643" max="5643" width="27.7109375" style="57" customWidth="1"/>
    <col min="5644" max="5646" width="9.140625" style="57" customWidth="1"/>
    <col min="5647" max="5647" width="14.85546875" style="57" customWidth="1"/>
    <col min="5648" max="5648" width="13.85546875" style="57" customWidth="1"/>
    <col min="5649" max="5870" width="9.140625" style="57" customWidth="1"/>
    <col min="5871" max="5871" width="9" style="57"/>
    <col min="5872" max="5872" width="6.5703125" style="57" customWidth="1"/>
    <col min="5873" max="5873" width="79.5703125" style="57" customWidth="1"/>
    <col min="5874" max="5874" width="23.5703125" style="57" customWidth="1"/>
    <col min="5875" max="5875" width="27.85546875" style="57" customWidth="1"/>
    <col min="5876" max="5876" width="22.28515625" style="57" customWidth="1"/>
    <col min="5877" max="5877" width="23.5703125" style="57" customWidth="1"/>
    <col min="5878" max="5878" width="39" style="57" customWidth="1"/>
    <col min="5879" max="5879" width="36.42578125" style="57" customWidth="1"/>
    <col min="5880" max="5880" width="8" style="57" customWidth="1"/>
    <col min="5881" max="5881" width="15.5703125" style="57" customWidth="1"/>
    <col min="5882" max="5882" width="17.28515625" style="57" customWidth="1"/>
    <col min="5883" max="5883" width="18.85546875" style="57" customWidth="1"/>
    <col min="5884" max="5884" width="81" style="57" customWidth="1"/>
    <col min="5885" max="5885" width="14.85546875" style="57" customWidth="1"/>
    <col min="5886" max="5886" width="15.7109375" style="57" customWidth="1"/>
    <col min="5887" max="5887" width="17.5703125" style="57" customWidth="1"/>
    <col min="5888" max="5888" width="18.42578125" style="57" customWidth="1"/>
    <col min="5889" max="5889" width="16.5703125" style="57" customWidth="1"/>
    <col min="5890" max="5890" width="17.7109375" style="57" customWidth="1"/>
    <col min="5891" max="5891" width="17.85546875" style="57" customWidth="1"/>
    <col min="5892" max="5892" width="18.42578125" style="57" customWidth="1"/>
    <col min="5893" max="5893" width="15.42578125" style="57" customWidth="1"/>
    <col min="5894" max="5894" width="14.5703125" style="57" customWidth="1"/>
    <col min="5895" max="5895" width="15" style="57" customWidth="1"/>
    <col min="5896" max="5896" width="6.7109375" style="57" customWidth="1"/>
    <col min="5897" max="5897" width="14.28515625" style="57" customWidth="1"/>
    <col min="5898" max="5898" width="17.5703125" style="57" customWidth="1"/>
    <col min="5899" max="5899" width="27.7109375" style="57" customWidth="1"/>
    <col min="5900" max="5902" width="9.140625" style="57" customWidth="1"/>
    <col min="5903" max="5903" width="14.85546875" style="57" customWidth="1"/>
    <col min="5904" max="5904" width="13.85546875" style="57" customWidth="1"/>
    <col min="5905" max="6126" width="9.140625" style="57" customWidth="1"/>
    <col min="6127" max="6127" width="9" style="57"/>
    <col min="6128" max="6128" width="6.5703125" style="57" customWidth="1"/>
    <col min="6129" max="6129" width="79.5703125" style="57" customWidth="1"/>
    <col min="6130" max="6130" width="23.5703125" style="57" customWidth="1"/>
    <col min="6131" max="6131" width="27.85546875" style="57" customWidth="1"/>
    <col min="6132" max="6132" width="22.28515625" style="57" customWidth="1"/>
    <col min="6133" max="6133" width="23.5703125" style="57" customWidth="1"/>
    <col min="6134" max="6134" width="39" style="57" customWidth="1"/>
    <col min="6135" max="6135" width="36.42578125" style="57" customWidth="1"/>
    <col min="6136" max="6136" width="8" style="57" customWidth="1"/>
    <col min="6137" max="6137" width="15.5703125" style="57" customWidth="1"/>
    <col min="6138" max="6138" width="17.28515625" style="57" customWidth="1"/>
    <col min="6139" max="6139" width="18.85546875" style="57" customWidth="1"/>
    <col min="6140" max="6140" width="81" style="57" customWidth="1"/>
    <col min="6141" max="6141" width="14.85546875" style="57" customWidth="1"/>
    <col min="6142" max="6142" width="15.7109375" style="57" customWidth="1"/>
    <col min="6143" max="6143" width="17.5703125" style="57" customWidth="1"/>
    <col min="6144" max="6144" width="18.42578125" style="57" customWidth="1"/>
    <col min="6145" max="6145" width="16.5703125" style="57" customWidth="1"/>
    <col min="6146" max="6146" width="17.7109375" style="57" customWidth="1"/>
    <col min="6147" max="6147" width="17.85546875" style="57" customWidth="1"/>
    <col min="6148" max="6148" width="18.42578125" style="57" customWidth="1"/>
    <col min="6149" max="6149" width="15.42578125" style="57" customWidth="1"/>
    <col min="6150" max="6150" width="14.5703125" style="57" customWidth="1"/>
    <col min="6151" max="6151" width="15" style="57" customWidth="1"/>
    <col min="6152" max="6152" width="6.7109375" style="57" customWidth="1"/>
    <col min="6153" max="6153" width="14.28515625" style="57" customWidth="1"/>
    <col min="6154" max="6154" width="17.5703125" style="57" customWidth="1"/>
    <col min="6155" max="6155" width="27.7109375" style="57" customWidth="1"/>
    <col min="6156" max="6158" width="9.140625" style="57" customWidth="1"/>
    <col min="6159" max="6159" width="14.85546875" style="57" customWidth="1"/>
    <col min="6160" max="6160" width="13.85546875" style="57" customWidth="1"/>
    <col min="6161" max="6382" width="9.140625" style="57" customWidth="1"/>
    <col min="6383" max="6383" width="9" style="57"/>
    <col min="6384" max="6384" width="6.5703125" style="57" customWidth="1"/>
    <col min="6385" max="6385" width="79.5703125" style="57" customWidth="1"/>
    <col min="6386" max="6386" width="23.5703125" style="57" customWidth="1"/>
    <col min="6387" max="6387" width="27.85546875" style="57" customWidth="1"/>
    <col min="6388" max="6388" width="22.28515625" style="57" customWidth="1"/>
    <col min="6389" max="6389" width="23.5703125" style="57" customWidth="1"/>
    <col min="6390" max="6390" width="39" style="57" customWidth="1"/>
    <col min="6391" max="6391" width="36.42578125" style="57" customWidth="1"/>
    <col min="6392" max="6392" width="8" style="57" customWidth="1"/>
    <col min="6393" max="6393" width="15.5703125" style="57" customWidth="1"/>
    <col min="6394" max="6394" width="17.28515625" style="57" customWidth="1"/>
    <col min="6395" max="6395" width="18.85546875" style="57" customWidth="1"/>
    <col min="6396" max="6396" width="81" style="57" customWidth="1"/>
    <col min="6397" max="6397" width="14.85546875" style="57" customWidth="1"/>
    <col min="6398" max="6398" width="15.7109375" style="57" customWidth="1"/>
    <col min="6399" max="6399" width="17.5703125" style="57" customWidth="1"/>
    <col min="6400" max="6400" width="18.42578125" style="57" customWidth="1"/>
    <col min="6401" max="6401" width="16.5703125" style="57" customWidth="1"/>
    <col min="6402" max="6402" width="17.7109375" style="57" customWidth="1"/>
    <col min="6403" max="6403" width="17.85546875" style="57" customWidth="1"/>
    <col min="6404" max="6404" width="18.42578125" style="57" customWidth="1"/>
    <col min="6405" max="6405" width="15.42578125" style="57" customWidth="1"/>
    <col min="6406" max="6406" width="14.5703125" style="57" customWidth="1"/>
    <col min="6407" max="6407" width="15" style="57" customWidth="1"/>
    <col min="6408" max="6408" width="6.7109375" style="57" customWidth="1"/>
    <col min="6409" max="6409" width="14.28515625" style="57" customWidth="1"/>
    <col min="6410" max="6410" width="17.5703125" style="57" customWidth="1"/>
    <col min="6411" max="6411" width="27.7109375" style="57" customWidth="1"/>
    <col min="6412" max="6414" width="9.140625" style="57" customWidth="1"/>
    <col min="6415" max="6415" width="14.85546875" style="57" customWidth="1"/>
    <col min="6416" max="6416" width="13.85546875" style="57" customWidth="1"/>
    <col min="6417" max="6638" width="9.140625" style="57" customWidth="1"/>
    <col min="6639" max="6639" width="9" style="57"/>
    <col min="6640" max="6640" width="6.5703125" style="57" customWidth="1"/>
    <col min="6641" max="6641" width="79.5703125" style="57" customWidth="1"/>
    <col min="6642" max="6642" width="23.5703125" style="57" customWidth="1"/>
    <col min="6643" max="6643" width="27.85546875" style="57" customWidth="1"/>
    <col min="6644" max="6644" width="22.28515625" style="57" customWidth="1"/>
    <col min="6645" max="6645" width="23.5703125" style="57" customWidth="1"/>
    <col min="6646" max="6646" width="39" style="57" customWidth="1"/>
    <col min="6647" max="6647" width="36.42578125" style="57" customWidth="1"/>
    <col min="6648" max="6648" width="8" style="57" customWidth="1"/>
    <col min="6649" max="6649" width="15.5703125" style="57" customWidth="1"/>
    <col min="6650" max="6650" width="17.28515625" style="57" customWidth="1"/>
    <col min="6651" max="6651" width="18.85546875" style="57" customWidth="1"/>
    <col min="6652" max="6652" width="81" style="57" customWidth="1"/>
    <col min="6653" max="6653" width="14.85546875" style="57" customWidth="1"/>
    <col min="6654" max="6654" width="15.7109375" style="57" customWidth="1"/>
    <col min="6655" max="6655" width="17.5703125" style="57" customWidth="1"/>
    <col min="6656" max="6656" width="18.42578125" style="57" customWidth="1"/>
    <col min="6657" max="6657" width="16.5703125" style="57" customWidth="1"/>
    <col min="6658" max="6658" width="17.7109375" style="57" customWidth="1"/>
    <col min="6659" max="6659" width="17.85546875" style="57" customWidth="1"/>
    <col min="6660" max="6660" width="18.42578125" style="57" customWidth="1"/>
    <col min="6661" max="6661" width="15.42578125" style="57" customWidth="1"/>
    <col min="6662" max="6662" width="14.5703125" style="57" customWidth="1"/>
    <col min="6663" max="6663" width="15" style="57" customWidth="1"/>
    <col min="6664" max="6664" width="6.7109375" style="57" customWidth="1"/>
    <col min="6665" max="6665" width="14.28515625" style="57" customWidth="1"/>
    <col min="6666" max="6666" width="17.5703125" style="57" customWidth="1"/>
    <col min="6667" max="6667" width="27.7109375" style="57" customWidth="1"/>
    <col min="6668" max="6670" width="9.140625" style="57" customWidth="1"/>
    <col min="6671" max="6671" width="14.85546875" style="57" customWidth="1"/>
    <col min="6672" max="6672" width="13.85546875" style="57" customWidth="1"/>
    <col min="6673" max="6894" width="9.140625" style="57" customWidth="1"/>
    <col min="6895" max="6895" width="9" style="57"/>
    <col min="6896" max="6896" width="6.5703125" style="57" customWidth="1"/>
    <col min="6897" max="6897" width="79.5703125" style="57" customWidth="1"/>
    <col min="6898" max="6898" width="23.5703125" style="57" customWidth="1"/>
    <col min="6899" max="6899" width="27.85546875" style="57" customWidth="1"/>
    <col min="6900" max="6900" width="22.28515625" style="57" customWidth="1"/>
    <col min="6901" max="6901" width="23.5703125" style="57" customWidth="1"/>
    <col min="6902" max="6902" width="39" style="57" customWidth="1"/>
    <col min="6903" max="6903" width="36.42578125" style="57" customWidth="1"/>
    <col min="6904" max="6904" width="8" style="57" customWidth="1"/>
    <col min="6905" max="6905" width="15.5703125" style="57" customWidth="1"/>
    <col min="6906" max="6906" width="17.28515625" style="57" customWidth="1"/>
    <col min="6907" max="6907" width="18.85546875" style="57" customWidth="1"/>
    <col min="6908" max="6908" width="81" style="57" customWidth="1"/>
    <col min="6909" max="6909" width="14.85546875" style="57" customWidth="1"/>
    <col min="6910" max="6910" width="15.7109375" style="57" customWidth="1"/>
    <col min="6911" max="6911" width="17.5703125" style="57" customWidth="1"/>
    <col min="6912" max="6912" width="18.42578125" style="57" customWidth="1"/>
    <col min="6913" max="6913" width="16.5703125" style="57" customWidth="1"/>
    <col min="6914" max="6914" width="17.7109375" style="57" customWidth="1"/>
    <col min="6915" max="6915" width="17.85546875" style="57" customWidth="1"/>
    <col min="6916" max="6916" width="18.42578125" style="57" customWidth="1"/>
    <col min="6917" max="6917" width="15.42578125" style="57" customWidth="1"/>
    <col min="6918" max="6918" width="14.5703125" style="57" customWidth="1"/>
    <col min="6919" max="6919" width="15" style="57" customWidth="1"/>
    <col min="6920" max="6920" width="6.7109375" style="57" customWidth="1"/>
    <col min="6921" max="6921" width="14.28515625" style="57" customWidth="1"/>
    <col min="6922" max="6922" width="17.5703125" style="57" customWidth="1"/>
    <col min="6923" max="6923" width="27.7109375" style="57" customWidth="1"/>
    <col min="6924" max="6926" width="9.140625" style="57" customWidth="1"/>
    <col min="6927" max="6927" width="14.85546875" style="57" customWidth="1"/>
    <col min="6928" max="6928" width="13.85546875" style="57" customWidth="1"/>
    <col min="6929" max="7150" width="9.140625" style="57" customWidth="1"/>
    <col min="7151" max="7151" width="9" style="57"/>
    <col min="7152" max="7152" width="6.5703125" style="57" customWidth="1"/>
    <col min="7153" max="7153" width="79.5703125" style="57" customWidth="1"/>
    <col min="7154" max="7154" width="23.5703125" style="57" customWidth="1"/>
    <col min="7155" max="7155" width="27.85546875" style="57" customWidth="1"/>
    <col min="7156" max="7156" width="22.28515625" style="57" customWidth="1"/>
    <col min="7157" max="7157" width="23.5703125" style="57" customWidth="1"/>
    <col min="7158" max="7158" width="39" style="57" customWidth="1"/>
    <col min="7159" max="7159" width="36.42578125" style="57" customWidth="1"/>
    <col min="7160" max="7160" width="8" style="57" customWidth="1"/>
    <col min="7161" max="7161" width="15.5703125" style="57" customWidth="1"/>
    <col min="7162" max="7162" width="17.28515625" style="57" customWidth="1"/>
    <col min="7163" max="7163" width="18.85546875" style="57" customWidth="1"/>
    <col min="7164" max="7164" width="81" style="57" customWidth="1"/>
    <col min="7165" max="7165" width="14.85546875" style="57" customWidth="1"/>
    <col min="7166" max="7166" width="15.7109375" style="57" customWidth="1"/>
    <col min="7167" max="7167" width="17.5703125" style="57" customWidth="1"/>
    <col min="7168" max="7168" width="18.42578125" style="57" customWidth="1"/>
    <col min="7169" max="7169" width="16.5703125" style="57" customWidth="1"/>
    <col min="7170" max="7170" width="17.7109375" style="57" customWidth="1"/>
    <col min="7171" max="7171" width="17.85546875" style="57" customWidth="1"/>
    <col min="7172" max="7172" width="18.42578125" style="57" customWidth="1"/>
    <col min="7173" max="7173" width="15.42578125" style="57" customWidth="1"/>
    <col min="7174" max="7174" width="14.5703125" style="57" customWidth="1"/>
    <col min="7175" max="7175" width="15" style="57" customWidth="1"/>
    <col min="7176" max="7176" width="6.7109375" style="57" customWidth="1"/>
    <col min="7177" max="7177" width="14.28515625" style="57" customWidth="1"/>
    <col min="7178" max="7178" width="17.5703125" style="57" customWidth="1"/>
    <col min="7179" max="7179" width="27.7109375" style="57" customWidth="1"/>
    <col min="7180" max="7182" width="9.140625" style="57" customWidth="1"/>
    <col min="7183" max="7183" width="14.85546875" style="57" customWidth="1"/>
    <col min="7184" max="7184" width="13.85546875" style="57" customWidth="1"/>
    <col min="7185" max="7406" width="9.140625" style="57" customWidth="1"/>
    <col min="7407" max="7407" width="9" style="57"/>
    <col min="7408" max="7408" width="6.5703125" style="57" customWidth="1"/>
    <col min="7409" max="7409" width="79.5703125" style="57" customWidth="1"/>
    <col min="7410" max="7410" width="23.5703125" style="57" customWidth="1"/>
    <col min="7411" max="7411" width="27.85546875" style="57" customWidth="1"/>
    <col min="7412" max="7412" width="22.28515625" style="57" customWidth="1"/>
    <col min="7413" max="7413" width="23.5703125" style="57" customWidth="1"/>
    <col min="7414" max="7414" width="39" style="57" customWidth="1"/>
    <col min="7415" max="7415" width="36.42578125" style="57" customWidth="1"/>
    <col min="7416" max="7416" width="8" style="57" customWidth="1"/>
    <col min="7417" max="7417" width="15.5703125" style="57" customWidth="1"/>
    <col min="7418" max="7418" width="17.28515625" style="57" customWidth="1"/>
    <col min="7419" max="7419" width="18.85546875" style="57" customWidth="1"/>
    <col min="7420" max="7420" width="81" style="57" customWidth="1"/>
    <col min="7421" max="7421" width="14.85546875" style="57" customWidth="1"/>
    <col min="7422" max="7422" width="15.7109375" style="57" customWidth="1"/>
    <col min="7423" max="7423" width="17.5703125" style="57" customWidth="1"/>
    <col min="7424" max="7424" width="18.42578125" style="57" customWidth="1"/>
    <col min="7425" max="7425" width="16.5703125" style="57" customWidth="1"/>
    <col min="7426" max="7426" width="17.7109375" style="57" customWidth="1"/>
    <col min="7427" max="7427" width="17.85546875" style="57" customWidth="1"/>
    <col min="7428" max="7428" width="18.42578125" style="57" customWidth="1"/>
    <col min="7429" max="7429" width="15.42578125" style="57" customWidth="1"/>
    <col min="7430" max="7430" width="14.5703125" style="57" customWidth="1"/>
    <col min="7431" max="7431" width="15" style="57" customWidth="1"/>
    <col min="7432" max="7432" width="6.7109375" style="57" customWidth="1"/>
    <col min="7433" max="7433" width="14.28515625" style="57" customWidth="1"/>
    <col min="7434" max="7434" width="17.5703125" style="57" customWidth="1"/>
    <col min="7435" max="7435" width="27.7109375" style="57" customWidth="1"/>
    <col min="7436" max="7438" width="9.140625" style="57" customWidth="1"/>
    <col min="7439" max="7439" width="14.85546875" style="57" customWidth="1"/>
    <col min="7440" max="7440" width="13.85546875" style="57" customWidth="1"/>
    <col min="7441" max="7662" width="9.140625" style="57" customWidth="1"/>
    <col min="7663" max="7663" width="9" style="57"/>
    <col min="7664" max="7664" width="6.5703125" style="57" customWidth="1"/>
    <col min="7665" max="7665" width="79.5703125" style="57" customWidth="1"/>
    <col min="7666" max="7666" width="23.5703125" style="57" customWidth="1"/>
    <col min="7667" max="7667" width="27.85546875" style="57" customWidth="1"/>
    <col min="7668" max="7668" width="22.28515625" style="57" customWidth="1"/>
    <col min="7669" max="7669" width="23.5703125" style="57" customWidth="1"/>
    <col min="7670" max="7670" width="39" style="57" customWidth="1"/>
    <col min="7671" max="7671" width="36.42578125" style="57" customWidth="1"/>
    <col min="7672" max="7672" width="8" style="57" customWidth="1"/>
    <col min="7673" max="7673" width="15.5703125" style="57" customWidth="1"/>
    <col min="7674" max="7674" width="17.28515625" style="57" customWidth="1"/>
    <col min="7675" max="7675" width="18.85546875" style="57" customWidth="1"/>
    <col min="7676" max="7676" width="81" style="57" customWidth="1"/>
    <col min="7677" max="7677" width="14.85546875" style="57" customWidth="1"/>
    <col min="7678" max="7678" width="15.7109375" style="57" customWidth="1"/>
    <col min="7679" max="7679" width="17.5703125" style="57" customWidth="1"/>
    <col min="7680" max="7680" width="18.42578125" style="57" customWidth="1"/>
    <col min="7681" max="7681" width="16.5703125" style="57" customWidth="1"/>
    <col min="7682" max="7682" width="17.7109375" style="57" customWidth="1"/>
    <col min="7683" max="7683" width="17.85546875" style="57" customWidth="1"/>
    <col min="7684" max="7684" width="18.42578125" style="57" customWidth="1"/>
    <col min="7685" max="7685" width="15.42578125" style="57" customWidth="1"/>
    <col min="7686" max="7686" width="14.5703125" style="57" customWidth="1"/>
    <col min="7687" max="7687" width="15" style="57" customWidth="1"/>
    <col min="7688" max="7688" width="6.7109375" style="57" customWidth="1"/>
    <col min="7689" max="7689" width="14.28515625" style="57" customWidth="1"/>
    <col min="7690" max="7690" width="17.5703125" style="57" customWidth="1"/>
    <col min="7691" max="7691" width="27.7109375" style="57" customWidth="1"/>
    <col min="7692" max="7694" width="9.140625" style="57" customWidth="1"/>
    <col min="7695" max="7695" width="14.85546875" style="57" customWidth="1"/>
    <col min="7696" max="7696" width="13.85546875" style="57" customWidth="1"/>
    <col min="7697" max="7918" width="9.140625" style="57" customWidth="1"/>
    <col min="7919" max="7919" width="9" style="57"/>
    <col min="7920" max="7920" width="6.5703125" style="57" customWidth="1"/>
    <col min="7921" max="7921" width="79.5703125" style="57" customWidth="1"/>
    <col min="7922" max="7922" width="23.5703125" style="57" customWidth="1"/>
    <col min="7923" max="7923" width="27.85546875" style="57" customWidth="1"/>
    <col min="7924" max="7924" width="22.28515625" style="57" customWidth="1"/>
    <col min="7925" max="7925" width="23.5703125" style="57" customWidth="1"/>
    <col min="7926" max="7926" width="39" style="57" customWidth="1"/>
    <col min="7927" max="7927" width="36.42578125" style="57" customWidth="1"/>
    <col min="7928" max="7928" width="8" style="57" customWidth="1"/>
    <col min="7929" max="7929" width="15.5703125" style="57" customWidth="1"/>
    <col min="7930" max="7930" width="17.28515625" style="57" customWidth="1"/>
    <col min="7931" max="7931" width="18.85546875" style="57" customWidth="1"/>
    <col min="7932" max="7932" width="81" style="57" customWidth="1"/>
    <col min="7933" max="7933" width="14.85546875" style="57" customWidth="1"/>
    <col min="7934" max="7934" width="15.7109375" style="57" customWidth="1"/>
    <col min="7935" max="7935" width="17.5703125" style="57" customWidth="1"/>
    <col min="7936" max="7936" width="18.42578125" style="57" customWidth="1"/>
    <col min="7937" max="7937" width="16.5703125" style="57" customWidth="1"/>
    <col min="7938" max="7938" width="17.7109375" style="57" customWidth="1"/>
    <col min="7939" max="7939" width="17.85546875" style="57" customWidth="1"/>
    <col min="7940" max="7940" width="18.42578125" style="57" customWidth="1"/>
    <col min="7941" max="7941" width="15.42578125" style="57" customWidth="1"/>
    <col min="7942" max="7942" width="14.5703125" style="57" customWidth="1"/>
    <col min="7943" max="7943" width="15" style="57" customWidth="1"/>
    <col min="7944" max="7944" width="6.7109375" style="57" customWidth="1"/>
    <col min="7945" max="7945" width="14.28515625" style="57" customWidth="1"/>
    <col min="7946" max="7946" width="17.5703125" style="57" customWidth="1"/>
    <col min="7947" max="7947" width="27.7109375" style="57" customWidth="1"/>
    <col min="7948" max="7950" width="9.140625" style="57" customWidth="1"/>
    <col min="7951" max="7951" width="14.85546875" style="57" customWidth="1"/>
    <col min="7952" max="7952" width="13.85546875" style="57" customWidth="1"/>
    <col min="7953" max="8174" width="9.140625" style="57" customWidth="1"/>
    <col min="8175" max="8175" width="9" style="57"/>
    <col min="8176" max="8176" width="6.5703125" style="57" customWidth="1"/>
    <col min="8177" max="8177" width="79.5703125" style="57" customWidth="1"/>
    <col min="8178" max="8178" width="23.5703125" style="57" customWidth="1"/>
    <col min="8179" max="8179" width="27.85546875" style="57" customWidth="1"/>
    <col min="8180" max="8180" width="22.28515625" style="57" customWidth="1"/>
    <col min="8181" max="8181" width="23.5703125" style="57" customWidth="1"/>
    <col min="8182" max="8182" width="39" style="57" customWidth="1"/>
    <col min="8183" max="8183" width="36.42578125" style="57" customWidth="1"/>
    <col min="8184" max="8184" width="8" style="57" customWidth="1"/>
    <col min="8185" max="8185" width="15.5703125" style="57" customWidth="1"/>
    <col min="8186" max="8186" width="17.28515625" style="57" customWidth="1"/>
    <col min="8187" max="8187" width="18.85546875" style="57" customWidth="1"/>
    <col min="8188" max="8188" width="81" style="57" customWidth="1"/>
    <col min="8189" max="8189" width="14.85546875" style="57" customWidth="1"/>
    <col min="8190" max="8190" width="15.7109375" style="57" customWidth="1"/>
    <col min="8191" max="8191" width="17.5703125" style="57" customWidth="1"/>
    <col min="8192" max="8192" width="18.42578125" style="57" customWidth="1"/>
    <col min="8193" max="8193" width="16.5703125" style="57" customWidth="1"/>
    <col min="8194" max="8194" width="17.7109375" style="57" customWidth="1"/>
    <col min="8195" max="8195" width="17.85546875" style="57" customWidth="1"/>
    <col min="8196" max="8196" width="18.42578125" style="57" customWidth="1"/>
    <col min="8197" max="8197" width="15.42578125" style="57" customWidth="1"/>
    <col min="8198" max="8198" width="14.5703125" style="57" customWidth="1"/>
    <col min="8199" max="8199" width="15" style="57" customWidth="1"/>
    <col min="8200" max="8200" width="6.7109375" style="57" customWidth="1"/>
    <col min="8201" max="8201" width="14.28515625" style="57" customWidth="1"/>
    <col min="8202" max="8202" width="17.5703125" style="57" customWidth="1"/>
    <col min="8203" max="8203" width="27.7109375" style="57" customWidth="1"/>
    <col min="8204" max="8206" width="9.140625" style="57" customWidth="1"/>
    <col min="8207" max="8207" width="14.85546875" style="57" customWidth="1"/>
    <col min="8208" max="8208" width="13.85546875" style="57" customWidth="1"/>
    <col min="8209" max="8430" width="9.140625" style="57" customWidth="1"/>
    <col min="8431" max="8431" width="9" style="57"/>
    <col min="8432" max="8432" width="6.5703125" style="57" customWidth="1"/>
    <col min="8433" max="8433" width="79.5703125" style="57" customWidth="1"/>
    <col min="8434" max="8434" width="23.5703125" style="57" customWidth="1"/>
    <col min="8435" max="8435" width="27.85546875" style="57" customWidth="1"/>
    <col min="8436" max="8436" width="22.28515625" style="57" customWidth="1"/>
    <col min="8437" max="8437" width="23.5703125" style="57" customWidth="1"/>
    <col min="8438" max="8438" width="39" style="57" customWidth="1"/>
    <col min="8439" max="8439" width="36.42578125" style="57" customWidth="1"/>
    <col min="8440" max="8440" width="8" style="57" customWidth="1"/>
    <col min="8441" max="8441" width="15.5703125" style="57" customWidth="1"/>
    <col min="8442" max="8442" width="17.28515625" style="57" customWidth="1"/>
    <col min="8443" max="8443" width="18.85546875" style="57" customWidth="1"/>
    <col min="8444" max="8444" width="81" style="57" customWidth="1"/>
    <col min="8445" max="8445" width="14.85546875" style="57" customWidth="1"/>
    <col min="8446" max="8446" width="15.7109375" style="57" customWidth="1"/>
    <col min="8447" max="8447" width="17.5703125" style="57" customWidth="1"/>
    <col min="8448" max="8448" width="18.42578125" style="57" customWidth="1"/>
    <col min="8449" max="8449" width="16.5703125" style="57" customWidth="1"/>
    <col min="8450" max="8450" width="17.7109375" style="57" customWidth="1"/>
    <col min="8451" max="8451" width="17.85546875" style="57" customWidth="1"/>
    <col min="8452" max="8452" width="18.42578125" style="57" customWidth="1"/>
    <col min="8453" max="8453" width="15.42578125" style="57" customWidth="1"/>
    <col min="8454" max="8454" width="14.5703125" style="57" customWidth="1"/>
    <col min="8455" max="8455" width="15" style="57" customWidth="1"/>
    <col min="8456" max="8456" width="6.7109375" style="57" customWidth="1"/>
    <col min="8457" max="8457" width="14.28515625" style="57" customWidth="1"/>
    <col min="8458" max="8458" width="17.5703125" style="57" customWidth="1"/>
    <col min="8459" max="8459" width="27.7109375" style="57" customWidth="1"/>
    <col min="8460" max="8462" width="9.140625" style="57" customWidth="1"/>
    <col min="8463" max="8463" width="14.85546875" style="57" customWidth="1"/>
    <col min="8464" max="8464" width="13.85546875" style="57" customWidth="1"/>
    <col min="8465" max="8686" width="9.140625" style="57" customWidth="1"/>
    <col min="8687" max="8687" width="9" style="57"/>
    <col min="8688" max="8688" width="6.5703125" style="57" customWidth="1"/>
    <col min="8689" max="8689" width="79.5703125" style="57" customWidth="1"/>
    <col min="8690" max="8690" width="23.5703125" style="57" customWidth="1"/>
    <col min="8691" max="8691" width="27.85546875" style="57" customWidth="1"/>
    <col min="8692" max="8692" width="22.28515625" style="57" customWidth="1"/>
    <col min="8693" max="8693" width="23.5703125" style="57" customWidth="1"/>
    <col min="8694" max="8694" width="39" style="57" customWidth="1"/>
    <col min="8695" max="8695" width="36.42578125" style="57" customWidth="1"/>
    <col min="8696" max="8696" width="8" style="57" customWidth="1"/>
    <col min="8697" max="8697" width="15.5703125" style="57" customWidth="1"/>
    <col min="8698" max="8698" width="17.28515625" style="57" customWidth="1"/>
    <col min="8699" max="8699" width="18.85546875" style="57" customWidth="1"/>
    <col min="8700" max="8700" width="81" style="57" customWidth="1"/>
    <col min="8701" max="8701" width="14.85546875" style="57" customWidth="1"/>
    <col min="8702" max="8702" width="15.7109375" style="57" customWidth="1"/>
    <col min="8703" max="8703" width="17.5703125" style="57" customWidth="1"/>
    <col min="8704" max="8704" width="18.42578125" style="57" customWidth="1"/>
    <col min="8705" max="8705" width="16.5703125" style="57" customWidth="1"/>
    <col min="8706" max="8706" width="17.7109375" style="57" customWidth="1"/>
    <col min="8707" max="8707" width="17.85546875" style="57" customWidth="1"/>
    <col min="8708" max="8708" width="18.42578125" style="57" customWidth="1"/>
    <col min="8709" max="8709" width="15.42578125" style="57" customWidth="1"/>
    <col min="8710" max="8710" width="14.5703125" style="57" customWidth="1"/>
    <col min="8711" max="8711" width="15" style="57" customWidth="1"/>
    <col min="8712" max="8712" width="6.7109375" style="57" customWidth="1"/>
    <col min="8713" max="8713" width="14.28515625" style="57" customWidth="1"/>
    <col min="8714" max="8714" width="17.5703125" style="57" customWidth="1"/>
    <col min="8715" max="8715" width="27.7109375" style="57" customWidth="1"/>
    <col min="8716" max="8718" width="9.140625" style="57" customWidth="1"/>
    <col min="8719" max="8719" width="14.85546875" style="57" customWidth="1"/>
    <col min="8720" max="8720" width="13.85546875" style="57" customWidth="1"/>
    <col min="8721" max="8942" width="9.140625" style="57" customWidth="1"/>
    <col min="8943" max="8943" width="9" style="57"/>
    <col min="8944" max="8944" width="6.5703125" style="57" customWidth="1"/>
    <col min="8945" max="8945" width="79.5703125" style="57" customWidth="1"/>
    <col min="8946" max="8946" width="23.5703125" style="57" customWidth="1"/>
    <col min="8947" max="8947" width="27.85546875" style="57" customWidth="1"/>
    <col min="8948" max="8948" width="22.28515625" style="57" customWidth="1"/>
    <col min="8949" max="8949" width="23.5703125" style="57" customWidth="1"/>
    <col min="8950" max="8950" width="39" style="57" customWidth="1"/>
    <col min="8951" max="8951" width="36.42578125" style="57" customWidth="1"/>
    <col min="8952" max="8952" width="8" style="57" customWidth="1"/>
    <col min="8953" max="8953" width="15.5703125" style="57" customWidth="1"/>
    <col min="8954" max="8954" width="17.28515625" style="57" customWidth="1"/>
    <col min="8955" max="8955" width="18.85546875" style="57" customWidth="1"/>
    <col min="8956" max="8956" width="81" style="57" customWidth="1"/>
    <col min="8957" max="8957" width="14.85546875" style="57" customWidth="1"/>
    <col min="8958" max="8958" width="15.7109375" style="57" customWidth="1"/>
    <col min="8959" max="8959" width="17.5703125" style="57" customWidth="1"/>
    <col min="8960" max="8960" width="18.42578125" style="57" customWidth="1"/>
    <col min="8961" max="8961" width="16.5703125" style="57" customWidth="1"/>
    <col min="8962" max="8962" width="17.7109375" style="57" customWidth="1"/>
    <col min="8963" max="8963" width="17.85546875" style="57" customWidth="1"/>
    <col min="8964" max="8964" width="18.42578125" style="57" customWidth="1"/>
    <col min="8965" max="8965" width="15.42578125" style="57" customWidth="1"/>
    <col min="8966" max="8966" width="14.5703125" style="57" customWidth="1"/>
    <col min="8967" max="8967" width="15" style="57" customWidth="1"/>
    <col min="8968" max="8968" width="6.7109375" style="57" customWidth="1"/>
    <col min="8969" max="8969" width="14.28515625" style="57" customWidth="1"/>
    <col min="8970" max="8970" width="17.5703125" style="57" customWidth="1"/>
    <col min="8971" max="8971" width="27.7109375" style="57" customWidth="1"/>
    <col min="8972" max="8974" width="9.140625" style="57" customWidth="1"/>
    <col min="8975" max="8975" width="14.85546875" style="57" customWidth="1"/>
    <col min="8976" max="8976" width="13.85546875" style="57" customWidth="1"/>
    <col min="8977" max="9198" width="9.140625" style="57" customWidth="1"/>
    <col min="9199" max="9199" width="9" style="57"/>
    <col min="9200" max="9200" width="6.5703125" style="57" customWidth="1"/>
    <col min="9201" max="9201" width="79.5703125" style="57" customWidth="1"/>
    <col min="9202" max="9202" width="23.5703125" style="57" customWidth="1"/>
    <col min="9203" max="9203" width="27.85546875" style="57" customWidth="1"/>
    <col min="9204" max="9204" width="22.28515625" style="57" customWidth="1"/>
    <col min="9205" max="9205" width="23.5703125" style="57" customWidth="1"/>
    <col min="9206" max="9206" width="39" style="57" customWidth="1"/>
    <col min="9207" max="9207" width="36.42578125" style="57" customWidth="1"/>
    <col min="9208" max="9208" width="8" style="57" customWidth="1"/>
    <col min="9209" max="9209" width="15.5703125" style="57" customWidth="1"/>
    <col min="9210" max="9210" width="17.28515625" style="57" customWidth="1"/>
    <col min="9211" max="9211" width="18.85546875" style="57" customWidth="1"/>
    <col min="9212" max="9212" width="81" style="57" customWidth="1"/>
    <col min="9213" max="9213" width="14.85546875" style="57" customWidth="1"/>
    <col min="9214" max="9214" width="15.7109375" style="57" customWidth="1"/>
    <col min="9215" max="9215" width="17.5703125" style="57" customWidth="1"/>
    <col min="9216" max="9216" width="18.42578125" style="57" customWidth="1"/>
    <col min="9217" max="9217" width="16.5703125" style="57" customWidth="1"/>
    <col min="9218" max="9218" width="17.7109375" style="57" customWidth="1"/>
    <col min="9219" max="9219" width="17.85546875" style="57" customWidth="1"/>
    <col min="9220" max="9220" width="18.42578125" style="57" customWidth="1"/>
    <col min="9221" max="9221" width="15.42578125" style="57" customWidth="1"/>
    <col min="9222" max="9222" width="14.5703125" style="57" customWidth="1"/>
    <col min="9223" max="9223" width="15" style="57" customWidth="1"/>
    <col min="9224" max="9224" width="6.7109375" style="57" customWidth="1"/>
    <col min="9225" max="9225" width="14.28515625" style="57" customWidth="1"/>
    <col min="9226" max="9226" width="17.5703125" style="57" customWidth="1"/>
    <col min="9227" max="9227" width="27.7109375" style="57" customWidth="1"/>
    <col min="9228" max="9230" width="9.140625" style="57" customWidth="1"/>
    <col min="9231" max="9231" width="14.85546875" style="57" customWidth="1"/>
    <col min="9232" max="9232" width="13.85546875" style="57" customWidth="1"/>
    <col min="9233" max="9454" width="9.140625" style="57" customWidth="1"/>
    <col min="9455" max="9455" width="9" style="57"/>
    <col min="9456" max="9456" width="6.5703125" style="57" customWidth="1"/>
    <col min="9457" max="9457" width="79.5703125" style="57" customWidth="1"/>
    <col min="9458" max="9458" width="23.5703125" style="57" customWidth="1"/>
    <col min="9459" max="9459" width="27.85546875" style="57" customWidth="1"/>
    <col min="9460" max="9460" width="22.28515625" style="57" customWidth="1"/>
    <col min="9461" max="9461" width="23.5703125" style="57" customWidth="1"/>
    <col min="9462" max="9462" width="39" style="57" customWidth="1"/>
    <col min="9463" max="9463" width="36.42578125" style="57" customWidth="1"/>
    <col min="9464" max="9464" width="8" style="57" customWidth="1"/>
    <col min="9465" max="9465" width="15.5703125" style="57" customWidth="1"/>
    <col min="9466" max="9466" width="17.28515625" style="57" customWidth="1"/>
    <col min="9467" max="9467" width="18.85546875" style="57" customWidth="1"/>
    <col min="9468" max="9468" width="81" style="57" customWidth="1"/>
    <col min="9469" max="9469" width="14.85546875" style="57" customWidth="1"/>
    <col min="9470" max="9470" width="15.7109375" style="57" customWidth="1"/>
    <col min="9471" max="9471" width="17.5703125" style="57" customWidth="1"/>
    <col min="9472" max="9472" width="18.42578125" style="57" customWidth="1"/>
    <col min="9473" max="9473" width="16.5703125" style="57" customWidth="1"/>
    <col min="9474" max="9474" width="17.7109375" style="57" customWidth="1"/>
    <col min="9475" max="9475" width="17.85546875" style="57" customWidth="1"/>
    <col min="9476" max="9476" width="18.42578125" style="57" customWidth="1"/>
    <col min="9477" max="9477" width="15.42578125" style="57" customWidth="1"/>
    <col min="9478" max="9478" width="14.5703125" style="57" customWidth="1"/>
    <col min="9479" max="9479" width="15" style="57" customWidth="1"/>
    <col min="9480" max="9480" width="6.7109375" style="57" customWidth="1"/>
    <col min="9481" max="9481" width="14.28515625" style="57" customWidth="1"/>
    <col min="9482" max="9482" width="17.5703125" style="57" customWidth="1"/>
    <col min="9483" max="9483" width="27.7109375" style="57" customWidth="1"/>
    <col min="9484" max="9486" width="9.140625" style="57" customWidth="1"/>
    <col min="9487" max="9487" width="14.85546875" style="57" customWidth="1"/>
    <col min="9488" max="9488" width="13.85546875" style="57" customWidth="1"/>
    <col min="9489" max="9710" width="9.140625" style="57" customWidth="1"/>
    <col min="9711" max="9711" width="9" style="57"/>
    <col min="9712" max="9712" width="6.5703125" style="57" customWidth="1"/>
    <col min="9713" max="9713" width="79.5703125" style="57" customWidth="1"/>
    <col min="9714" max="9714" width="23.5703125" style="57" customWidth="1"/>
    <col min="9715" max="9715" width="27.85546875" style="57" customWidth="1"/>
    <col min="9716" max="9716" width="22.28515625" style="57" customWidth="1"/>
    <col min="9717" max="9717" width="23.5703125" style="57" customWidth="1"/>
    <col min="9718" max="9718" width="39" style="57" customWidth="1"/>
    <col min="9719" max="9719" width="36.42578125" style="57" customWidth="1"/>
    <col min="9720" max="9720" width="8" style="57" customWidth="1"/>
    <col min="9721" max="9721" width="15.5703125" style="57" customWidth="1"/>
    <col min="9722" max="9722" width="17.28515625" style="57" customWidth="1"/>
    <col min="9723" max="9723" width="18.85546875" style="57" customWidth="1"/>
    <col min="9724" max="9724" width="81" style="57" customWidth="1"/>
    <col min="9725" max="9725" width="14.85546875" style="57" customWidth="1"/>
    <col min="9726" max="9726" width="15.7109375" style="57" customWidth="1"/>
    <col min="9727" max="9727" width="17.5703125" style="57" customWidth="1"/>
    <col min="9728" max="9728" width="18.42578125" style="57" customWidth="1"/>
    <col min="9729" max="9729" width="16.5703125" style="57" customWidth="1"/>
    <col min="9730" max="9730" width="17.7109375" style="57" customWidth="1"/>
    <col min="9731" max="9731" width="17.85546875" style="57" customWidth="1"/>
    <col min="9732" max="9732" width="18.42578125" style="57" customWidth="1"/>
    <col min="9733" max="9733" width="15.42578125" style="57" customWidth="1"/>
    <col min="9734" max="9734" width="14.5703125" style="57" customWidth="1"/>
    <col min="9735" max="9735" width="15" style="57" customWidth="1"/>
    <col min="9736" max="9736" width="6.7109375" style="57" customWidth="1"/>
    <col min="9737" max="9737" width="14.28515625" style="57" customWidth="1"/>
    <col min="9738" max="9738" width="17.5703125" style="57" customWidth="1"/>
    <col min="9739" max="9739" width="27.7109375" style="57" customWidth="1"/>
    <col min="9740" max="9742" width="9.140625" style="57" customWidth="1"/>
    <col min="9743" max="9743" width="14.85546875" style="57" customWidth="1"/>
    <col min="9744" max="9744" width="13.85546875" style="57" customWidth="1"/>
    <col min="9745" max="9966" width="9.140625" style="57" customWidth="1"/>
    <col min="9967" max="9967" width="9" style="57"/>
    <col min="9968" max="9968" width="6.5703125" style="57" customWidth="1"/>
    <col min="9969" max="9969" width="79.5703125" style="57" customWidth="1"/>
    <col min="9970" max="9970" width="23.5703125" style="57" customWidth="1"/>
    <col min="9971" max="9971" width="27.85546875" style="57" customWidth="1"/>
    <col min="9972" max="9972" width="22.28515625" style="57" customWidth="1"/>
    <col min="9973" max="9973" width="23.5703125" style="57" customWidth="1"/>
    <col min="9974" max="9974" width="39" style="57" customWidth="1"/>
    <col min="9975" max="9975" width="36.42578125" style="57" customWidth="1"/>
    <col min="9976" max="9976" width="8" style="57" customWidth="1"/>
    <col min="9977" max="9977" width="15.5703125" style="57" customWidth="1"/>
    <col min="9978" max="9978" width="17.28515625" style="57" customWidth="1"/>
    <col min="9979" max="9979" width="18.85546875" style="57" customWidth="1"/>
    <col min="9980" max="9980" width="81" style="57" customWidth="1"/>
    <col min="9981" max="9981" width="14.85546875" style="57" customWidth="1"/>
    <col min="9982" max="9982" width="15.7109375" style="57" customWidth="1"/>
    <col min="9983" max="9983" width="17.5703125" style="57" customWidth="1"/>
    <col min="9984" max="9984" width="18.42578125" style="57" customWidth="1"/>
    <col min="9985" max="9985" width="16.5703125" style="57" customWidth="1"/>
    <col min="9986" max="9986" width="17.7109375" style="57" customWidth="1"/>
    <col min="9987" max="9987" width="17.85546875" style="57" customWidth="1"/>
    <col min="9988" max="9988" width="18.42578125" style="57" customWidth="1"/>
    <col min="9989" max="9989" width="15.42578125" style="57" customWidth="1"/>
    <col min="9990" max="9990" width="14.5703125" style="57" customWidth="1"/>
    <col min="9991" max="9991" width="15" style="57" customWidth="1"/>
    <col min="9992" max="9992" width="6.7109375" style="57" customWidth="1"/>
    <col min="9993" max="9993" width="14.28515625" style="57" customWidth="1"/>
    <col min="9994" max="9994" width="17.5703125" style="57" customWidth="1"/>
    <col min="9995" max="9995" width="27.7109375" style="57" customWidth="1"/>
    <col min="9996" max="9998" width="9.140625" style="57" customWidth="1"/>
    <col min="9999" max="9999" width="14.85546875" style="57" customWidth="1"/>
    <col min="10000" max="10000" width="13.85546875" style="57" customWidth="1"/>
    <col min="10001" max="10222" width="9.140625" style="57" customWidth="1"/>
    <col min="10223" max="10223" width="9" style="57"/>
    <col min="10224" max="10224" width="6.5703125" style="57" customWidth="1"/>
    <col min="10225" max="10225" width="79.5703125" style="57" customWidth="1"/>
    <col min="10226" max="10226" width="23.5703125" style="57" customWidth="1"/>
    <col min="10227" max="10227" width="27.85546875" style="57" customWidth="1"/>
    <col min="10228" max="10228" width="22.28515625" style="57" customWidth="1"/>
    <col min="10229" max="10229" width="23.5703125" style="57" customWidth="1"/>
    <col min="10230" max="10230" width="39" style="57" customWidth="1"/>
    <col min="10231" max="10231" width="36.42578125" style="57" customWidth="1"/>
    <col min="10232" max="10232" width="8" style="57" customWidth="1"/>
    <col min="10233" max="10233" width="15.5703125" style="57" customWidth="1"/>
    <col min="10234" max="10234" width="17.28515625" style="57" customWidth="1"/>
    <col min="10235" max="10235" width="18.85546875" style="57" customWidth="1"/>
    <col min="10236" max="10236" width="81" style="57" customWidth="1"/>
    <col min="10237" max="10237" width="14.85546875" style="57" customWidth="1"/>
    <col min="10238" max="10238" width="15.7109375" style="57" customWidth="1"/>
    <col min="10239" max="10239" width="17.5703125" style="57" customWidth="1"/>
    <col min="10240" max="10240" width="18.42578125" style="57" customWidth="1"/>
    <col min="10241" max="10241" width="16.5703125" style="57" customWidth="1"/>
    <col min="10242" max="10242" width="17.7109375" style="57" customWidth="1"/>
    <col min="10243" max="10243" width="17.85546875" style="57" customWidth="1"/>
    <col min="10244" max="10244" width="18.42578125" style="57" customWidth="1"/>
    <col min="10245" max="10245" width="15.42578125" style="57" customWidth="1"/>
    <col min="10246" max="10246" width="14.5703125" style="57" customWidth="1"/>
    <col min="10247" max="10247" width="15" style="57" customWidth="1"/>
    <col min="10248" max="10248" width="6.7109375" style="57" customWidth="1"/>
    <col min="10249" max="10249" width="14.28515625" style="57" customWidth="1"/>
    <col min="10250" max="10250" width="17.5703125" style="57" customWidth="1"/>
    <col min="10251" max="10251" width="27.7109375" style="57" customWidth="1"/>
    <col min="10252" max="10254" width="9.140625" style="57" customWidth="1"/>
    <col min="10255" max="10255" width="14.85546875" style="57" customWidth="1"/>
    <col min="10256" max="10256" width="13.85546875" style="57" customWidth="1"/>
    <col min="10257" max="10478" width="9.140625" style="57" customWidth="1"/>
    <col min="10479" max="10479" width="9" style="57"/>
    <col min="10480" max="10480" width="6.5703125" style="57" customWidth="1"/>
    <col min="10481" max="10481" width="79.5703125" style="57" customWidth="1"/>
    <col min="10482" max="10482" width="23.5703125" style="57" customWidth="1"/>
    <col min="10483" max="10483" width="27.85546875" style="57" customWidth="1"/>
    <col min="10484" max="10484" width="22.28515625" style="57" customWidth="1"/>
    <col min="10485" max="10485" width="23.5703125" style="57" customWidth="1"/>
    <col min="10486" max="10486" width="39" style="57" customWidth="1"/>
    <col min="10487" max="10487" width="36.42578125" style="57" customWidth="1"/>
    <col min="10488" max="10488" width="8" style="57" customWidth="1"/>
    <col min="10489" max="10489" width="15.5703125" style="57" customWidth="1"/>
    <col min="10490" max="10490" width="17.28515625" style="57" customWidth="1"/>
    <col min="10491" max="10491" width="18.85546875" style="57" customWidth="1"/>
    <col min="10492" max="10492" width="81" style="57" customWidth="1"/>
    <col min="10493" max="10493" width="14.85546875" style="57" customWidth="1"/>
    <col min="10494" max="10494" width="15.7109375" style="57" customWidth="1"/>
    <col min="10495" max="10495" width="17.5703125" style="57" customWidth="1"/>
    <col min="10496" max="10496" width="18.42578125" style="57" customWidth="1"/>
    <col min="10497" max="10497" width="16.5703125" style="57" customWidth="1"/>
    <col min="10498" max="10498" width="17.7109375" style="57" customWidth="1"/>
    <col min="10499" max="10499" width="17.85546875" style="57" customWidth="1"/>
    <col min="10500" max="10500" width="18.42578125" style="57" customWidth="1"/>
    <col min="10501" max="10501" width="15.42578125" style="57" customWidth="1"/>
    <col min="10502" max="10502" width="14.5703125" style="57" customWidth="1"/>
    <col min="10503" max="10503" width="15" style="57" customWidth="1"/>
    <col min="10504" max="10504" width="6.7109375" style="57" customWidth="1"/>
    <col min="10505" max="10505" width="14.28515625" style="57" customWidth="1"/>
    <col min="10506" max="10506" width="17.5703125" style="57" customWidth="1"/>
    <col min="10507" max="10507" width="27.7109375" style="57" customWidth="1"/>
    <col min="10508" max="10510" width="9.140625" style="57" customWidth="1"/>
    <col min="10511" max="10511" width="14.85546875" style="57" customWidth="1"/>
    <col min="10512" max="10512" width="13.85546875" style="57" customWidth="1"/>
    <col min="10513" max="10734" width="9.140625" style="57" customWidth="1"/>
    <col min="10735" max="10735" width="9" style="57"/>
    <col min="10736" max="10736" width="6.5703125" style="57" customWidth="1"/>
    <col min="10737" max="10737" width="79.5703125" style="57" customWidth="1"/>
    <col min="10738" max="10738" width="23.5703125" style="57" customWidth="1"/>
    <col min="10739" max="10739" width="27.85546875" style="57" customWidth="1"/>
    <col min="10740" max="10740" width="22.28515625" style="57" customWidth="1"/>
    <col min="10741" max="10741" width="23.5703125" style="57" customWidth="1"/>
    <col min="10742" max="10742" width="39" style="57" customWidth="1"/>
    <col min="10743" max="10743" width="36.42578125" style="57" customWidth="1"/>
    <col min="10744" max="10744" width="8" style="57" customWidth="1"/>
    <col min="10745" max="10745" width="15.5703125" style="57" customWidth="1"/>
    <col min="10746" max="10746" width="17.28515625" style="57" customWidth="1"/>
    <col min="10747" max="10747" width="18.85546875" style="57" customWidth="1"/>
    <col min="10748" max="10748" width="81" style="57" customWidth="1"/>
    <col min="10749" max="10749" width="14.85546875" style="57" customWidth="1"/>
    <col min="10750" max="10750" width="15.7109375" style="57" customWidth="1"/>
    <col min="10751" max="10751" width="17.5703125" style="57" customWidth="1"/>
    <col min="10752" max="10752" width="18.42578125" style="57" customWidth="1"/>
    <col min="10753" max="10753" width="16.5703125" style="57" customWidth="1"/>
    <col min="10754" max="10754" width="17.7109375" style="57" customWidth="1"/>
    <col min="10755" max="10755" width="17.85546875" style="57" customWidth="1"/>
    <col min="10756" max="10756" width="18.42578125" style="57" customWidth="1"/>
    <col min="10757" max="10757" width="15.42578125" style="57" customWidth="1"/>
    <col min="10758" max="10758" width="14.5703125" style="57" customWidth="1"/>
    <col min="10759" max="10759" width="15" style="57" customWidth="1"/>
    <col min="10760" max="10760" width="6.7109375" style="57" customWidth="1"/>
    <col min="10761" max="10761" width="14.28515625" style="57" customWidth="1"/>
    <col min="10762" max="10762" width="17.5703125" style="57" customWidth="1"/>
    <col min="10763" max="10763" width="27.7109375" style="57" customWidth="1"/>
    <col min="10764" max="10766" width="9.140625" style="57" customWidth="1"/>
    <col min="10767" max="10767" width="14.85546875" style="57" customWidth="1"/>
    <col min="10768" max="10768" width="13.85546875" style="57" customWidth="1"/>
    <col min="10769" max="10990" width="9.140625" style="57" customWidth="1"/>
    <col min="10991" max="10991" width="9" style="57"/>
    <col min="10992" max="10992" width="6.5703125" style="57" customWidth="1"/>
    <col min="10993" max="10993" width="79.5703125" style="57" customWidth="1"/>
    <col min="10994" max="10994" width="23.5703125" style="57" customWidth="1"/>
    <col min="10995" max="10995" width="27.85546875" style="57" customWidth="1"/>
    <col min="10996" max="10996" width="22.28515625" style="57" customWidth="1"/>
    <col min="10997" max="10997" width="23.5703125" style="57" customWidth="1"/>
    <col min="10998" max="10998" width="39" style="57" customWidth="1"/>
    <col min="10999" max="10999" width="36.42578125" style="57" customWidth="1"/>
    <col min="11000" max="11000" width="8" style="57" customWidth="1"/>
    <col min="11001" max="11001" width="15.5703125" style="57" customWidth="1"/>
    <col min="11002" max="11002" width="17.28515625" style="57" customWidth="1"/>
    <col min="11003" max="11003" width="18.85546875" style="57" customWidth="1"/>
    <col min="11004" max="11004" width="81" style="57" customWidth="1"/>
    <col min="11005" max="11005" width="14.85546875" style="57" customWidth="1"/>
    <col min="11006" max="11006" width="15.7109375" style="57" customWidth="1"/>
    <col min="11007" max="11007" width="17.5703125" style="57" customWidth="1"/>
    <col min="11008" max="11008" width="18.42578125" style="57" customWidth="1"/>
    <col min="11009" max="11009" width="16.5703125" style="57" customWidth="1"/>
    <col min="11010" max="11010" width="17.7109375" style="57" customWidth="1"/>
    <col min="11011" max="11011" width="17.85546875" style="57" customWidth="1"/>
    <col min="11012" max="11012" width="18.42578125" style="57" customWidth="1"/>
    <col min="11013" max="11013" width="15.42578125" style="57" customWidth="1"/>
    <col min="11014" max="11014" width="14.5703125" style="57" customWidth="1"/>
    <col min="11015" max="11015" width="15" style="57" customWidth="1"/>
    <col min="11016" max="11016" width="6.7109375" style="57" customWidth="1"/>
    <col min="11017" max="11017" width="14.28515625" style="57" customWidth="1"/>
    <col min="11018" max="11018" width="17.5703125" style="57" customWidth="1"/>
    <col min="11019" max="11019" width="27.7109375" style="57" customWidth="1"/>
    <col min="11020" max="11022" width="9.140625" style="57" customWidth="1"/>
    <col min="11023" max="11023" width="14.85546875" style="57" customWidth="1"/>
    <col min="11024" max="11024" width="13.85546875" style="57" customWidth="1"/>
    <col min="11025" max="11246" width="9.140625" style="57" customWidth="1"/>
    <col min="11247" max="11247" width="9" style="57"/>
    <col min="11248" max="11248" width="6.5703125" style="57" customWidth="1"/>
    <col min="11249" max="11249" width="79.5703125" style="57" customWidth="1"/>
    <col min="11250" max="11250" width="23.5703125" style="57" customWidth="1"/>
    <col min="11251" max="11251" width="27.85546875" style="57" customWidth="1"/>
    <col min="11252" max="11252" width="22.28515625" style="57" customWidth="1"/>
    <col min="11253" max="11253" width="23.5703125" style="57" customWidth="1"/>
    <col min="11254" max="11254" width="39" style="57" customWidth="1"/>
    <col min="11255" max="11255" width="36.42578125" style="57" customWidth="1"/>
    <col min="11256" max="11256" width="8" style="57" customWidth="1"/>
    <col min="11257" max="11257" width="15.5703125" style="57" customWidth="1"/>
    <col min="11258" max="11258" width="17.28515625" style="57" customWidth="1"/>
    <col min="11259" max="11259" width="18.85546875" style="57" customWidth="1"/>
    <col min="11260" max="11260" width="81" style="57" customWidth="1"/>
    <col min="11261" max="11261" width="14.85546875" style="57" customWidth="1"/>
    <col min="11262" max="11262" width="15.7109375" style="57" customWidth="1"/>
    <col min="11263" max="11263" width="17.5703125" style="57" customWidth="1"/>
    <col min="11264" max="11264" width="18.42578125" style="57" customWidth="1"/>
    <col min="11265" max="11265" width="16.5703125" style="57" customWidth="1"/>
    <col min="11266" max="11266" width="17.7109375" style="57" customWidth="1"/>
    <col min="11267" max="11267" width="17.85546875" style="57" customWidth="1"/>
    <col min="11268" max="11268" width="18.42578125" style="57" customWidth="1"/>
    <col min="11269" max="11269" width="15.42578125" style="57" customWidth="1"/>
    <col min="11270" max="11270" width="14.5703125" style="57" customWidth="1"/>
    <col min="11271" max="11271" width="15" style="57" customWidth="1"/>
    <col min="11272" max="11272" width="6.7109375" style="57" customWidth="1"/>
    <col min="11273" max="11273" width="14.28515625" style="57" customWidth="1"/>
    <col min="11274" max="11274" width="17.5703125" style="57" customWidth="1"/>
    <col min="11275" max="11275" width="27.7109375" style="57" customWidth="1"/>
    <col min="11276" max="11278" width="9.140625" style="57" customWidth="1"/>
    <col min="11279" max="11279" width="14.85546875" style="57" customWidth="1"/>
    <col min="11280" max="11280" width="13.85546875" style="57" customWidth="1"/>
    <col min="11281" max="11502" width="9.140625" style="57" customWidth="1"/>
    <col min="11503" max="11503" width="9" style="57"/>
    <col min="11504" max="11504" width="6.5703125" style="57" customWidth="1"/>
    <col min="11505" max="11505" width="79.5703125" style="57" customWidth="1"/>
    <col min="11506" max="11506" width="23.5703125" style="57" customWidth="1"/>
    <col min="11507" max="11507" width="27.85546875" style="57" customWidth="1"/>
    <col min="11508" max="11508" width="22.28515625" style="57" customWidth="1"/>
    <col min="11509" max="11509" width="23.5703125" style="57" customWidth="1"/>
    <col min="11510" max="11510" width="39" style="57" customWidth="1"/>
    <col min="11511" max="11511" width="36.42578125" style="57" customWidth="1"/>
    <col min="11512" max="11512" width="8" style="57" customWidth="1"/>
    <col min="11513" max="11513" width="15.5703125" style="57" customWidth="1"/>
    <col min="11514" max="11514" width="17.28515625" style="57" customWidth="1"/>
    <col min="11515" max="11515" width="18.85546875" style="57" customWidth="1"/>
    <col min="11516" max="11516" width="81" style="57" customWidth="1"/>
    <col min="11517" max="11517" width="14.85546875" style="57" customWidth="1"/>
    <col min="11518" max="11518" width="15.7109375" style="57" customWidth="1"/>
    <col min="11519" max="11519" width="17.5703125" style="57" customWidth="1"/>
    <col min="11520" max="11520" width="18.42578125" style="57" customWidth="1"/>
    <col min="11521" max="11521" width="16.5703125" style="57" customWidth="1"/>
    <col min="11522" max="11522" width="17.7109375" style="57" customWidth="1"/>
    <col min="11523" max="11523" width="17.85546875" style="57" customWidth="1"/>
    <col min="11524" max="11524" width="18.42578125" style="57" customWidth="1"/>
    <col min="11525" max="11525" width="15.42578125" style="57" customWidth="1"/>
    <col min="11526" max="11526" width="14.5703125" style="57" customWidth="1"/>
    <col min="11527" max="11527" width="15" style="57" customWidth="1"/>
    <col min="11528" max="11528" width="6.7109375" style="57" customWidth="1"/>
    <col min="11529" max="11529" width="14.28515625" style="57" customWidth="1"/>
    <col min="11530" max="11530" width="17.5703125" style="57" customWidth="1"/>
    <col min="11531" max="11531" width="27.7109375" style="57" customWidth="1"/>
    <col min="11532" max="11534" width="9.140625" style="57" customWidth="1"/>
    <col min="11535" max="11535" width="14.85546875" style="57" customWidth="1"/>
    <col min="11536" max="11536" width="13.85546875" style="57" customWidth="1"/>
    <col min="11537" max="11758" width="9.140625" style="57" customWidth="1"/>
    <col min="11759" max="11759" width="9" style="57"/>
    <col min="11760" max="11760" width="6.5703125" style="57" customWidth="1"/>
    <col min="11761" max="11761" width="79.5703125" style="57" customWidth="1"/>
    <col min="11762" max="11762" width="23.5703125" style="57" customWidth="1"/>
    <col min="11763" max="11763" width="27.85546875" style="57" customWidth="1"/>
    <col min="11764" max="11764" width="22.28515625" style="57" customWidth="1"/>
    <col min="11765" max="11765" width="23.5703125" style="57" customWidth="1"/>
    <col min="11766" max="11766" width="39" style="57" customWidth="1"/>
    <col min="11767" max="11767" width="36.42578125" style="57" customWidth="1"/>
    <col min="11768" max="11768" width="8" style="57" customWidth="1"/>
    <col min="11769" max="11769" width="15.5703125" style="57" customWidth="1"/>
    <col min="11770" max="11770" width="17.28515625" style="57" customWidth="1"/>
    <col min="11771" max="11771" width="18.85546875" style="57" customWidth="1"/>
    <col min="11772" max="11772" width="81" style="57" customWidth="1"/>
    <col min="11773" max="11773" width="14.85546875" style="57" customWidth="1"/>
    <col min="11774" max="11774" width="15.7109375" style="57" customWidth="1"/>
    <col min="11775" max="11775" width="17.5703125" style="57" customWidth="1"/>
    <col min="11776" max="11776" width="18.42578125" style="57" customWidth="1"/>
    <col min="11777" max="11777" width="16.5703125" style="57" customWidth="1"/>
    <col min="11778" max="11778" width="17.7109375" style="57" customWidth="1"/>
    <col min="11779" max="11779" width="17.85546875" style="57" customWidth="1"/>
    <col min="11780" max="11780" width="18.42578125" style="57" customWidth="1"/>
    <col min="11781" max="11781" width="15.42578125" style="57" customWidth="1"/>
    <col min="11782" max="11782" width="14.5703125" style="57" customWidth="1"/>
    <col min="11783" max="11783" width="15" style="57" customWidth="1"/>
    <col min="11784" max="11784" width="6.7109375" style="57" customWidth="1"/>
    <col min="11785" max="11785" width="14.28515625" style="57" customWidth="1"/>
    <col min="11786" max="11786" width="17.5703125" style="57" customWidth="1"/>
    <col min="11787" max="11787" width="27.7109375" style="57" customWidth="1"/>
    <col min="11788" max="11790" width="9.140625" style="57" customWidth="1"/>
    <col min="11791" max="11791" width="14.85546875" style="57" customWidth="1"/>
    <col min="11792" max="11792" width="13.85546875" style="57" customWidth="1"/>
    <col min="11793" max="12014" width="9.140625" style="57" customWidth="1"/>
    <col min="12015" max="12015" width="9" style="57"/>
    <col min="12016" max="12016" width="6.5703125" style="57" customWidth="1"/>
    <col min="12017" max="12017" width="79.5703125" style="57" customWidth="1"/>
    <col min="12018" max="12018" width="23.5703125" style="57" customWidth="1"/>
    <col min="12019" max="12019" width="27.85546875" style="57" customWidth="1"/>
    <col min="12020" max="12020" width="22.28515625" style="57" customWidth="1"/>
    <col min="12021" max="12021" width="23.5703125" style="57" customWidth="1"/>
    <col min="12022" max="12022" width="39" style="57" customWidth="1"/>
    <col min="12023" max="12023" width="36.42578125" style="57" customWidth="1"/>
    <col min="12024" max="12024" width="8" style="57" customWidth="1"/>
    <col min="12025" max="12025" width="15.5703125" style="57" customWidth="1"/>
    <col min="12026" max="12026" width="17.28515625" style="57" customWidth="1"/>
    <col min="12027" max="12027" width="18.85546875" style="57" customWidth="1"/>
    <col min="12028" max="12028" width="81" style="57" customWidth="1"/>
    <col min="12029" max="12029" width="14.85546875" style="57" customWidth="1"/>
    <col min="12030" max="12030" width="15.7109375" style="57" customWidth="1"/>
    <col min="12031" max="12031" width="17.5703125" style="57" customWidth="1"/>
    <col min="12032" max="12032" width="18.42578125" style="57" customWidth="1"/>
    <col min="12033" max="12033" width="16.5703125" style="57" customWidth="1"/>
    <col min="12034" max="12034" width="17.7109375" style="57" customWidth="1"/>
    <col min="12035" max="12035" width="17.85546875" style="57" customWidth="1"/>
    <col min="12036" max="12036" width="18.42578125" style="57" customWidth="1"/>
    <col min="12037" max="12037" width="15.42578125" style="57" customWidth="1"/>
    <col min="12038" max="12038" width="14.5703125" style="57" customWidth="1"/>
    <col min="12039" max="12039" width="15" style="57" customWidth="1"/>
    <col min="12040" max="12040" width="6.7109375" style="57" customWidth="1"/>
    <col min="12041" max="12041" width="14.28515625" style="57" customWidth="1"/>
    <col min="12042" max="12042" width="17.5703125" style="57" customWidth="1"/>
    <col min="12043" max="12043" width="27.7109375" style="57" customWidth="1"/>
    <col min="12044" max="12046" width="9.140625" style="57" customWidth="1"/>
    <col min="12047" max="12047" width="14.85546875" style="57" customWidth="1"/>
    <col min="12048" max="12048" width="13.85546875" style="57" customWidth="1"/>
    <col min="12049" max="12270" width="9.140625" style="57" customWidth="1"/>
    <col min="12271" max="12271" width="9" style="57"/>
    <col min="12272" max="12272" width="6.5703125" style="57" customWidth="1"/>
    <col min="12273" max="12273" width="79.5703125" style="57" customWidth="1"/>
    <col min="12274" max="12274" width="23.5703125" style="57" customWidth="1"/>
    <col min="12275" max="12275" width="27.85546875" style="57" customWidth="1"/>
    <col min="12276" max="12276" width="22.28515625" style="57" customWidth="1"/>
    <col min="12277" max="12277" width="23.5703125" style="57" customWidth="1"/>
    <col min="12278" max="12278" width="39" style="57" customWidth="1"/>
    <col min="12279" max="12279" width="36.42578125" style="57" customWidth="1"/>
    <col min="12280" max="12280" width="8" style="57" customWidth="1"/>
    <col min="12281" max="12281" width="15.5703125" style="57" customWidth="1"/>
    <col min="12282" max="12282" width="17.28515625" style="57" customWidth="1"/>
    <col min="12283" max="12283" width="18.85546875" style="57" customWidth="1"/>
    <col min="12284" max="12284" width="81" style="57" customWidth="1"/>
    <col min="12285" max="12285" width="14.85546875" style="57" customWidth="1"/>
    <col min="12286" max="12286" width="15.7109375" style="57" customWidth="1"/>
    <col min="12287" max="12287" width="17.5703125" style="57" customWidth="1"/>
    <col min="12288" max="12288" width="18.42578125" style="57" customWidth="1"/>
    <col min="12289" max="12289" width="16.5703125" style="57" customWidth="1"/>
    <col min="12290" max="12290" width="17.7109375" style="57" customWidth="1"/>
    <col min="12291" max="12291" width="17.85546875" style="57" customWidth="1"/>
    <col min="12292" max="12292" width="18.42578125" style="57" customWidth="1"/>
    <col min="12293" max="12293" width="15.42578125" style="57" customWidth="1"/>
    <col min="12294" max="12294" width="14.5703125" style="57" customWidth="1"/>
    <col min="12295" max="12295" width="15" style="57" customWidth="1"/>
    <col min="12296" max="12296" width="6.7109375" style="57" customWidth="1"/>
    <col min="12297" max="12297" width="14.28515625" style="57" customWidth="1"/>
    <col min="12298" max="12298" width="17.5703125" style="57" customWidth="1"/>
    <col min="12299" max="12299" width="27.7109375" style="57" customWidth="1"/>
    <col min="12300" max="12302" width="9.140625" style="57" customWidth="1"/>
    <col min="12303" max="12303" width="14.85546875" style="57" customWidth="1"/>
    <col min="12304" max="12304" width="13.85546875" style="57" customWidth="1"/>
    <col min="12305" max="12526" width="9.140625" style="57" customWidth="1"/>
    <col min="12527" max="12527" width="9" style="57"/>
    <col min="12528" max="12528" width="6.5703125" style="57" customWidth="1"/>
    <col min="12529" max="12529" width="79.5703125" style="57" customWidth="1"/>
    <col min="12530" max="12530" width="23.5703125" style="57" customWidth="1"/>
    <col min="12531" max="12531" width="27.85546875" style="57" customWidth="1"/>
    <col min="12532" max="12532" width="22.28515625" style="57" customWidth="1"/>
    <col min="12533" max="12533" width="23.5703125" style="57" customWidth="1"/>
    <col min="12534" max="12534" width="39" style="57" customWidth="1"/>
    <col min="12535" max="12535" width="36.42578125" style="57" customWidth="1"/>
    <col min="12536" max="12536" width="8" style="57" customWidth="1"/>
    <col min="12537" max="12537" width="15.5703125" style="57" customWidth="1"/>
    <col min="12538" max="12538" width="17.28515625" style="57" customWidth="1"/>
    <col min="12539" max="12539" width="18.85546875" style="57" customWidth="1"/>
    <col min="12540" max="12540" width="81" style="57" customWidth="1"/>
    <col min="12541" max="12541" width="14.85546875" style="57" customWidth="1"/>
    <col min="12542" max="12542" width="15.7109375" style="57" customWidth="1"/>
    <col min="12543" max="12543" width="17.5703125" style="57" customWidth="1"/>
    <col min="12544" max="12544" width="18.42578125" style="57" customWidth="1"/>
    <col min="12545" max="12545" width="16.5703125" style="57" customWidth="1"/>
    <col min="12546" max="12546" width="17.7109375" style="57" customWidth="1"/>
    <col min="12547" max="12547" width="17.85546875" style="57" customWidth="1"/>
    <col min="12548" max="12548" width="18.42578125" style="57" customWidth="1"/>
    <col min="12549" max="12549" width="15.42578125" style="57" customWidth="1"/>
    <col min="12550" max="12550" width="14.5703125" style="57" customWidth="1"/>
    <col min="12551" max="12551" width="15" style="57" customWidth="1"/>
    <col min="12552" max="12552" width="6.7109375" style="57" customWidth="1"/>
    <col min="12553" max="12553" width="14.28515625" style="57" customWidth="1"/>
    <col min="12554" max="12554" width="17.5703125" style="57" customWidth="1"/>
    <col min="12555" max="12555" width="27.7109375" style="57" customWidth="1"/>
    <col min="12556" max="12558" width="9.140625" style="57" customWidth="1"/>
    <col min="12559" max="12559" width="14.85546875" style="57" customWidth="1"/>
    <col min="12560" max="12560" width="13.85546875" style="57" customWidth="1"/>
    <col min="12561" max="12782" width="9.140625" style="57" customWidth="1"/>
    <col min="12783" max="12783" width="9" style="57"/>
    <col min="12784" max="12784" width="6.5703125" style="57" customWidth="1"/>
    <col min="12785" max="12785" width="79.5703125" style="57" customWidth="1"/>
    <col min="12786" max="12786" width="23.5703125" style="57" customWidth="1"/>
    <col min="12787" max="12787" width="27.85546875" style="57" customWidth="1"/>
    <col min="12788" max="12788" width="22.28515625" style="57" customWidth="1"/>
    <col min="12789" max="12789" width="23.5703125" style="57" customWidth="1"/>
    <col min="12790" max="12790" width="39" style="57" customWidth="1"/>
    <col min="12791" max="12791" width="36.42578125" style="57" customWidth="1"/>
    <col min="12792" max="12792" width="8" style="57" customWidth="1"/>
    <col min="12793" max="12793" width="15.5703125" style="57" customWidth="1"/>
    <col min="12794" max="12794" width="17.28515625" style="57" customWidth="1"/>
    <col min="12795" max="12795" width="18.85546875" style="57" customWidth="1"/>
    <col min="12796" max="12796" width="81" style="57" customWidth="1"/>
    <col min="12797" max="12797" width="14.85546875" style="57" customWidth="1"/>
    <col min="12798" max="12798" width="15.7109375" style="57" customWidth="1"/>
    <col min="12799" max="12799" width="17.5703125" style="57" customWidth="1"/>
    <col min="12800" max="12800" width="18.42578125" style="57" customWidth="1"/>
    <col min="12801" max="12801" width="16.5703125" style="57" customWidth="1"/>
    <col min="12802" max="12802" width="17.7109375" style="57" customWidth="1"/>
    <col min="12803" max="12803" width="17.85546875" style="57" customWidth="1"/>
    <col min="12804" max="12804" width="18.42578125" style="57" customWidth="1"/>
    <col min="12805" max="12805" width="15.42578125" style="57" customWidth="1"/>
    <col min="12806" max="12806" width="14.5703125" style="57" customWidth="1"/>
    <col min="12807" max="12807" width="15" style="57" customWidth="1"/>
    <col min="12808" max="12808" width="6.7109375" style="57" customWidth="1"/>
    <col min="12809" max="12809" width="14.28515625" style="57" customWidth="1"/>
    <col min="12810" max="12810" width="17.5703125" style="57" customWidth="1"/>
    <col min="12811" max="12811" width="27.7109375" style="57" customWidth="1"/>
    <col min="12812" max="12814" width="9.140625" style="57" customWidth="1"/>
    <col min="12815" max="12815" width="14.85546875" style="57" customWidth="1"/>
    <col min="12816" max="12816" width="13.85546875" style="57" customWidth="1"/>
    <col min="12817" max="13038" width="9.140625" style="57" customWidth="1"/>
    <col min="13039" max="13039" width="9" style="57"/>
    <col min="13040" max="13040" width="6.5703125" style="57" customWidth="1"/>
    <col min="13041" max="13041" width="79.5703125" style="57" customWidth="1"/>
    <col min="13042" max="13042" width="23.5703125" style="57" customWidth="1"/>
    <col min="13043" max="13043" width="27.85546875" style="57" customWidth="1"/>
    <col min="13044" max="13044" width="22.28515625" style="57" customWidth="1"/>
    <col min="13045" max="13045" width="23.5703125" style="57" customWidth="1"/>
    <col min="13046" max="13046" width="39" style="57" customWidth="1"/>
    <col min="13047" max="13047" width="36.42578125" style="57" customWidth="1"/>
    <col min="13048" max="13048" width="8" style="57" customWidth="1"/>
    <col min="13049" max="13049" width="15.5703125" style="57" customWidth="1"/>
    <col min="13050" max="13050" width="17.28515625" style="57" customWidth="1"/>
    <col min="13051" max="13051" width="18.85546875" style="57" customWidth="1"/>
    <col min="13052" max="13052" width="81" style="57" customWidth="1"/>
    <col min="13053" max="13053" width="14.85546875" style="57" customWidth="1"/>
    <col min="13054" max="13054" width="15.7109375" style="57" customWidth="1"/>
    <col min="13055" max="13055" width="17.5703125" style="57" customWidth="1"/>
    <col min="13056" max="13056" width="18.42578125" style="57" customWidth="1"/>
    <col min="13057" max="13057" width="16.5703125" style="57" customWidth="1"/>
    <col min="13058" max="13058" width="17.7109375" style="57" customWidth="1"/>
    <col min="13059" max="13059" width="17.85546875" style="57" customWidth="1"/>
    <col min="13060" max="13060" width="18.42578125" style="57" customWidth="1"/>
    <col min="13061" max="13061" width="15.42578125" style="57" customWidth="1"/>
    <col min="13062" max="13062" width="14.5703125" style="57" customWidth="1"/>
    <col min="13063" max="13063" width="15" style="57" customWidth="1"/>
    <col min="13064" max="13064" width="6.7109375" style="57" customWidth="1"/>
    <col min="13065" max="13065" width="14.28515625" style="57" customWidth="1"/>
    <col min="13066" max="13066" width="17.5703125" style="57" customWidth="1"/>
    <col min="13067" max="13067" width="27.7109375" style="57" customWidth="1"/>
    <col min="13068" max="13070" width="9.140625" style="57" customWidth="1"/>
    <col min="13071" max="13071" width="14.85546875" style="57" customWidth="1"/>
    <col min="13072" max="13072" width="13.85546875" style="57" customWidth="1"/>
    <col min="13073" max="13294" width="9.140625" style="57" customWidth="1"/>
    <col min="13295" max="13295" width="9" style="57"/>
    <col min="13296" max="13296" width="6.5703125" style="57" customWidth="1"/>
    <col min="13297" max="13297" width="79.5703125" style="57" customWidth="1"/>
    <col min="13298" max="13298" width="23.5703125" style="57" customWidth="1"/>
    <col min="13299" max="13299" width="27.85546875" style="57" customWidth="1"/>
    <col min="13300" max="13300" width="22.28515625" style="57" customWidth="1"/>
    <col min="13301" max="13301" width="23.5703125" style="57" customWidth="1"/>
    <col min="13302" max="13302" width="39" style="57" customWidth="1"/>
    <col min="13303" max="13303" width="36.42578125" style="57" customWidth="1"/>
    <col min="13304" max="13304" width="8" style="57" customWidth="1"/>
    <col min="13305" max="13305" width="15.5703125" style="57" customWidth="1"/>
    <col min="13306" max="13306" width="17.28515625" style="57" customWidth="1"/>
    <col min="13307" max="13307" width="18.85546875" style="57" customWidth="1"/>
    <col min="13308" max="13308" width="81" style="57" customWidth="1"/>
    <col min="13309" max="13309" width="14.85546875" style="57" customWidth="1"/>
    <col min="13310" max="13310" width="15.7109375" style="57" customWidth="1"/>
    <col min="13311" max="13311" width="17.5703125" style="57" customWidth="1"/>
    <col min="13312" max="13312" width="18.42578125" style="57" customWidth="1"/>
    <col min="13313" max="13313" width="16.5703125" style="57" customWidth="1"/>
    <col min="13314" max="13314" width="17.7109375" style="57" customWidth="1"/>
    <col min="13315" max="13315" width="17.85546875" style="57" customWidth="1"/>
    <col min="13316" max="13316" width="18.42578125" style="57" customWidth="1"/>
    <col min="13317" max="13317" width="15.42578125" style="57" customWidth="1"/>
    <col min="13318" max="13318" width="14.5703125" style="57" customWidth="1"/>
    <col min="13319" max="13319" width="15" style="57" customWidth="1"/>
    <col min="13320" max="13320" width="6.7109375" style="57" customWidth="1"/>
    <col min="13321" max="13321" width="14.28515625" style="57" customWidth="1"/>
    <col min="13322" max="13322" width="17.5703125" style="57" customWidth="1"/>
    <col min="13323" max="13323" width="27.7109375" style="57" customWidth="1"/>
    <col min="13324" max="13326" width="9.140625" style="57" customWidth="1"/>
    <col min="13327" max="13327" width="14.85546875" style="57" customWidth="1"/>
    <col min="13328" max="13328" width="13.85546875" style="57" customWidth="1"/>
    <col min="13329" max="13550" width="9.140625" style="57" customWidth="1"/>
    <col min="13551" max="13551" width="9" style="57"/>
    <col min="13552" max="13552" width="6.5703125" style="57" customWidth="1"/>
    <col min="13553" max="13553" width="79.5703125" style="57" customWidth="1"/>
    <col min="13554" max="13554" width="23.5703125" style="57" customWidth="1"/>
    <col min="13555" max="13555" width="27.85546875" style="57" customWidth="1"/>
    <col min="13556" max="13556" width="22.28515625" style="57" customWidth="1"/>
    <col min="13557" max="13557" width="23.5703125" style="57" customWidth="1"/>
    <col min="13558" max="13558" width="39" style="57" customWidth="1"/>
    <col min="13559" max="13559" width="36.42578125" style="57" customWidth="1"/>
    <col min="13560" max="13560" width="8" style="57" customWidth="1"/>
    <col min="13561" max="13561" width="15.5703125" style="57" customWidth="1"/>
    <col min="13562" max="13562" width="17.28515625" style="57" customWidth="1"/>
    <col min="13563" max="13563" width="18.85546875" style="57" customWidth="1"/>
    <col min="13564" max="13564" width="81" style="57" customWidth="1"/>
    <col min="13565" max="13565" width="14.85546875" style="57" customWidth="1"/>
    <col min="13566" max="13566" width="15.7109375" style="57" customWidth="1"/>
    <col min="13567" max="13567" width="17.5703125" style="57" customWidth="1"/>
    <col min="13568" max="13568" width="18.42578125" style="57" customWidth="1"/>
    <col min="13569" max="13569" width="16.5703125" style="57" customWidth="1"/>
    <col min="13570" max="13570" width="17.7109375" style="57" customWidth="1"/>
    <col min="13571" max="13571" width="17.85546875" style="57" customWidth="1"/>
    <col min="13572" max="13572" width="18.42578125" style="57" customWidth="1"/>
    <col min="13573" max="13573" width="15.42578125" style="57" customWidth="1"/>
    <col min="13574" max="13574" width="14.5703125" style="57" customWidth="1"/>
    <col min="13575" max="13575" width="15" style="57" customWidth="1"/>
    <col min="13576" max="13576" width="6.7109375" style="57" customWidth="1"/>
    <col min="13577" max="13577" width="14.28515625" style="57" customWidth="1"/>
    <col min="13578" max="13578" width="17.5703125" style="57" customWidth="1"/>
    <col min="13579" max="13579" width="27.7109375" style="57" customWidth="1"/>
    <col min="13580" max="13582" width="9.140625" style="57" customWidth="1"/>
    <col min="13583" max="13583" width="14.85546875" style="57" customWidth="1"/>
    <col min="13584" max="13584" width="13.85546875" style="57" customWidth="1"/>
    <col min="13585" max="13806" width="9.140625" style="57" customWidth="1"/>
    <col min="13807" max="13807" width="9" style="57"/>
    <col min="13808" max="13808" width="6.5703125" style="57" customWidth="1"/>
    <col min="13809" max="13809" width="79.5703125" style="57" customWidth="1"/>
    <col min="13810" max="13810" width="23.5703125" style="57" customWidth="1"/>
    <col min="13811" max="13811" width="27.85546875" style="57" customWidth="1"/>
    <col min="13812" max="13812" width="22.28515625" style="57" customWidth="1"/>
    <col min="13813" max="13813" width="23.5703125" style="57" customWidth="1"/>
    <col min="13814" max="13814" width="39" style="57" customWidth="1"/>
    <col min="13815" max="13815" width="36.42578125" style="57" customWidth="1"/>
    <col min="13816" max="13816" width="8" style="57" customWidth="1"/>
    <col min="13817" max="13817" width="15.5703125" style="57" customWidth="1"/>
    <col min="13818" max="13818" width="17.28515625" style="57" customWidth="1"/>
    <col min="13819" max="13819" width="18.85546875" style="57" customWidth="1"/>
    <col min="13820" max="13820" width="81" style="57" customWidth="1"/>
    <col min="13821" max="13821" width="14.85546875" style="57" customWidth="1"/>
    <col min="13822" max="13822" width="15.7109375" style="57" customWidth="1"/>
    <col min="13823" max="13823" width="17.5703125" style="57" customWidth="1"/>
    <col min="13824" max="13824" width="18.42578125" style="57" customWidth="1"/>
    <col min="13825" max="13825" width="16.5703125" style="57" customWidth="1"/>
    <col min="13826" max="13826" width="17.7109375" style="57" customWidth="1"/>
    <col min="13827" max="13827" width="17.85546875" style="57" customWidth="1"/>
    <col min="13828" max="13828" width="18.42578125" style="57" customWidth="1"/>
    <col min="13829" max="13829" width="15.42578125" style="57" customWidth="1"/>
    <col min="13830" max="13830" width="14.5703125" style="57" customWidth="1"/>
    <col min="13831" max="13831" width="15" style="57" customWidth="1"/>
    <col min="13832" max="13832" width="6.7109375" style="57" customWidth="1"/>
    <col min="13833" max="13833" width="14.28515625" style="57" customWidth="1"/>
    <col min="13834" max="13834" width="17.5703125" style="57" customWidth="1"/>
    <col min="13835" max="13835" width="27.7109375" style="57" customWidth="1"/>
    <col min="13836" max="13838" width="9.140625" style="57" customWidth="1"/>
    <col min="13839" max="13839" width="14.85546875" style="57" customWidth="1"/>
    <col min="13840" max="13840" width="13.85546875" style="57" customWidth="1"/>
    <col min="13841" max="14062" width="9.140625" style="57" customWidth="1"/>
    <col min="14063" max="14063" width="9" style="57"/>
    <col min="14064" max="14064" width="6.5703125" style="57" customWidth="1"/>
    <col min="14065" max="14065" width="79.5703125" style="57" customWidth="1"/>
    <col min="14066" max="14066" width="23.5703125" style="57" customWidth="1"/>
    <col min="14067" max="14067" width="27.85546875" style="57" customWidth="1"/>
    <col min="14068" max="14068" width="22.28515625" style="57" customWidth="1"/>
    <col min="14069" max="14069" width="23.5703125" style="57" customWidth="1"/>
    <col min="14070" max="14070" width="39" style="57" customWidth="1"/>
    <col min="14071" max="14071" width="36.42578125" style="57" customWidth="1"/>
    <col min="14072" max="14072" width="8" style="57" customWidth="1"/>
    <col min="14073" max="14073" width="15.5703125" style="57" customWidth="1"/>
    <col min="14074" max="14074" width="17.28515625" style="57" customWidth="1"/>
    <col min="14075" max="14075" width="18.85546875" style="57" customWidth="1"/>
    <col min="14076" max="14076" width="81" style="57" customWidth="1"/>
    <col min="14077" max="14077" width="14.85546875" style="57" customWidth="1"/>
    <col min="14078" max="14078" width="15.7109375" style="57" customWidth="1"/>
    <col min="14079" max="14079" width="17.5703125" style="57" customWidth="1"/>
    <col min="14080" max="14080" width="18.42578125" style="57" customWidth="1"/>
    <col min="14081" max="14081" width="16.5703125" style="57" customWidth="1"/>
    <col min="14082" max="14082" width="17.7109375" style="57" customWidth="1"/>
    <col min="14083" max="14083" width="17.85546875" style="57" customWidth="1"/>
    <col min="14084" max="14084" width="18.42578125" style="57" customWidth="1"/>
    <col min="14085" max="14085" width="15.42578125" style="57" customWidth="1"/>
    <col min="14086" max="14086" width="14.5703125" style="57" customWidth="1"/>
    <col min="14087" max="14087" width="15" style="57" customWidth="1"/>
    <col min="14088" max="14088" width="6.7109375" style="57" customWidth="1"/>
    <col min="14089" max="14089" width="14.28515625" style="57" customWidth="1"/>
    <col min="14090" max="14090" width="17.5703125" style="57" customWidth="1"/>
    <col min="14091" max="14091" width="27.7109375" style="57" customWidth="1"/>
    <col min="14092" max="14094" width="9.140625" style="57" customWidth="1"/>
    <col min="14095" max="14095" width="14.85546875" style="57" customWidth="1"/>
    <col min="14096" max="14096" width="13.85546875" style="57" customWidth="1"/>
    <col min="14097" max="14318" width="9.140625" style="57" customWidth="1"/>
    <col min="14319" max="14319" width="9" style="57"/>
    <col min="14320" max="14320" width="6.5703125" style="57" customWidth="1"/>
    <col min="14321" max="14321" width="79.5703125" style="57" customWidth="1"/>
    <col min="14322" max="14322" width="23.5703125" style="57" customWidth="1"/>
    <col min="14323" max="14323" width="27.85546875" style="57" customWidth="1"/>
    <col min="14324" max="14324" width="22.28515625" style="57" customWidth="1"/>
    <col min="14325" max="14325" width="23.5703125" style="57" customWidth="1"/>
    <col min="14326" max="14326" width="39" style="57" customWidth="1"/>
    <col min="14327" max="14327" width="36.42578125" style="57" customWidth="1"/>
    <col min="14328" max="14328" width="8" style="57" customWidth="1"/>
    <col min="14329" max="14329" width="15.5703125" style="57" customWidth="1"/>
    <col min="14330" max="14330" width="17.28515625" style="57" customWidth="1"/>
    <col min="14331" max="14331" width="18.85546875" style="57" customWidth="1"/>
    <col min="14332" max="14332" width="81" style="57" customWidth="1"/>
    <col min="14333" max="14333" width="14.85546875" style="57" customWidth="1"/>
    <col min="14334" max="14334" width="15.7109375" style="57" customWidth="1"/>
    <col min="14335" max="14335" width="17.5703125" style="57" customWidth="1"/>
    <col min="14336" max="14336" width="18.42578125" style="57" customWidth="1"/>
    <col min="14337" max="14337" width="16.5703125" style="57" customWidth="1"/>
    <col min="14338" max="14338" width="17.7109375" style="57" customWidth="1"/>
    <col min="14339" max="14339" width="17.85546875" style="57" customWidth="1"/>
    <col min="14340" max="14340" width="18.42578125" style="57" customWidth="1"/>
    <col min="14341" max="14341" width="15.42578125" style="57" customWidth="1"/>
    <col min="14342" max="14342" width="14.5703125" style="57" customWidth="1"/>
    <col min="14343" max="14343" width="15" style="57" customWidth="1"/>
    <col min="14344" max="14344" width="6.7109375" style="57" customWidth="1"/>
    <col min="14345" max="14345" width="14.28515625" style="57" customWidth="1"/>
    <col min="14346" max="14346" width="17.5703125" style="57" customWidth="1"/>
    <col min="14347" max="14347" width="27.7109375" style="57" customWidth="1"/>
    <col min="14348" max="14350" width="9.140625" style="57" customWidth="1"/>
    <col min="14351" max="14351" width="14.85546875" style="57" customWidth="1"/>
    <col min="14352" max="14352" width="13.85546875" style="57" customWidth="1"/>
    <col min="14353" max="14574" width="9.140625" style="57" customWidth="1"/>
    <col min="14575" max="14575" width="9" style="57"/>
    <col min="14576" max="14576" width="6.5703125" style="57" customWidth="1"/>
    <col min="14577" max="14577" width="79.5703125" style="57" customWidth="1"/>
    <col min="14578" max="14578" width="23.5703125" style="57" customWidth="1"/>
    <col min="14579" max="14579" width="27.85546875" style="57" customWidth="1"/>
    <col min="14580" max="14580" width="22.28515625" style="57" customWidth="1"/>
    <col min="14581" max="14581" width="23.5703125" style="57" customWidth="1"/>
    <col min="14582" max="14582" width="39" style="57" customWidth="1"/>
    <col min="14583" max="14583" width="36.42578125" style="57" customWidth="1"/>
    <col min="14584" max="14584" width="8" style="57" customWidth="1"/>
    <col min="14585" max="14585" width="15.5703125" style="57" customWidth="1"/>
    <col min="14586" max="14586" width="17.28515625" style="57" customWidth="1"/>
    <col min="14587" max="14587" width="18.85546875" style="57" customWidth="1"/>
    <col min="14588" max="14588" width="81" style="57" customWidth="1"/>
    <col min="14589" max="14589" width="14.85546875" style="57" customWidth="1"/>
    <col min="14590" max="14590" width="15.7109375" style="57" customWidth="1"/>
    <col min="14591" max="14591" width="17.5703125" style="57" customWidth="1"/>
    <col min="14592" max="14592" width="18.42578125" style="57" customWidth="1"/>
    <col min="14593" max="14593" width="16.5703125" style="57" customWidth="1"/>
    <col min="14594" max="14594" width="17.7109375" style="57" customWidth="1"/>
    <col min="14595" max="14595" width="17.85546875" style="57" customWidth="1"/>
    <col min="14596" max="14596" width="18.42578125" style="57" customWidth="1"/>
    <col min="14597" max="14597" width="15.42578125" style="57" customWidth="1"/>
    <col min="14598" max="14598" width="14.5703125" style="57" customWidth="1"/>
    <col min="14599" max="14599" width="15" style="57" customWidth="1"/>
    <col min="14600" max="14600" width="6.7109375" style="57" customWidth="1"/>
    <col min="14601" max="14601" width="14.28515625" style="57" customWidth="1"/>
    <col min="14602" max="14602" width="17.5703125" style="57" customWidth="1"/>
    <col min="14603" max="14603" width="27.7109375" style="57" customWidth="1"/>
    <col min="14604" max="14606" width="9.140625" style="57" customWidth="1"/>
    <col min="14607" max="14607" width="14.85546875" style="57" customWidth="1"/>
    <col min="14608" max="14608" width="13.85546875" style="57" customWidth="1"/>
    <col min="14609" max="14830" width="9.140625" style="57" customWidth="1"/>
    <col min="14831" max="14831" width="9" style="57"/>
    <col min="14832" max="14832" width="6.5703125" style="57" customWidth="1"/>
    <col min="14833" max="14833" width="79.5703125" style="57" customWidth="1"/>
    <col min="14834" max="14834" width="23.5703125" style="57" customWidth="1"/>
    <col min="14835" max="14835" width="27.85546875" style="57" customWidth="1"/>
    <col min="14836" max="14836" width="22.28515625" style="57" customWidth="1"/>
    <col min="14837" max="14837" width="23.5703125" style="57" customWidth="1"/>
    <col min="14838" max="14838" width="39" style="57" customWidth="1"/>
    <col min="14839" max="14839" width="36.42578125" style="57" customWidth="1"/>
    <col min="14840" max="14840" width="8" style="57" customWidth="1"/>
    <col min="14841" max="14841" width="15.5703125" style="57" customWidth="1"/>
    <col min="14842" max="14842" width="17.28515625" style="57" customWidth="1"/>
    <col min="14843" max="14843" width="18.85546875" style="57" customWidth="1"/>
    <col min="14844" max="14844" width="81" style="57" customWidth="1"/>
    <col min="14845" max="14845" width="14.85546875" style="57" customWidth="1"/>
    <col min="14846" max="14846" width="15.7109375" style="57" customWidth="1"/>
    <col min="14847" max="14847" width="17.5703125" style="57" customWidth="1"/>
    <col min="14848" max="14848" width="18.42578125" style="57" customWidth="1"/>
    <col min="14849" max="14849" width="16.5703125" style="57" customWidth="1"/>
    <col min="14850" max="14850" width="17.7109375" style="57" customWidth="1"/>
    <col min="14851" max="14851" width="17.85546875" style="57" customWidth="1"/>
    <col min="14852" max="14852" width="18.42578125" style="57" customWidth="1"/>
    <col min="14853" max="14853" width="15.42578125" style="57" customWidth="1"/>
    <col min="14854" max="14854" width="14.5703125" style="57" customWidth="1"/>
    <col min="14855" max="14855" width="15" style="57" customWidth="1"/>
    <col min="14856" max="14856" width="6.7109375" style="57" customWidth="1"/>
    <col min="14857" max="14857" width="14.28515625" style="57" customWidth="1"/>
    <col min="14858" max="14858" width="17.5703125" style="57" customWidth="1"/>
    <col min="14859" max="14859" width="27.7109375" style="57" customWidth="1"/>
    <col min="14860" max="14862" width="9.140625" style="57" customWidth="1"/>
    <col min="14863" max="14863" width="14.85546875" style="57" customWidth="1"/>
    <col min="14864" max="14864" width="13.85546875" style="57" customWidth="1"/>
    <col min="14865" max="15086" width="9.140625" style="57" customWidth="1"/>
    <col min="15087" max="15087" width="9" style="57"/>
    <col min="15088" max="15088" width="6.5703125" style="57" customWidth="1"/>
    <col min="15089" max="15089" width="79.5703125" style="57" customWidth="1"/>
    <col min="15090" max="15090" width="23.5703125" style="57" customWidth="1"/>
    <col min="15091" max="15091" width="27.85546875" style="57" customWidth="1"/>
    <col min="15092" max="15092" width="22.28515625" style="57" customWidth="1"/>
    <col min="15093" max="15093" width="23.5703125" style="57" customWidth="1"/>
    <col min="15094" max="15094" width="39" style="57" customWidth="1"/>
    <col min="15095" max="15095" width="36.42578125" style="57" customWidth="1"/>
    <col min="15096" max="15096" width="8" style="57" customWidth="1"/>
    <col min="15097" max="15097" width="15.5703125" style="57" customWidth="1"/>
    <col min="15098" max="15098" width="17.28515625" style="57" customWidth="1"/>
    <col min="15099" max="15099" width="18.85546875" style="57" customWidth="1"/>
    <col min="15100" max="15100" width="81" style="57" customWidth="1"/>
    <col min="15101" max="15101" width="14.85546875" style="57" customWidth="1"/>
    <col min="15102" max="15102" width="15.7109375" style="57" customWidth="1"/>
    <col min="15103" max="15103" width="17.5703125" style="57" customWidth="1"/>
    <col min="15104" max="15104" width="18.42578125" style="57" customWidth="1"/>
    <col min="15105" max="15105" width="16.5703125" style="57" customWidth="1"/>
    <col min="15106" max="15106" width="17.7109375" style="57" customWidth="1"/>
    <col min="15107" max="15107" width="17.85546875" style="57" customWidth="1"/>
    <col min="15108" max="15108" width="18.42578125" style="57" customWidth="1"/>
    <col min="15109" max="15109" width="15.42578125" style="57" customWidth="1"/>
    <col min="15110" max="15110" width="14.5703125" style="57" customWidth="1"/>
    <col min="15111" max="15111" width="15" style="57" customWidth="1"/>
    <col min="15112" max="15112" width="6.7109375" style="57" customWidth="1"/>
    <col min="15113" max="15113" width="14.28515625" style="57" customWidth="1"/>
    <col min="15114" max="15114" width="17.5703125" style="57" customWidth="1"/>
    <col min="15115" max="15115" width="27.7109375" style="57" customWidth="1"/>
    <col min="15116" max="15118" width="9.140625" style="57" customWidth="1"/>
    <col min="15119" max="15119" width="14.85546875" style="57" customWidth="1"/>
    <col min="15120" max="15120" width="13.85546875" style="57" customWidth="1"/>
    <col min="15121" max="15342" width="9.140625" style="57" customWidth="1"/>
    <col min="15343" max="15343" width="9" style="57"/>
    <col min="15344" max="15344" width="6.5703125" style="57" customWidth="1"/>
    <col min="15345" max="15345" width="79.5703125" style="57" customWidth="1"/>
    <col min="15346" max="15346" width="23.5703125" style="57" customWidth="1"/>
    <col min="15347" max="15347" width="27.85546875" style="57" customWidth="1"/>
    <col min="15348" max="15348" width="22.28515625" style="57" customWidth="1"/>
    <col min="15349" max="15349" width="23.5703125" style="57" customWidth="1"/>
    <col min="15350" max="15350" width="39" style="57" customWidth="1"/>
    <col min="15351" max="15351" width="36.42578125" style="57" customWidth="1"/>
    <col min="15352" max="15352" width="8" style="57" customWidth="1"/>
    <col min="15353" max="15353" width="15.5703125" style="57" customWidth="1"/>
    <col min="15354" max="15354" width="17.28515625" style="57" customWidth="1"/>
    <col min="15355" max="15355" width="18.85546875" style="57" customWidth="1"/>
    <col min="15356" max="15356" width="81" style="57" customWidth="1"/>
    <col min="15357" max="15357" width="14.85546875" style="57" customWidth="1"/>
    <col min="15358" max="15358" width="15.7109375" style="57" customWidth="1"/>
    <col min="15359" max="15359" width="17.5703125" style="57" customWidth="1"/>
    <col min="15360" max="15360" width="18.42578125" style="57" customWidth="1"/>
    <col min="15361" max="15361" width="16.5703125" style="57" customWidth="1"/>
    <col min="15362" max="15362" width="17.7109375" style="57" customWidth="1"/>
    <col min="15363" max="15363" width="17.85546875" style="57" customWidth="1"/>
    <col min="15364" max="15364" width="18.42578125" style="57" customWidth="1"/>
    <col min="15365" max="15365" width="15.42578125" style="57" customWidth="1"/>
    <col min="15366" max="15366" width="14.5703125" style="57" customWidth="1"/>
    <col min="15367" max="15367" width="15" style="57" customWidth="1"/>
    <col min="15368" max="15368" width="6.7109375" style="57" customWidth="1"/>
    <col min="15369" max="15369" width="14.28515625" style="57" customWidth="1"/>
    <col min="15370" max="15370" width="17.5703125" style="57" customWidth="1"/>
    <col min="15371" max="15371" width="27.7109375" style="57" customWidth="1"/>
    <col min="15372" max="15374" width="9.140625" style="57" customWidth="1"/>
    <col min="15375" max="15375" width="14.85546875" style="57" customWidth="1"/>
    <col min="15376" max="15376" width="13.85546875" style="57" customWidth="1"/>
    <col min="15377" max="15598" width="9.140625" style="57" customWidth="1"/>
    <col min="15599" max="15599" width="9" style="57"/>
    <col min="15600" max="15600" width="6.5703125" style="57" customWidth="1"/>
    <col min="15601" max="15601" width="79.5703125" style="57" customWidth="1"/>
    <col min="15602" max="15602" width="23.5703125" style="57" customWidth="1"/>
    <col min="15603" max="15603" width="27.85546875" style="57" customWidth="1"/>
    <col min="15604" max="15604" width="22.28515625" style="57" customWidth="1"/>
    <col min="15605" max="15605" width="23.5703125" style="57" customWidth="1"/>
    <col min="15606" max="15606" width="39" style="57" customWidth="1"/>
    <col min="15607" max="15607" width="36.42578125" style="57" customWidth="1"/>
    <col min="15608" max="15608" width="8" style="57" customWidth="1"/>
    <col min="15609" max="15609" width="15.5703125" style="57" customWidth="1"/>
    <col min="15610" max="15610" width="17.28515625" style="57" customWidth="1"/>
    <col min="15611" max="15611" width="18.85546875" style="57" customWidth="1"/>
    <col min="15612" max="15612" width="81" style="57" customWidth="1"/>
    <col min="15613" max="15613" width="14.85546875" style="57" customWidth="1"/>
    <col min="15614" max="15614" width="15.7109375" style="57" customWidth="1"/>
    <col min="15615" max="15615" width="17.5703125" style="57" customWidth="1"/>
    <col min="15616" max="15616" width="18.42578125" style="57" customWidth="1"/>
    <col min="15617" max="15617" width="16.5703125" style="57" customWidth="1"/>
    <col min="15618" max="15618" width="17.7109375" style="57" customWidth="1"/>
    <col min="15619" max="15619" width="17.85546875" style="57" customWidth="1"/>
    <col min="15620" max="15620" width="18.42578125" style="57" customWidth="1"/>
    <col min="15621" max="15621" width="15.42578125" style="57" customWidth="1"/>
    <col min="15622" max="15622" width="14.5703125" style="57" customWidth="1"/>
    <col min="15623" max="15623" width="15" style="57" customWidth="1"/>
    <col min="15624" max="15624" width="6.7109375" style="57" customWidth="1"/>
    <col min="15625" max="15625" width="14.28515625" style="57" customWidth="1"/>
    <col min="15626" max="15626" width="17.5703125" style="57" customWidth="1"/>
    <col min="15627" max="15627" width="27.7109375" style="57" customWidth="1"/>
    <col min="15628" max="15630" width="9.140625" style="57" customWidth="1"/>
    <col min="15631" max="15631" width="14.85546875" style="57" customWidth="1"/>
    <col min="15632" max="15632" width="13.85546875" style="57" customWidth="1"/>
    <col min="15633" max="15854" width="9.140625" style="57" customWidth="1"/>
    <col min="15855" max="15855" width="9" style="57"/>
    <col min="15856" max="15856" width="6.5703125" style="57" customWidth="1"/>
    <col min="15857" max="15857" width="79.5703125" style="57" customWidth="1"/>
    <col min="15858" max="15858" width="23.5703125" style="57" customWidth="1"/>
    <col min="15859" max="15859" width="27.85546875" style="57" customWidth="1"/>
    <col min="15860" max="15860" width="22.28515625" style="57" customWidth="1"/>
    <col min="15861" max="15861" width="23.5703125" style="57" customWidth="1"/>
    <col min="15862" max="15862" width="39" style="57" customWidth="1"/>
    <col min="15863" max="15863" width="36.42578125" style="57" customWidth="1"/>
    <col min="15864" max="15864" width="8" style="57" customWidth="1"/>
    <col min="15865" max="15865" width="15.5703125" style="57" customWidth="1"/>
    <col min="15866" max="15866" width="17.28515625" style="57" customWidth="1"/>
    <col min="15867" max="15867" width="18.85546875" style="57" customWidth="1"/>
    <col min="15868" max="15868" width="81" style="57" customWidth="1"/>
    <col min="15869" max="15869" width="14.85546875" style="57" customWidth="1"/>
    <col min="15870" max="15870" width="15.7109375" style="57" customWidth="1"/>
    <col min="15871" max="15871" width="17.5703125" style="57" customWidth="1"/>
    <col min="15872" max="15872" width="18.42578125" style="57" customWidth="1"/>
    <col min="15873" max="15873" width="16.5703125" style="57" customWidth="1"/>
    <col min="15874" max="15874" width="17.7109375" style="57" customWidth="1"/>
    <col min="15875" max="15875" width="17.85546875" style="57" customWidth="1"/>
    <col min="15876" max="15876" width="18.42578125" style="57" customWidth="1"/>
    <col min="15877" max="15877" width="15.42578125" style="57" customWidth="1"/>
    <col min="15878" max="15878" width="14.5703125" style="57" customWidth="1"/>
    <col min="15879" max="15879" width="15" style="57" customWidth="1"/>
    <col min="15880" max="15880" width="6.7109375" style="57" customWidth="1"/>
    <col min="15881" max="15881" width="14.28515625" style="57" customWidth="1"/>
    <col min="15882" max="15882" width="17.5703125" style="57" customWidth="1"/>
    <col min="15883" max="15883" width="27.7109375" style="57" customWidth="1"/>
    <col min="15884" max="15886" width="9.140625" style="57" customWidth="1"/>
    <col min="15887" max="15887" width="14.85546875" style="57" customWidth="1"/>
    <col min="15888" max="15888" width="13.85546875" style="57" customWidth="1"/>
    <col min="15889" max="16110" width="9.140625" style="57" customWidth="1"/>
    <col min="16111" max="16111" width="9" style="57"/>
    <col min="16112" max="16112" width="6.5703125" style="57" customWidth="1"/>
    <col min="16113" max="16113" width="79.5703125" style="57" customWidth="1"/>
    <col min="16114" max="16114" width="23.5703125" style="57" customWidth="1"/>
    <col min="16115" max="16115" width="27.85546875" style="57" customWidth="1"/>
    <col min="16116" max="16116" width="22.28515625" style="57" customWidth="1"/>
    <col min="16117" max="16117" width="23.5703125" style="57" customWidth="1"/>
    <col min="16118" max="16118" width="39" style="57" customWidth="1"/>
    <col min="16119" max="16119" width="36.42578125" style="57" customWidth="1"/>
    <col min="16120" max="16120" width="8" style="57" customWidth="1"/>
    <col min="16121" max="16121" width="15.5703125" style="57" customWidth="1"/>
    <col min="16122" max="16122" width="17.28515625" style="57" customWidth="1"/>
    <col min="16123" max="16123" width="18.85546875" style="57" customWidth="1"/>
    <col min="16124" max="16124" width="81" style="57" customWidth="1"/>
    <col min="16125" max="16125" width="14.85546875" style="57" customWidth="1"/>
    <col min="16126" max="16126" width="15.7109375" style="57" customWidth="1"/>
    <col min="16127" max="16127" width="17.5703125" style="57" customWidth="1"/>
    <col min="16128" max="16128" width="18.42578125" style="57" customWidth="1"/>
    <col min="16129" max="16129" width="16.5703125" style="57" customWidth="1"/>
    <col min="16130" max="16130" width="17.7109375" style="57" customWidth="1"/>
    <col min="16131" max="16131" width="17.85546875" style="57" customWidth="1"/>
    <col min="16132" max="16132" width="18.42578125" style="57" customWidth="1"/>
    <col min="16133" max="16133" width="15.42578125" style="57" customWidth="1"/>
    <col min="16134" max="16134" width="14.5703125" style="57" customWidth="1"/>
    <col min="16135" max="16135" width="15" style="57" customWidth="1"/>
    <col min="16136" max="16136" width="6.7109375" style="57" customWidth="1"/>
    <col min="16137" max="16137" width="14.28515625" style="57" customWidth="1"/>
    <col min="16138" max="16138" width="17.5703125" style="57" customWidth="1"/>
    <col min="16139" max="16139" width="27.7109375" style="57" customWidth="1"/>
    <col min="16140" max="16142" width="9.140625" style="57" customWidth="1"/>
    <col min="16143" max="16143" width="14.85546875" style="57" customWidth="1"/>
    <col min="16144" max="16144" width="13.85546875" style="57" customWidth="1"/>
    <col min="16145" max="16360" width="9.140625" style="57" customWidth="1"/>
    <col min="16361" max="16384" width="9" style="57"/>
  </cols>
  <sheetData>
    <row r="1" spans="1:28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8" s="17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1">
        <v>0</v>
      </c>
      <c r="I2" s="12">
        <f>115.29+48.49</f>
        <v>163.78</v>
      </c>
      <c r="J2" s="13" t="s">
        <v>33</v>
      </c>
      <c r="K2" s="12">
        <v>156.06</v>
      </c>
      <c r="L2" s="14">
        <v>24.25</v>
      </c>
      <c r="M2" s="11">
        <f>K2-L2</f>
        <v>131.81</v>
      </c>
      <c r="N2" s="11">
        <v>2.68</v>
      </c>
      <c r="O2" s="11">
        <v>0</v>
      </c>
      <c r="P2" s="12">
        <f>N2-O2</f>
        <v>2.68</v>
      </c>
      <c r="Q2" s="12">
        <v>141</v>
      </c>
      <c r="R2" s="12">
        <v>72.739999999999995</v>
      </c>
      <c r="S2" s="12">
        <f>Q2-R2</f>
        <v>68.260000000000005</v>
      </c>
      <c r="T2" s="12">
        <v>0</v>
      </c>
      <c r="U2" s="12">
        <v>0</v>
      </c>
      <c r="V2" s="12">
        <f>T2-U2</f>
        <v>0</v>
      </c>
      <c r="W2" s="15"/>
      <c r="X2" s="16">
        <v>0</v>
      </c>
      <c r="Y2" s="16">
        <v>0</v>
      </c>
      <c r="Z2" s="16">
        <f>X2-Y2</f>
        <v>0</v>
      </c>
      <c r="AA2" s="15"/>
      <c r="AB2" s="11">
        <f>H2+I2+J2+M2+P2+S2+V2+Z2</f>
        <v>366.53000000000003</v>
      </c>
    </row>
    <row r="3" spans="1:28" s="17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2</v>
      </c>
      <c r="F3" s="9" t="s">
        <v>36</v>
      </c>
      <c r="G3" s="10" t="s">
        <v>32</v>
      </c>
      <c r="H3" s="11">
        <v>0</v>
      </c>
      <c r="I3" s="12">
        <f>122.61+41.8</f>
        <v>164.41</v>
      </c>
      <c r="J3" s="13" t="s">
        <v>33</v>
      </c>
      <c r="K3" s="12">
        <v>156.06</v>
      </c>
      <c r="L3" s="14">
        <v>20.9</v>
      </c>
      <c r="M3" s="11">
        <f>K3-L3</f>
        <v>135.16</v>
      </c>
      <c r="N3" s="11">
        <v>2.68</v>
      </c>
      <c r="O3" s="11">
        <v>0</v>
      </c>
      <c r="P3" s="12">
        <f t="shared" ref="P3:P66" si="0">N3-O3</f>
        <v>2.68</v>
      </c>
      <c r="Q3" s="12">
        <v>207</v>
      </c>
      <c r="R3" s="12">
        <v>62.7</v>
      </c>
      <c r="S3" s="12">
        <f t="shared" ref="S3:S66" si="1">Q3-R3</f>
        <v>144.30000000000001</v>
      </c>
      <c r="T3" s="12">
        <v>0</v>
      </c>
      <c r="U3" s="12">
        <v>0</v>
      </c>
      <c r="V3" s="12">
        <f t="shared" ref="V3:V66" si="2">T3-U3</f>
        <v>0</v>
      </c>
      <c r="W3" s="15"/>
      <c r="X3" s="16">
        <v>0</v>
      </c>
      <c r="Y3" s="16">
        <v>0</v>
      </c>
      <c r="Z3" s="16">
        <f t="shared" ref="Z3:Z66" si="3">X3-Y3</f>
        <v>0</v>
      </c>
      <c r="AA3" s="15"/>
      <c r="AB3" s="11">
        <f t="shared" ref="AB3:AB66" si="4">H3+I3+J3+M3+P3+S3+V3+Z3</f>
        <v>446.55</v>
      </c>
    </row>
    <row r="4" spans="1:28" s="19" customFormat="1">
      <c r="A4" s="5" t="s">
        <v>28</v>
      </c>
      <c r="B4" s="6" t="s">
        <v>29</v>
      </c>
      <c r="C4" s="7">
        <v>13595668480</v>
      </c>
      <c r="D4" s="8" t="s">
        <v>37</v>
      </c>
      <c r="E4" s="8">
        <v>2</v>
      </c>
      <c r="F4" s="18" t="s">
        <v>38</v>
      </c>
      <c r="G4" s="10" t="s">
        <v>32</v>
      </c>
      <c r="H4" s="11">
        <v>0</v>
      </c>
      <c r="I4" s="12">
        <f>106.81+42.23</f>
        <v>149.04</v>
      </c>
      <c r="J4" s="13" t="s">
        <v>33</v>
      </c>
      <c r="K4" s="12">
        <v>156.06</v>
      </c>
      <c r="L4" s="14">
        <v>21.12</v>
      </c>
      <c r="M4" s="11">
        <f>K4-L4</f>
        <v>134.94</v>
      </c>
      <c r="N4" s="11">
        <v>2.68</v>
      </c>
      <c r="O4" s="11">
        <v>0</v>
      </c>
      <c r="P4" s="12">
        <f t="shared" si="0"/>
        <v>2.68</v>
      </c>
      <c r="Q4" s="12">
        <v>141</v>
      </c>
      <c r="R4" s="12">
        <v>63.36</v>
      </c>
      <c r="S4" s="12">
        <f t="shared" si="1"/>
        <v>77.64</v>
      </c>
      <c r="T4" s="12">
        <v>0</v>
      </c>
      <c r="U4" s="12">
        <v>0</v>
      </c>
      <c r="V4" s="12">
        <f t="shared" si="2"/>
        <v>0</v>
      </c>
      <c r="W4" s="15"/>
      <c r="X4" s="16">
        <v>0</v>
      </c>
      <c r="Y4" s="16">
        <v>0</v>
      </c>
      <c r="Z4" s="16">
        <v>0</v>
      </c>
      <c r="AA4" s="15"/>
      <c r="AB4" s="11">
        <f t="shared" si="4"/>
        <v>364.3</v>
      </c>
    </row>
    <row r="5" spans="1:28" s="19" customFormat="1">
      <c r="A5" s="5" t="s">
        <v>28</v>
      </c>
      <c r="B5" s="6" t="s">
        <v>29</v>
      </c>
      <c r="C5" s="7" t="s">
        <v>39</v>
      </c>
      <c r="D5" s="8" t="s">
        <v>40</v>
      </c>
      <c r="E5" s="8">
        <v>3</v>
      </c>
      <c r="F5" s="9" t="s">
        <v>41</v>
      </c>
      <c r="G5" s="10" t="s">
        <v>32</v>
      </c>
      <c r="H5" s="11">
        <v>0</v>
      </c>
      <c r="I5" s="12">
        <f>287.72+135.5</f>
        <v>423.22</v>
      </c>
      <c r="J5" s="13" t="s">
        <v>33</v>
      </c>
      <c r="K5" s="12">
        <v>156.06</v>
      </c>
      <c r="L5" s="14">
        <v>67.75</v>
      </c>
      <c r="M5" s="11">
        <f>K5-L5</f>
        <v>88.31</v>
      </c>
      <c r="N5" s="11">
        <v>2.68</v>
      </c>
      <c r="O5" s="11">
        <v>0</v>
      </c>
      <c r="P5" s="12">
        <f t="shared" si="0"/>
        <v>2.68</v>
      </c>
      <c r="Q5" s="12">
        <v>0</v>
      </c>
      <c r="R5" s="12">
        <v>0</v>
      </c>
      <c r="S5" s="12">
        <f t="shared" si="1"/>
        <v>0</v>
      </c>
      <c r="T5" s="12">
        <v>0</v>
      </c>
      <c r="U5" s="12">
        <v>0</v>
      </c>
      <c r="V5" s="12">
        <f t="shared" si="2"/>
        <v>0</v>
      </c>
      <c r="W5" s="15"/>
      <c r="X5" s="16">
        <v>790.44</v>
      </c>
      <c r="Y5" s="16">
        <v>0</v>
      </c>
      <c r="Z5" s="16">
        <f t="shared" si="3"/>
        <v>790.44</v>
      </c>
      <c r="AA5" s="15"/>
      <c r="AB5" s="11">
        <f t="shared" si="4"/>
        <v>1304.6500000000001</v>
      </c>
    </row>
    <row r="6" spans="1:28" s="20" customFormat="1">
      <c r="A6" s="5" t="s">
        <v>28</v>
      </c>
      <c r="B6" s="6" t="s">
        <v>29</v>
      </c>
      <c r="C6" s="7" t="s">
        <v>42</v>
      </c>
      <c r="D6" s="8" t="s">
        <v>43</v>
      </c>
      <c r="E6" s="8">
        <v>2</v>
      </c>
      <c r="F6" s="9" t="s">
        <v>31</v>
      </c>
      <c r="G6" s="10" t="s">
        <v>32</v>
      </c>
      <c r="H6" s="11">
        <v>0</v>
      </c>
      <c r="I6" s="12">
        <f>130.45+48.49</f>
        <v>178.94</v>
      </c>
      <c r="J6" s="13" t="s">
        <v>33</v>
      </c>
      <c r="K6" s="12">
        <v>156.06</v>
      </c>
      <c r="L6" s="14">
        <v>24.25</v>
      </c>
      <c r="M6" s="11">
        <f t="shared" ref="M6:M50" si="5">K6-L6</f>
        <v>131.81</v>
      </c>
      <c r="N6" s="11">
        <v>4.3600000000000003</v>
      </c>
      <c r="O6" s="11">
        <v>0</v>
      </c>
      <c r="P6" s="12">
        <f t="shared" si="0"/>
        <v>4.3600000000000003</v>
      </c>
      <c r="Q6" s="12">
        <v>0</v>
      </c>
      <c r="R6" s="12">
        <v>0</v>
      </c>
      <c r="S6" s="12">
        <f t="shared" si="1"/>
        <v>0</v>
      </c>
      <c r="T6" s="12">
        <v>0</v>
      </c>
      <c r="U6" s="12">
        <v>0</v>
      </c>
      <c r="V6" s="12">
        <f t="shared" si="2"/>
        <v>0</v>
      </c>
      <c r="W6" s="15"/>
      <c r="X6" s="16">
        <v>0</v>
      </c>
      <c r="Y6" s="16">
        <v>0</v>
      </c>
      <c r="Z6" s="16">
        <f t="shared" si="3"/>
        <v>0</v>
      </c>
      <c r="AA6" s="15"/>
      <c r="AB6" s="11">
        <f t="shared" si="4"/>
        <v>315.11</v>
      </c>
    </row>
    <row r="7" spans="1:28" s="20" customFormat="1">
      <c r="A7" s="5" t="s">
        <v>28</v>
      </c>
      <c r="B7" s="6" t="s">
        <v>29</v>
      </c>
      <c r="C7" s="7" t="s">
        <v>44</v>
      </c>
      <c r="D7" s="8" t="s">
        <v>45</v>
      </c>
      <c r="E7" s="8">
        <v>2</v>
      </c>
      <c r="F7" s="9" t="s">
        <v>46</v>
      </c>
      <c r="G7" s="10" t="s">
        <v>32</v>
      </c>
      <c r="H7" s="11">
        <v>0</v>
      </c>
      <c r="I7" s="12">
        <f>255</f>
        <v>255</v>
      </c>
      <c r="J7" s="13" t="s">
        <v>33</v>
      </c>
      <c r="K7" s="12">
        <v>156.06</v>
      </c>
      <c r="L7" s="14">
        <v>0</v>
      </c>
      <c r="M7" s="11">
        <f t="shared" si="5"/>
        <v>156.06</v>
      </c>
      <c r="N7" s="11">
        <v>2.68</v>
      </c>
      <c r="O7" s="11">
        <v>0</v>
      </c>
      <c r="P7" s="12">
        <f t="shared" si="0"/>
        <v>2.68</v>
      </c>
      <c r="Q7" s="12">
        <v>0</v>
      </c>
      <c r="R7" s="12">
        <v>0</v>
      </c>
      <c r="S7" s="12">
        <f t="shared" si="1"/>
        <v>0</v>
      </c>
      <c r="T7" s="12">
        <v>0</v>
      </c>
      <c r="U7" s="12">
        <v>0</v>
      </c>
      <c r="V7" s="12">
        <f t="shared" si="2"/>
        <v>0</v>
      </c>
      <c r="W7" s="15"/>
      <c r="X7" s="16">
        <v>0</v>
      </c>
      <c r="Y7" s="16">
        <v>0</v>
      </c>
      <c r="Z7" s="16">
        <f t="shared" si="3"/>
        <v>0</v>
      </c>
      <c r="AA7" s="15"/>
      <c r="AB7" s="11">
        <f t="shared" si="4"/>
        <v>413.74</v>
      </c>
    </row>
    <row r="8" spans="1:28" s="20" customFormat="1">
      <c r="A8" s="5" t="s">
        <v>28</v>
      </c>
      <c r="B8" s="6" t="s">
        <v>29</v>
      </c>
      <c r="C8" s="7" t="s">
        <v>47</v>
      </c>
      <c r="D8" s="8" t="s">
        <v>48</v>
      </c>
      <c r="E8" s="8">
        <v>2</v>
      </c>
      <c r="F8" s="9" t="s">
        <v>31</v>
      </c>
      <c r="G8" s="10" t="s">
        <v>32</v>
      </c>
      <c r="H8" s="11">
        <v>0</v>
      </c>
      <c r="I8" s="12">
        <f>113.71+48.49</f>
        <v>162.19999999999999</v>
      </c>
      <c r="J8" s="13" t="s">
        <v>33</v>
      </c>
      <c r="K8" s="12">
        <v>156.06</v>
      </c>
      <c r="L8" s="14">
        <v>24.25</v>
      </c>
      <c r="M8" s="11">
        <f t="shared" si="5"/>
        <v>131.81</v>
      </c>
      <c r="N8" s="11">
        <v>2.68</v>
      </c>
      <c r="O8" s="11">
        <v>0</v>
      </c>
      <c r="P8" s="12">
        <f t="shared" si="0"/>
        <v>2.68</v>
      </c>
      <c r="Q8" s="12">
        <v>174</v>
      </c>
      <c r="R8" s="12">
        <v>72.739999999999995</v>
      </c>
      <c r="S8" s="12">
        <f t="shared" si="1"/>
        <v>101.26</v>
      </c>
      <c r="T8" s="12">
        <v>0</v>
      </c>
      <c r="U8" s="12">
        <v>0</v>
      </c>
      <c r="V8" s="12">
        <f t="shared" si="2"/>
        <v>0</v>
      </c>
      <c r="W8" s="15"/>
      <c r="X8" s="16">
        <v>0</v>
      </c>
      <c r="Y8" s="16">
        <v>0</v>
      </c>
      <c r="Z8" s="16">
        <f t="shared" si="3"/>
        <v>0</v>
      </c>
      <c r="AA8" s="15"/>
      <c r="AB8" s="11">
        <f t="shared" si="4"/>
        <v>397.95</v>
      </c>
    </row>
    <row r="9" spans="1:28" s="17" customFormat="1">
      <c r="A9" s="5" t="s">
        <v>28</v>
      </c>
      <c r="B9" s="6" t="s">
        <v>29</v>
      </c>
      <c r="C9" s="7">
        <v>88999882420</v>
      </c>
      <c r="D9" s="8" t="s">
        <v>49</v>
      </c>
      <c r="E9" s="8">
        <v>2</v>
      </c>
      <c r="F9" s="18" t="s">
        <v>38</v>
      </c>
      <c r="G9" s="10" t="s">
        <v>32</v>
      </c>
      <c r="H9" s="11">
        <v>0</v>
      </c>
      <c r="I9" s="12">
        <f>122.27+42.23</f>
        <v>164.5</v>
      </c>
      <c r="J9" s="13" t="s">
        <v>33</v>
      </c>
      <c r="K9" s="12">
        <v>156.06</v>
      </c>
      <c r="L9" s="14">
        <v>21.12</v>
      </c>
      <c r="M9" s="11">
        <f t="shared" si="5"/>
        <v>134.94</v>
      </c>
      <c r="N9" s="11">
        <v>2.68</v>
      </c>
      <c r="O9" s="11">
        <v>0</v>
      </c>
      <c r="P9" s="12">
        <f t="shared" si="0"/>
        <v>2.68</v>
      </c>
      <c r="Q9" s="12">
        <v>122.25</v>
      </c>
      <c r="R9" s="12">
        <v>63.36</v>
      </c>
      <c r="S9" s="12">
        <f t="shared" si="1"/>
        <v>58.89</v>
      </c>
      <c r="T9" s="12">
        <v>0</v>
      </c>
      <c r="U9" s="12">
        <v>0</v>
      </c>
      <c r="V9" s="12">
        <f t="shared" si="2"/>
        <v>0</v>
      </c>
      <c r="W9" s="15"/>
      <c r="X9" s="16">
        <v>0</v>
      </c>
      <c r="Y9" s="16">
        <v>0</v>
      </c>
      <c r="Z9" s="16">
        <f t="shared" si="3"/>
        <v>0</v>
      </c>
      <c r="AA9" s="15"/>
      <c r="AB9" s="11">
        <f t="shared" si="4"/>
        <v>361.01</v>
      </c>
    </row>
    <row r="10" spans="1:28" s="17" customFormat="1">
      <c r="A10" s="5" t="s">
        <v>28</v>
      </c>
      <c r="B10" s="6" t="s">
        <v>29</v>
      </c>
      <c r="C10" s="7" t="s">
        <v>50</v>
      </c>
      <c r="D10" s="8" t="s">
        <v>51</v>
      </c>
      <c r="E10" s="8">
        <v>2</v>
      </c>
      <c r="F10" s="9" t="s">
        <v>31</v>
      </c>
      <c r="G10" s="10" t="s">
        <v>32</v>
      </c>
      <c r="H10" s="11">
        <v>0</v>
      </c>
      <c r="I10" s="12">
        <f>127.59+48.49</f>
        <v>176.08</v>
      </c>
      <c r="J10" s="13" t="s">
        <v>33</v>
      </c>
      <c r="K10" s="12">
        <v>156.06</v>
      </c>
      <c r="L10" s="14">
        <v>24.25</v>
      </c>
      <c r="M10" s="11">
        <f t="shared" si="5"/>
        <v>131.81</v>
      </c>
      <c r="N10" s="11">
        <v>2.68</v>
      </c>
      <c r="O10" s="11">
        <v>0</v>
      </c>
      <c r="P10" s="12">
        <f t="shared" si="0"/>
        <v>2.68</v>
      </c>
      <c r="Q10" s="12">
        <v>141</v>
      </c>
      <c r="R10" s="12">
        <v>48.5</v>
      </c>
      <c r="S10" s="12">
        <f t="shared" si="1"/>
        <v>92.5</v>
      </c>
      <c r="T10" s="12">
        <v>0</v>
      </c>
      <c r="U10" s="12">
        <v>0</v>
      </c>
      <c r="V10" s="12">
        <f t="shared" si="2"/>
        <v>0</v>
      </c>
      <c r="W10" s="15"/>
      <c r="X10" s="16">
        <v>0</v>
      </c>
      <c r="Y10" s="16">
        <v>0</v>
      </c>
      <c r="Z10" s="16">
        <f t="shared" si="3"/>
        <v>0</v>
      </c>
      <c r="AA10" s="15"/>
      <c r="AB10" s="11">
        <f t="shared" si="4"/>
        <v>403.07</v>
      </c>
    </row>
    <row r="11" spans="1:28" s="20" customFormat="1">
      <c r="A11" s="5" t="s">
        <v>28</v>
      </c>
      <c r="B11" s="6" t="s">
        <v>29</v>
      </c>
      <c r="C11" s="7" t="s">
        <v>52</v>
      </c>
      <c r="D11" s="8" t="s">
        <v>53</v>
      </c>
      <c r="E11" s="8">
        <v>2</v>
      </c>
      <c r="F11" s="9" t="s">
        <v>31</v>
      </c>
      <c r="G11" s="10" t="s">
        <v>32</v>
      </c>
      <c r="H11" s="11">
        <v>0</v>
      </c>
      <c r="I11" s="12">
        <f>223.74+48.49</f>
        <v>272.23</v>
      </c>
      <c r="J11" s="13" t="s">
        <v>33</v>
      </c>
      <c r="K11" s="12">
        <v>156.06</v>
      </c>
      <c r="L11" s="14">
        <v>24.25</v>
      </c>
      <c r="M11" s="11">
        <f t="shared" si="5"/>
        <v>131.81</v>
      </c>
      <c r="N11" s="11">
        <v>2.68</v>
      </c>
      <c r="O11" s="11">
        <v>0</v>
      </c>
      <c r="P11" s="12">
        <f t="shared" si="0"/>
        <v>2.68</v>
      </c>
      <c r="Q11" s="12">
        <v>244.5</v>
      </c>
      <c r="R11" s="12">
        <v>46.07</v>
      </c>
      <c r="S11" s="12">
        <f t="shared" si="1"/>
        <v>198.43</v>
      </c>
      <c r="T11" s="12">
        <v>0</v>
      </c>
      <c r="U11" s="12">
        <v>0</v>
      </c>
      <c r="V11" s="12">
        <f t="shared" si="2"/>
        <v>0</v>
      </c>
      <c r="W11" s="15"/>
      <c r="X11" s="16">
        <v>0</v>
      </c>
      <c r="Y11" s="16">
        <v>0</v>
      </c>
      <c r="Z11" s="16">
        <f t="shared" si="3"/>
        <v>0</v>
      </c>
      <c r="AA11" s="15"/>
      <c r="AB11" s="11">
        <f t="shared" si="4"/>
        <v>605.15000000000009</v>
      </c>
    </row>
    <row r="12" spans="1:28" s="20" customFormat="1">
      <c r="A12" s="5" t="s">
        <v>28</v>
      </c>
      <c r="B12" s="6" t="s">
        <v>29</v>
      </c>
      <c r="C12" s="7" t="s">
        <v>54</v>
      </c>
      <c r="D12" s="8" t="s">
        <v>55</v>
      </c>
      <c r="E12" s="8">
        <v>2</v>
      </c>
      <c r="F12" s="9" t="s">
        <v>46</v>
      </c>
      <c r="G12" s="10" t="s">
        <v>32</v>
      </c>
      <c r="H12" s="11">
        <v>0</v>
      </c>
      <c r="I12" s="12">
        <f>255.84</f>
        <v>255.84</v>
      </c>
      <c r="J12" s="13" t="s">
        <v>33</v>
      </c>
      <c r="K12" s="12">
        <v>156.06</v>
      </c>
      <c r="L12" s="14">
        <v>0</v>
      </c>
      <c r="M12" s="11">
        <f t="shared" si="5"/>
        <v>156.06</v>
      </c>
      <c r="N12" s="11">
        <v>4.3600000000000003</v>
      </c>
      <c r="O12" s="11">
        <v>0</v>
      </c>
      <c r="P12" s="12">
        <f t="shared" si="0"/>
        <v>4.3600000000000003</v>
      </c>
      <c r="Q12" s="12">
        <v>0</v>
      </c>
      <c r="R12" s="12">
        <v>0</v>
      </c>
      <c r="S12" s="12">
        <f t="shared" si="1"/>
        <v>0</v>
      </c>
      <c r="T12" s="12">
        <v>0</v>
      </c>
      <c r="U12" s="12">
        <v>0</v>
      </c>
      <c r="V12" s="12">
        <f t="shared" si="2"/>
        <v>0</v>
      </c>
      <c r="W12" s="15"/>
      <c r="X12" s="16">
        <v>0</v>
      </c>
      <c r="Y12" s="16">
        <v>0</v>
      </c>
      <c r="Z12" s="16">
        <f t="shared" si="3"/>
        <v>0</v>
      </c>
      <c r="AA12" s="15"/>
      <c r="AB12" s="11">
        <f t="shared" si="4"/>
        <v>416.26</v>
      </c>
    </row>
    <row r="13" spans="1:28" s="20" customFormat="1">
      <c r="A13" s="5" t="s">
        <v>28</v>
      </c>
      <c r="B13" s="6" t="s">
        <v>29</v>
      </c>
      <c r="C13" s="21" t="s">
        <v>56</v>
      </c>
      <c r="D13" s="22" t="s">
        <v>57</v>
      </c>
      <c r="E13" s="22">
        <v>2</v>
      </c>
      <c r="F13" s="9" t="s">
        <v>58</v>
      </c>
      <c r="G13" s="10" t="s">
        <v>32</v>
      </c>
      <c r="H13" s="11">
        <v>0</v>
      </c>
      <c r="I13" s="16">
        <v>239.79</v>
      </c>
      <c r="J13" s="13" t="s">
        <v>33</v>
      </c>
      <c r="K13" s="12">
        <v>156.06</v>
      </c>
      <c r="L13" s="14">
        <v>2.4300000000000002</v>
      </c>
      <c r="M13" s="11">
        <f t="shared" si="5"/>
        <v>153.63</v>
      </c>
      <c r="N13" s="23">
        <v>5.36</v>
      </c>
      <c r="O13" s="23">
        <v>0</v>
      </c>
      <c r="P13" s="12">
        <f t="shared" si="0"/>
        <v>5.36</v>
      </c>
      <c r="Q13" s="12">
        <v>0</v>
      </c>
      <c r="R13" s="16">
        <v>0</v>
      </c>
      <c r="S13" s="12">
        <f t="shared" si="1"/>
        <v>0</v>
      </c>
      <c r="T13" s="16">
        <v>0</v>
      </c>
      <c r="U13" s="16">
        <v>0</v>
      </c>
      <c r="V13" s="12">
        <f t="shared" si="2"/>
        <v>0</v>
      </c>
      <c r="W13" s="15"/>
      <c r="X13" s="16">
        <v>0</v>
      </c>
      <c r="Y13" s="16">
        <v>0</v>
      </c>
      <c r="Z13" s="16">
        <f t="shared" si="3"/>
        <v>0</v>
      </c>
      <c r="AA13" s="15"/>
      <c r="AB13" s="11">
        <f t="shared" si="4"/>
        <v>398.78</v>
      </c>
    </row>
    <row r="14" spans="1:28" s="20" customFormat="1">
      <c r="A14" s="5" t="s">
        <v>28</v>
      </c>
      <c r="B14" s="6" t="s">
        <v>29</v>
      </c>
      <c r="C14" s="21" t="s">
        <v>59</v>
      </c>
      <c r="D14" s="22" t="s">
        <v>60</v>
      </c>
      <c r="E14" s="22">
        <v>2</v>
      </c>
      <c r="F14" s="24" t="s">
        <v>61</v>
      </c>
      <c r="G14" s="10" t="s">
        <v>32</v>
      </c>
      <c r="H14" s="11">
        <v>0</v>
      </c>
      <c r="I14" s="16">
        <f>151.91+60</f>
        <v>211.91</v>
      </c>
      <c r="J14" s="13" t="s">
        <v>33</v>
      </c>
      <c r="K14" s="12">
        <v>156.06</v>
      </c>
      <c r="L14" s="14">
        <v>0</v>
      </c>
      <c r="M14" s="11">
        <f t="shared" si="5"/>
        <v>156.06</v>
      </c>
      <c r="N14" s="23">
        <v>18.690000000000001</v>
      </c>
      <c r="O14" s="23">
        <v>0</v>
      </c>
      <c r="P14" s="12">
        <f t="shared" si="0"/>
        <v>18.690000000000001</v>
      </c>
      <c r="Q14" s="12">
        <v>0</v>
      </c>
      <c r="R14" s="16">
        <v>0</v>
      </c>
      <c r="S14" s="12">
        <f t="shared" si="1"/>
        <v>0</v>
      </c>
      <c r="T14" s="16">
        <v>0</v>
      </c>
      <c r="U14" s="16">
        <v>0</v>
      </c>
      <c r="V14" s="12">
        <f t="shared" si="2"/>
        <v>0</v>
      </c>
      <c r="W14" s="15"/>
      <c r="X14" s="16">
        <v>0</v>
      </c>
      <c r="Y14" s="16">
        <v>0</v>
      </c>
      <c r="Z14" s="16">
        <f t="shared" si="3"/>
        <v>0</v>
      </c>
      <c r="AA14" s="15"/>
      <c r="AB14" s="11">
        <f t="shared" si="4"/>
        <v>386.66</v>
      </c>
    </row>
    <row r="15" spans="1:28" s="20" customFormat="1">
      <c r="A15" s="5" t="s">
        <v>28</v>
      </c>
      <c r="B15" s="6" t="s">
        <v>29</v>
      </c>
      <c r="C15" s="21" t="s">
        <v>62</v>
      </c>
      <c r="D15" s="22" t="s">
        <v>63</v>
      </c>
      <c r="E15" s="22">
        <v>2</v>
      </c>
      <c r="F15" s="25" t="s">
        <v>64</v>
      </c>
      <c r="G15" s="10" t="s">
        <v>32</v>
      </c>
      <c r="H15" s="11">
        <v>0</v>
      </c>
      <c r="I15" s="16">
        <f>115+48.35</f>
        <v>163.35</v>
      </c>
      <c r="J15" s="13" t="s">
        <v>33</v>
      </c>
      <c r="K15" s="12">
        <v>156.06</v>
      </c>
      <c r="L15" s="14">
        <v>24.18</v>
      </c>
      <c r="M15" s="11">
        <f t="shared" si="5"/>
        <v>131.88</v>
      </c>
      <c r="N15" s="23">
        <v>2.68</v>
      </c>
      <c r="O15" s="23">
        <v>0</v>
      </c>
      <c r="P15" s="12">
        <f t="shared" si="0"/>
        <v>2.68</v>
      </c>
      <c r="Q15" s="12">
        <v>141</v>
      </c>
      <c r="R15" s="16">
        <v>72.53</v>
      </c>
      <c r="S15" s="12">
        <f t="shared" si="1"/>
        <v>68.47</v>
      </c>
      <c r="T15" s="16">
        <v>0</v>
      </c>
      <c r="U15" s="16">
        <v>0</v>
      </c>
      <c r="V15" s="12">
        <f t="shared" si="2"/>
        <v>0</v>
      </c>
      <c r="W15" s="15"/>
      <c r="X15" s="16">
        <v>0</v>
      </c>
      <c r="Y15" s="16">
        <v>0</v>
      </c>
      <c r="Z15" s="16">
        <f t="shared" si="3"/>
        <v>0</v>
      </c>
      <c r="AA15" s="15"/>
      <c r="AB15" s="11">
        <f t="shared" si="4"/>
        <v>366.38</v>
      </c>
    </row>
    <row r="16" spans="1:28" s="20" customFormat="1">
      <c r="A16" s="5" t="s">
        <v>28</v>
      </c>
      <c r="B16" s="6" t="s">
        <v>29</v>
      </c>
      <c r="C16" s="21" t="s">
        <v>65</v>
      </c>
      <c r="D16" s="22" t="s">
        <v>66</v>
      </c>
      <c r="E16" s="22">
        <v>2</v>
      </c>
      <c r="F16" s="26" t="s">
        <v>67</v>
      </c>
      <c r="G16" s="10" t="s">
        <v>32</v>
      </c>
      <c r="H16" s="11">
        <v>0</v>
      </c>
      <c r="I16" s="16">
        <f>115+48.35</f>
        <v>163.35</v>
      </c>
      <c r="J16" s="13" t="s">
        <v>33</v>
      </c>
      <c r="K16" s="12">
        <v>156.06</v>
      </c>
      <c r="L16" s="14">
        <v>24.18</v>
      </c>
      <c r="M16" s="11">
        <f t="shared" si="5"/>
        <v>131.88</v>
      </c>
      <c r="N16" s="23">
        <v>2.68</v>
      </c>
      <c r="O16" s="23">
        <v>0</v>
      </c>
      <c r="P16" s="12">
        <f t="shared" si="0"/>
        <v>2.68</v>
      </c>
      <c r="Q16" s="12">
        <v>207</v>
      </c>
      <c r="R16" s="16">
        <v>72.53</v>
      </c>
      <c r="S16" s="12">
        <f t="shared" si="1"/>
        <v>134.47</v>
      </c>
      <c r="T16" s="16">
        <v>0</v>
      </c>
      <c r="U16" s="16">
        <v>0</v>
      </c>
      <c r="V16" s="12">
        <f t="shared" si="2"/>
        <v>0</v>
      </c>
      <c r="W16" s="15"/>
      <c r="X16" s="16">
        <v>0</v>
      </c>
      <c r="Y16" s="16">
        <v>0</v>
      </c>
      <c r="Z16" s="16">
        <f t="shared" si="3"/>
        <v>0</v>
      </c>
      <c r="AA16" s="15"/>
      <c r="AB16" s="11">
        <f t="shared" si="4"/>
        <v>432.38</v>
      </c>
    </row>
    <row r="17" spans="1:28" s="20" customFormat="1">
      <c r="A17" s="5" t="s">
        <v>28</v>
      </c>
      <c r="B17" s="6" t="s">
        <v>29</v>
      </c>
      <c r="C17" s="7">
        <v>70178717401</v>
      </c>
      <c r="D17" s="8" t="s">
        <v>68</v>
      </c>
      <c r="E17" s="8">
        <v>2</v>
      </c>
      <c r="F17" s="26" t="s">
        <v>67</v>
      </c>
      <c r="G17" s="10" t="s">
        <v>32</v>
      </c>
      <c r="H17" s="11">
        <v>0</v>
      </c>
      <c r="I17" s="12">
        <f>121.22+27.86</f>
        <v>149.07999999999998</v>
      </c>
      <c r="J17" s="13" t="s">
        <v>33</v>
      </c>
      <c r="K17" s="12">
        <v>156.06</v>
      </c>
      <c r="L17" s="14">
        <v>20.9</v>
      </c>
      <c r="M17" s="11">
        <f t="shared" si="5"/>
        <v>135.16</v>
      </c>
      <c r="N17" s="11">
        <v>2.68</v>
      </c>
      <c r="O17" s="11">
        <v>0</v>
      </c>
      <c r="P17" s="12">
        <f t="shared" si="0"/>
        <v>2.68</v>
      </c>
      <c r="Q17" s="12">
        <v>0</v>
      </c>
      <c r="R17" s="12">
        <v>0</v>
      </c>
      <c r="S17" s="12">
        <f t="shared" si="1"/>
        <v>0</v>
      </c>
      <c r="T17" s="12">
        <v>0</v>
      </c>
      <c r="U17" s="12">
        <v>0</v>
      </c>
      <c r="V17" s="12">
        <f t="shared" si="2"/>
        <v>0</v>
      </c>
      <c r="W17" s="15"/>
      <c r="X17" s="16">
        <v>0</v>
      </c>
      <c r="Y17" s="16">
        <v>0</v>
      </c>
      <c r="Z17" s="16">
        <f t="shared" si="3"/>
        <v>0</v>
      </c>
      <c r="AA17" s="15"/>
      <c r="AB17" s="11">
        <f t="shared" si="4"/>
        <v>286.92</v>
      </c>
    </row>
    <row r="18" spans="1:28" s="20" customFormat="1">
      <c r="A18" s="5" t="s">
        <v>28</v>
      </c>
      <c r="B18" s="6" t="s">
        <v>29</v>
      </c>
      <c r="C18" s="7">
        <v>76801144472</v>
      </c>
      <c r="D18" s="8" t="s">
        <v>69</v>
      </c>
      <c r="E18" s="8">
        <v>3</v>
      </c>
      <c r="F18" s="9" t="s">
        <v>70</v>
      </c>
      <c r="G18" s="10" t="s">
        <v>32</v>
      </c>
      <c r="H18" s="11">
        <v>0</v>
      </c>
      <c r="I18" s="12">
        <f>119.82+38.31</f>
        <v>158.13</v>
      </c>
      <c r="J18" s="13" t="s">
        <v>33</v>
      </c>
      <c r="K18" s="12">
        <v>156.06</v>
      </c>
      <c r="L18" s="14">
        <v>20.9</v>
      </c>
      <c r="M18" s="11">
        <f t="shared" si="5"/>
        <v>135.16</v>
      </c>
      <c r="N18" s="11">
        <v>2.68</v>
      </c>
      <c r="O18" s="11">
        <v>0</v>
      </c>
      <c r="P18" s="12">
        <f t="shared" si="0"/>
        <v>2.68</v>
      </c>
      <c r="Q18" s="12">
        <v>141</v>
      </c>
      <c r="R18" s="12">
        <v>62.7</v>
      </c>
      <c r="S18" s="12">
        <f t="shared" si="1"/>
        <v>78.3</v>
      </c>
      <c r="T18" s="12">
        <v>64</v>
      </c>
      <c r="U18" s="12">
        <v>0</v>
      </c>
      <c r="V18" s="12">
        <f t="shared" si="2"/>
        <v>64</v>
      </c>
      <c r="W18" s="15" t="s">
        <v>71</v>
      </c>
      <c r="X18" s="16">
        <v>0</v>
      </c>
      <c r="Y18" s="16">
        <v>0</v>
      </c>
      <c r="Z18" s="16">
        <f t="shared" si="3"/>
        <v>0</v>
      </c>
      <c r="AA18" s="15"/>
      <c r="AB18" s="11">
        <f t="shared" si="4"/>
        <v>438.27</v>
      </c>
    </row>
    <row r="19" spans="1:28" s="20" customFormat="1">
      <c r="A19" s="5" t="s">
        <v>28</v>
      </c>
      <c r="B19" s="6" t="s">
        <v>29</v>
      </c>
      <c r="C19" s="7" t="s">
        <v>72</v>
      </c>
      <c r="D19" s="8" t="s">
        <v>73</v>
      </c>
      <c r="E19" s="8">
        <v>2</v>
      </c>
      <c r="F19" s="9" t="s">
        <v>31</v>
      </c>
      <c r="G19" s="10" t="s">
        <v>32</v>
      </c>
      <c r="H19" s="11">
        <v>0</v>
      </c>
      <c r="I19" s="12">
        <f>124.03+41.8</f>
        <v>165.82999999999998</v>
      </c>
      <c r="J19" s="13" t="s">
        <v>33</v>
      </c>
      <c r="K19" s="12">
        <v>156.06</v>
      </c>
      <c r="L19" s="14">
        <v>20.9</v>
      </c>
      <c r="M19" s="11">
        <f t="shared" si="5"/>
        <v>135.16</v>
      </c>
      <c r="N19" s="11">
        <v>2.68</v>
      </c>
      <c r="O19" s="11">
        <v>0</v>
      </c>
      <c r="P19" s="12">
        <f t="shared" si="0"/>
        <v>2.68</v>
      </c>
      <c r="Q19" s="12">
        <v>207</v>
      </c>
      <c r="R19" s="12">
        <v>45.98</v>
      </c>
      <c r="S19" s="12">
        <f t="shared" si="1"/>
        <v>161.02000000000001</v>
      </c>
      <c r="T19" s="12">
        <v>0</v>
      </c>
      <c r="U19" s="12">
        <v>0</v>
      </c>
      <c r="V19" s="12">
        <f t="shared" si="2"/>
        <v>0</v>
      </c>
      <c r="W19" s="15"/>
      <c r="X19" s="16">
        <v>0</v>
      </c>
      <c r="Y19" s="16">
        <v>0</v>
      </c>
      <c r="Z19" s="16">
        <f t="shared" si="3"/>
        <v>0</v>
      </c>
      <c r="AA19" s="15"/>
      <c r="AB19" s="11">
        <f t="shared" si="4"/>
        <v>464.69000000000005</v>
      </c>
    </row>
    <row r="20" spans="1:28" s="20" customFormat="1">
      <c r="A20" s="5" t="s">
        <v>28</v>
      </c>
      <c r="B20" s="6" t="s">
        <v>29</v>
      </c>
      <c r="C20" s="7" t="s">
        <v>74</v>
      </c>
      <c r="D20" s="22" t="s">
        <v>75</v>
      </c>
      <c r="E20" s="8">
        <v>2</v>
      </c>
      <c r="F20" s="18" t="s">
        <v>76</v>
      </c>
      <c r="G20" s="10" t="s">
        <v>32</v>
      </c>
      <c r="H20" s="11">
        <v>0</v>
      </c>
      <c r="I20" s="12">
        <f>113.71+48.49</f>
        <v>162.19999999999999</v>
      </c>
      <c r="J20" s="13" t="s">
        <v>33</v>
      </c>
      <c r="K20" s="12">
        <v>156.06</v>
      </c>
      <c r="L20" s="14">
        <v>24.25</v>
      </c>
      <c r="M20" s="11">
        <f t="shared" si="5"/>
        <v>131.81</v>
      </c>
      <c r="N20" s="11">
        <v>2.68</v>
      </c>
      <c r="O20" s="11">
        <v>0</v>
      </c>
      <c r="P20" s="12">
        <f t="shared" si="0"/>
        <v>2.68</v>
      </c>
      <c r="Q20" s="12">
        <v>326</v>
      </c>
      <c r="R20" s="12">
        <v>72.739999999999995</v>
      </c>
      <c r="S20" s="12">
        <f t="shared" si="1"/>
        <v>253.26</v>
      </c>
      <c r="T20" s="12">
        <v>0</v>
      </c>
      <c r="U20" s="12">
        <v>0</v>
      </c>
      <c r="V20" s="12">
        <f t="shared" si="2"/>
        <v>0</v>
      </c>
      <c r="W20" s="15"/>
      <c r="X20" s="16">
        <v>0</v>
      </c>
      <c r="Y20" s="16">
        <v>0</v>
      </c>
      <c r="Z20" s="16">
        <f t="shared" si="3"/>
        <v>0</v>
      </c>
      <c r="AA20" s="15"/>
      <c r="AB20" s="11">
        <f t="shared" si="4"/>
        <v>549.95000000000005</v>
      </c>
    </row>
    <row r="21" spans="1:28" s="20" customFormat="1">
      <c r="A21" s="5" t="s">
        <v>28</v>
      </c>
      <c r="B21" s="6" t="s">
        <v>29</v>
      </c>
      <c r="C21" s="7" t="s">
        <v>77</v>
      </c>
      <c r="D21" s="8" t="s">
        <v>78</v>
      </c>
      <c r="E21" s="8">
        <v>3</v>
      </c>
      <c r="F21" s="18" t="s">
        <v>79</v>
      </c>
      <c r="G21" s="10" t="s">
        <v>32</v>
      </c>
      <c r="H21" s="11">
        <v>0</v>
      </c>
      <c r="I21" s="12">
        <f>118.71+33.45</f>
        <v>152.16</v>
      </c>
      <c r="J21" s="13" t="s">
        <v>33</v>
      </c>
      <c r="K21" s="12">
        <v>156.06</v>
      </c>
      <c r="L21" s="14">
        <v>25.09</v>
      </c>
      <c r="M21" s="11">
        <f t="shared" si="5"/>
        <v>130.97</v>
      </c>
      <c r="N21" s="11">
        <v>2.68</v>
      </c>
      <c r="O21" s="11">
        <v>0</v>
      </c>
      <c r="P21" s="12">
        <f t="shared" si="0"/>
        <v>2.68</v>
      </c>
      <c r="Q21" s="12">
        <v>0</v>
      </c>
      <c r="R21" s="12">
        <v>0</v>
      </c>
      <c r="S21" s="12">
        <f t="shared" si="1"/>
        <v>0</v>
      </c>
      <c r="T21" s="12">
        <v>0</v>
      </c>
      <c r="U21" s="12">
        <v>0</v>
      </c>
      <c r="V21" s="12">
        <f t="shared" si="2"/>
        <v>0</v>
      </c>
      <c r="W21" s="15"/>
      <c r="X21" s="16">
        <v>0</v>
      </c>
      <c r="Y21" s="16">
        <v>0</v>
      </c>
      <c r="Z21" s="16">
        <f t="shared" si="3"/>
        <v>0</v>
      </c>
      <c r="AA21" s="15"/>
      <c r="AB21" s="11">
        <f t="shared" si="4"/>
        <v>285.81</v>
      </c>
    </row>
    <row r="22" spans="1:28" s="20" customFormat="1">
      <c r="A22" s="5" t="s">
        <v>28</v>
      </c>
      <c r="B22" s="6" t="s">
        <v>29</v>
      </c>
      <c r="C22" s="7" t="s">
        <v>80</v>
      </c>
      <c r="D22" s="8" t="s">
        <v>81</v>
      </c>
      <c r="E22" s="8">
        <v>2</v>
      </c>
      <c r="F22" s="18" t="s">
        <v>82</v>
      </c>
      <c r="G22" s="10" t="s">
        <v>32</v>
      </c>
      <c r="H22" s="11">
        <v>0</v>
      </c>
      <c r="I22" s="12">
        <f>130.03+15</f>
        <v>145.03</v>
      </c>
      <c r="J22" s="13">
        <v>0</v>
      </c>
      <c r="K22" s="12">
        <v>156.06</v>
      </c>
      <c r="L22" s="14">
        <v>0</v>
      </c>
      <c r="M22" s="11">
        <f t="shared" si="5"/>
        <v>156.06</v>
      </c>
      <c r="N22" s="11">
        <v>18.690000000000001</v>
      </c>
      <c r="O22" s="11">
        <v>0</v>
      </c>
      <c r="P22" s="12">
        <v>0</v>
      </c>
      <c r="Q22" s="12">
        <v>0</v>
      </c>
      <c r="R22" s="12">
        <v>0</v>
      </c>
      <c r="S22" s="12">
        <f t="shared" si="1"/>
        <v>0</v>
      </c>
      <c r="T22" s="12">
        <v>0</v>
      </c>
      <c r="U22" s="12">
        <v>0</v>
      </c>
      <c r="V22" s="12">
        <v>0</v>
      </c>
      <c r="W22" s="15"/>
      <c r="X22" s="16">
        <v>600</v>
      </c>
      <c r="Y22" s="16">
        <v>0</v>
      </c>
      <c r="Z22" s="16">
        <f t="shared" si="3"/>
        <v>600</v>
      </c>
      <c r="AA22" s="15" t="s">
        <v>83</v>
      </c>
      <c r="AB22" s="12">
        <f t="shared" si="4"/>
        <v>901.09</v>
      </c>
    </row>
    <row r="23" spans="1:28" s="20" customFormat="1">
      <c r="A23" s="5" t="s">
        <v>28</v>
      </c>
      <c r="B23" s="6" t="s">
        <v>29</v>
      </c>
      <c r="C23" s="7">
        <v>78272203472</v>
      </c>
      <c r="D23" s="8" t="s">
        <v>84</v>
      </c>
      <c r="E23" s="8">
        <v>3</v>
      </c>
      <c r="F23" s="18" t="s">
        <v>76</v>
      </c>
      <c r="G23" s="10" t="s">
        <v>32</v>
      </c>
      <c r="H23" s="11">
        <v>0</v>
      </c>
      <c r="I23" s="12">
        <f>256.72+100</f>
        <v>356.72</v>
      </c>
      <c r="J23" s="13" t="s">
        <v>33</v>
      </c>
      <c r="K23" s="12">
        <v>156.06</v>
      </c>
      <c r="L23" s="14">
        <v>0</v>
      </c>
      <c r="M23" s="11">
        <f t="shared" si="5"/>
        <v>156.06</v>
      </c>
      <c r="N23" s="11">
        <v>2.68</v>
      </c>
      <c r="O23" s="11">
        <v>0</v>
      </c>
      <c r="P23" s="12">
        <f t="shared" si="0"/>
        <v>2.68</v>
      </c>
      <c r="Q23" s="12">
        <v>276</v>
      </c>
      <c r="R23" s="12">
        <v>180</v>
      </c>
      <c r="S23" s="12">
        <f t="shared" si="1"/>
        <v>96</v>
      </c>
      <c r="T23" s="12">
        <v>0</v>
      </c>
      <c r="U23" s="12">
        <v>0</v>
      </c>
      <c r="V23" s="12">
        <f t="shared" si="2"/>
        <v>0</v>
      </c>
      <c r="W23" s="15"/>
      <c r="X23" s="16">
        <v>0</v>
      </c>
      <c r="Y23" s="16">
        <v>0</v>
      </c>
      <c r="Z23" s="16">
        <f t="shared" si="3"/>
        <v>0</v>
      </c>
      <c r="AA23" s="15"/>
      <c r="AB23" s="11">
        <f t="shared" si="4"/>
        <v>611.45999999999992</v>
      </c>
    </row>
    <row r="24" spans="1:28" s="20" customFormat="1">
      <c r="A24" s="5" t="s">
        <v>28</v>
      </c>
      <c r="B24" s="6" t="s">
        <v>29</v>
      </c>
      <c r="C24" s="7">
        <v>65002938434</v>
      </c>
      <c r="D24" s="8" t="s">
        <v>85</v>
      </c>
      <c r="E24" s="8">
        <v>3</v>
      </c>
      <c r="F24" s="18" t="s">
        <v>86</v>
      </c>
      <c r="G24" s="10" t="s">
        <v>32</v>
      </c>
      <c r="H24" s="11">
        <v>0</v>
      </c>
      <c r="I24" s="12">
        <f>133.09+50.18</f>
        <v>183.27</v>
      </c>
      <c r="J24" s="13" t="s">
        <v>33</v>
      </c>
      <c r="K24" s="12">
        <v>156.06</v>
      </c>
      <c r="L24" s="14">
        <v>25.09</v>
      </c>
      <c r="M24" s="11">
        <f t="shared" si="5"/>
        <v>130.97</v>
      </c>
      <c r="N24" s="11">
        <v>2.68</v>
      </c>
      <c r="O24" s="11">
        <v>0</v>
      </c>
      <c r="P24" s="12">
        <f t="shared" si="0"/>
        <v>2.68</v>
      </c>
      <c r="Q24" s="12">
        <v>0</v>
      </c>
      <c r="R24" s="12">
        <v>0</v>
      </c>
      <c r="S24" s="12">
        <f t="shared" si="1"/>
        <v>0</v>
      </c>
      <c r="T24" s="12">
        <v>0</v>
      </c>
      <c r="U24" s="12">
        <v>0</v>
      </c>
      <c r="V24" s="12">
        <f t="shared" si="2"/>
        <v>0</v>
      </c>
      <c r="W24" s="15"/>
      <c r="X24" s="16">
        <v>0</v>
      </c>
      <c r="Y24" s="16">
        <v>0</v>
      </c>
      <c r="Z24" s="16">
        <f t="shared" si="3"/>
        <v>0</v>
      </c>
      <c r="AA24" s="15"/>
      <c r="AB24" s="11">
        <f t="shared" si="4"/>
        <v>316.92</v>
      </c>
    </row>
    <row r="25" spans="1:28" s="20" customFormat="1">
      <c r="A25" s="5" t="s">
        <v>28</v>
      </c>
      <c r="B25" s="6" t="s">
        <v>29</v>
      </c>
      <c r="C25" s="7" t="s">
        <v>87</v>
      </c>
      <c r="D25" s="8" t="s">
        <v>88</v>
      </c>
      <c r="E25" s="8">
        <v>2</v>
      </c>
      <c r="F25" s="9" t="s">
        <v>58</v>
      </c>
      <c r="G25" s="10" t="s">
        <v>32</v>
      </c>
      <c r="H25" s="11">
        <v>0</v>
      </c>
      <c r="I25" s="12">
        <v>267.32</v>
      </c>
      <c r="J25" s="13" t="s">
        <v>33</v>
      </c>
      <c r="K25" s="12">
        <v>156.06</v>
      </c>
      <c r="L25" s="14">
        <v>13.38</v>
      </c>
      <c r="M25" s="11">
        <f t="shared" si="5"/>
        <v>142.68</v>
      </c>
      <c r="N25" s="11">
        <v>2.68</v>
      </c>
      <c r="O25" s="11">
        <v>0</v>
      </c>
      <c r="P25" s="12">
        <f t="shared" si="0"/>
        <v>2.68</v>
      </c>
      <c r="Q25" s="12">
        <v>0</v>
      </c>
      <c r="R25" s="12">
        <v>0</v>
      </c>
      <c r="S25" s="12">
        <f t="shared" si="1"/>
        <v>0</v>
      </c>
      <c r="T25" s="12">
        <v>0</v>
      </c>
      <c r="U25" s="12">
        <v>0</v>
      </c>
      <c r="V25" s="12">
        <f t="shared" si="2"/>
        <v>0</v>
      </c>
      <c r="W25" s="15"/>
      <c r="X25" s="16">
        <v>0</v>
      </c>
      <c r="Y25" s="16">
        <v>0</v>
      </c>
      <c r="Z25" s="16">
        <f t="shared" si="3"/>
        <v>0</v>
      </c>
      <c r="AA25" s="15"/>
      <c r="AB25" s="11">
        <f t="shared" si="4"/>
        <v>412.68</v>
      </c>
    </row>
    <row r="26" spans="1:28" s="20" customFormat="1">
      <c r="A26" s="5" t="s">
        <v>28</v>
      </c>
      <c r="B26" s="6" t="s">
        <v>29</v>
      </c>
      <c r="C26" s="7">
        <v>84767812453</v>
      </c>
      <c r="D26" s="8" t="s">
        <v>89</v>
      </c>
      <c r="E26" s="8">
        <v>2</v>
      </c>
      <c r="F26" s="18" t="s">
        <v>90</v>
      </c>
      <c r="G26" s="10" t="s">
        <v>32</v>
      </c>
      <c r="H26" s="11">
        <v>0</v>
      </c>
      <c r="I26" s="12">
        <f>161.76</f>
        <v>161.76</v>
      </c>
      <c r="J26" s="13" t="s">
        <v>33</v>
      </c>
      <c r="K26" s="12">
        <v>156.06</v>
      </c>
      <c r="L26" s="14">
        <v>2.4300000000000002</v>
      </c>
      <c r="M26" s="11">
        <f t="shared" si="5"/>
        <v>153.63</v>
      </c>
      <c r="N26" s="11">
        <v>5.36</v>
      </c>
      <c r="O26" s="11">
        <v>0</v>
      </c>
      <c r="P26" s="12">
        <f t="shared" si="0"/>
        <v>5.36</v>
      </c>
      <c r="Q26" s="12">
        <v>0</v>
      </c>
      <c r="R26" s="12">
        <v>0</v>
      </c>
      <c r="S26" s="12">
        <f t="shared" si="1"/>
        <v>0</v>
      </c>
      <c r="T26" s="12">
        <v>0</v>
      </c>
      <c r="U26" s="12">
        <v>0</v>
      </c>
      <c r="V26" s="12">
        <f t="shared" si="2"/>
        <v>0</v>
      </c>
      <c r="W26" s="15"/>
      <c r="X26" s="16">
        <v>0</v>
      </c>
      <c r="Y26" s="16">
        <v>0</v>
      </c>
      <c r="Z26" s="16">
        <f t="shared" si="3"/>
        <v>0</v>
      </c>
      <c r="AA26" s="15"/>
      <c r="AB26" s="11">
        <f t="shared" si="4"/>
        <v>320.75</v>
      </c>
    </row>
    <row r="27" spans="1:28" s="20" customFormat="1">
      <c r="A27" s="5" t="s">
        <v>28</v>
      </c>
      <c r="B27" s="6" t="s">
        <v>29</v>
      </c>
      <c r="C27" s="7">
        <v>77118162434</v>
      </c>
      <c r="D27" s="22" t="s">
        <v>91</v>
      </c>
      <c r="E27" s="8">
        <v>2</v>
      </c>
      <c r="F27" s="9" t="s">
        <v>58</v>
      </c>
      <c r="G27" s="10" t="s">
        <v>32</v>
      </c>
      <c r="H27" s="11">
        <v>0</v>
      </c>
      <c r="I27" s="12">
        <f>168.08+75.68</f>
        <v>243.76000000000002</v>
      </c>
      <c r="J27" s="13" t="s">
        <v>33</v>
      </c>
      <c r="K27" s="12">
        <v>156.06</v>
      </c>
      <c r="L27" s="14">
        <v>37.840000000000003</v>
      </c>
      <c r="M27" s="11">
        <f t="shared" si="5"/>
        <v>118.22</v>
      </c>
      <c r="N27" s="11">
        <v>2.68</v>
      </c>
      <c r="O27" s="11">
        <v>0</v>
      </c>
      <c r="P27" s="12">
        <f t="shared" si="0"/>
        <v>2.68</v>
      </c>
      <c r="Q27" s="12">
        <v>0</v>
      </c>
      <c r="R27" s="12">
        <v>0</v>
      </c>
      <c r="S27" s="12">
        <f t="shared" si="1"/>
        <v>0</v>
      </c>
      <c r="T27" s="12">
        <v>0</v>
      </c>
      <c r="U27" s="12">
        <v>0</v>
      </c>
      <c r="V27" s="12">
        <f t="shared" si="2"/>
        <v>0</v>
      </c>
      <c r="W27" s="15"/>
      <c r="X27" s="16">
        <v>0</v>
      </c>
      <c r="Y27" s="16">
        <v>0</v>
      </c>
      <c r="Z27" s="16">
        <f t="shared" si="3"/>
        <v>0</v>
      </c>
      <c r="AA27" s="15"/>
      <c r="AB27" s="11">
        <f t="shared" si="4"/>
        <v>364.66</v>
      </c>
    </row>
    <row r="28" spans="1:28" s="20" customFormat="1">
      <c r="A28" s="5" t="s">
        <v>28</v>
      </c>
      <c r="B28" s="6" t="s">
        <v>29</v>
      </c>
      <c r="C28" s="7" t="s">
        <v>92</v>
      </c>
      <c r="D28" s="8" t="s">
        <v>93</v>
      </c>
      <c r="E28" s="8">
        <v>2</v>
      </c>
      <c r="F28" s="18" t="s">
        <v>76</v>
      </c>
      <c r="G28" s="10" t="s">
        <v>32</v>
      </c>
      <c r="H28" s="11">
        <v>0</v>
      </c>
      <c r="I28" s="12">
        <v>166.25</v>
      </c>
      <c r="J28" s="13" t="s">
        <v>33</v>
      </c>
      <c r="K28" s="12">
        <v>156.06</v>
      </c>
      <c r="L28" s="14">
        <v>2.4300000000000002</v>
      </c>
      <c r="M28" s="11">
        <f t="shared" si="5"/>
        <v>153.63</v>
      </c>
      <c r="N28" s="11">
        <v>5.36</v>
      </c>
      <c r="O28" s="11">
        <v>0</v>
      </c>
      <c r="P28" s="12">
        <f t="shared" si="0"/>
        <v>5.36</v>
      </c>
      <c r="Q28" s="12">
        <v>0</v>
      </c>
      <c r="R28" s="12">
        <v>0</v>
      </c>
      <c r="S28" s="12">
        <f t="shared" si="1"/>
        <v>0</v>
      </c>
      <c r="T28" s="12">
        <v>0</v>
      </c>
      <c r="U28" s="12">
        <v>0</v>
      </c>
      <c r="V28" s="12">
        <f t="shared" si="2"/>
        <v>0</v>
      </c>
      <c r="W28" s="15"/>
      <c r="X28" s="16">
        <v>0</v>
      </c>
      <c r="Y28" s="16">
        <v>0</v>
      </c>
      <c r="Z28" s="16">
        <f t="shared" si="3"/>
        <v>0</v>
      </c>
      <c r="AA28" s="15"/>
      <c r="AB28" s="11">
        <f t="shared" si="4"/>
        <v>325.24</v>
      </c>
    </row>
    <row r="29" spans="1:28" s="20" customFormat="1">
      <c r="A29" s="5" t="s">
        <v>28</v>
      </c>
      <c r="B29" s="6" t="s">
        <v>29</v>
      </c>
      <c r="C29" s="7">
        <v>62012720463</v>
      </c>
      <c r="D29" s="8" t="s">
        <v>94</v>
      </c>
      <c r="E29" s="8">
        <v>3</v>
      </c>
      <c r="F29" s="18" t="s">
        <v>90</v>
      </c>
      <c r="G29" s="10" t="s">
        <v>32</v>
      </c>
      <c r="H29" s="11">
        <v>0</v>
      </c>
      <c r="I29" s="12">
        <v>16.72</v>
      </c>
      <c r="J29" s="13" t="s">
        <v>33</v>
      </c>
      <c r="K29" s="12">
        <v>156.06</v>
      </c>
      <c r="L29" s="14">
        <v>0</v>
      </c>
      <c r="M29" s="11">
        <f t="shared" si="5"/>
        <v>156.06</v>
      </c>
      <c r="N29" s="11">
        <v>2.68</v>
      </c>
      <c r="O29" s="11">
        <v>0</v>
      </c>
      <c r="P29" s="12">
        <f t="shared" si="0"/>
        <v>2.68</v>
      </c>
      <c r="Q29" s="12">
        <v>0</v>
      </c>
      <c r="R29" s="12">
        <v>0</v>
      </c>
      <c r="S29" s="12">
        <f t="shared" si="1"/>
        <v>0</v>
      </c>
      <c r="T29" s="12">
        <v>0</v>
      </c>
      <c r="U29" s="12">
        <v>0</v>
      </c>
      <c r="V29" s="12">
        <f t="shared" si="2"/>
        <v>0</v>
      </c>
      <c r="W29" s="15"/>
      <c r="X29" s="16">
        <v>0</v>
      </c>
      <c r="Y29" s="16">
        <v>0</v>
      </c>
      <c r="Z29" s="16">
        <f t="shared" si="3"/>
        <v>0</v>
      </c>
      <c r="AA29" s="15"/>
      <c r="AB29" s="11">
        <f t="shared" si="4"/>
        <v>175.46</v>
      </c>
    </row>
    <row r="30" spans="1:28" s="20" customFormat="1">
      <c r="A30" s="5" t="s">
        <v>28</v>
      </c>
      <c r="B30" s="6" t="s">
        <v>29</v>
      </c>
      <c r="C30" s="7" t="s">
        <v>95</v>
      </c>
      <c r="D30" s="8" t="s">
        <v>96</v>
      </c>
      <c r="E30" s="8">
        <v>2</v>
      </c>
      <c r="F30" s="27" t="s">
        <v>97</v>
      </c>
      <c r="G30" s="10" t="s">
        <v>32</v>
      </c>
      <c r="H30" s="11">
        <v>0</v>
      </c>
      <c r="I30" s="12">
        <f>168.08+75.68</f>
        <v>243.76000000000002</v>
      </c>
      <c r="J30" s="13" t="s">
        <v>33</v>
      </c>
      <c r="K30" s="12">
        <v>156.06</v>
      </c>
      <c r="L30" s="14">
        <v>37.840000000000003</v>
      </c>
      <c r="M30" s="11">
        <f t="shared" si="5"/>
        <v>118.22</v>
      </c>
      <c r="N30" s="11">
        <v>2.68</v>
      </c>
      <c r="O30" s="11">
        <v>0</v>
      </c>
      <c r="P30" s="12">
        <f t="shared" si="0"/>
        <v>2.68</v>
      </c>
      <c r="Q30" s="12">
        <v>0</v>
      </c>
      <c r="R30" s="12">
        <v>0</v>
      </c>
      <c r="S30" s="12">
        <f t="shared" si="1"/>
        <v>0</v>
      </c>
      <c r="T30" s="12">
        <v>0</v>
      </c>
      <c r="U30" s="12">
        <v>0</v>
      </c>
      <c r="V30" s="12">
        <f t="shared" si="2"/>
        <v>0</v>
      </c>
      <c r="W30" s="15"/>
      <c r="X30" s="16">
        <v>0</v>
      </c>
      <c r="Y30" s="16">
        <v>0</v>
      </c>
      <c r="Z30" s="16">
        <f t="shared" si="3"/>
        <v>0</v>
      </c>
      <c r="AA30" s="15"/>
      <c r="AB30" s="11">
        <f t="shared" si="4"/>
        <v>364.66</v>
      </c>
    </row>
    <row r="31" spans="1:28" s="20" customFormat="1">
      <c r="A31" s="5" t="s">
        <v>28</v>
      </c>
      <c r="B31" s="6" t="s">
        <v>29</v>
      </c>
      <c r="C31" s="7" t="s">
        <v>98</v>
      </c>
      <c r="D31" s="22" t="s">
        <v>99</v>
      </c>
      <c r="E31" s="8">
        <v>3</v>
      </c>
      <c r="F31" s="9" t="s">
        <v>31</v>
      </c>
      <c r="G31" s="10" t="s">
        <v>32</v>
      </c>
      <c r="H31" s="11">
        <v>0</v>
      </c>
      <c r="I31" s="12">
        <f>113.85+50.51</f>
        <v>164.35999999999999</v>
      </c>
      <c r="J31" s="13" t="s">
        <v>33</v>
      </c>
      <c r="K31" s="12">
        <v>156.06</v>
      </c>
      <c r="L31" s="14">
        <v>25.26</v>
      </c>
      <c r="M31" s="11">
        <f t="shared" si="5"/>
        <v>130.80000000000001</v>
      </c>
      <c r="N31" s="11">
        <v>2.68</v>
      </c>
      <c r="O31" s="11">
        <v>0</v>
      </c>
      <c r="P31" s="12">
        <f t="shared" si="0"/>
        <v>2.68</v>
      </c>
      <c r="Q31" s="12">
        <v>0</v>
      </c>
      <c r="R31" s="12">
        <v>0</v>
      </c>
      <c r="S31" s="12">
        <f t="shared" si="1"/>
        <v>0</v>
      </c>
      <c r="T31" s="12">
        <v>0</v>
      </c>
      <c r="U31" s="12">
        <v>0</v>
      </c>
      <c r="V31" s="12">
        <v>0</v>
      </c>
      <c r="W31" s="15"/>
      <c r="X31" s="16">
        <v>294.68</v>
      </c>
      <c r="Y31" s="16">
        <v>0</v>
      </c>
      <c r="Z31" s="16">
        <v>0</v>
      </c>
      <c r="AA31" s="15" t="s">
        <v>83</v>
      </c>
      <c r="AB31" s="11">
        <f t="shared" si="4"/>
        <v>297.83999999999997</v>
      </c>
    </row>
    <row r="32" spans="1:28" s="20" customFormat="1">
      <c r="A32" s="5" t="s">
        <v>28</v>
      </c>
      <c r="B32" s="6" t="s">
        <v>29</v>
      </c>
      <c r="C32" s="7" t="s">
        <v>100</v>
      </c>
      <c r="D32" s="8" t="s">
        <v>101</v>
      </c>
      <c r="E32" s="8">
        <v>2</v>
      </c>
      <c r="F32" s="9" t="s">
        <v>31</v>
      </c>
      <c r="G32" s="10" t="s">
        <v>32</v>
      </c>
      <c r="H32" s="11">
        <v>0</v>
      </c>
      <c r="I32" s="12">
        <f>116.87+48.49</f>
        <v>165.36</v>
      </c>
      <c r="J32" s="13" t="s">
        <v>33</v>
      </c>
      <c r="K32" s="12">
        <v>156.06</v>
      </c>
      <c r="L32" s="14">
        <v>24.25</v>
      </c>
      <c r="M32" s="11">
        <f t="shared" si="5"/>
        <v>131.81</v>
      </c>
      <c r="N32" s="11">
        <v>2.68</v>
      </c>
      <c r="O32" s="11">
        <v>0</v>
      </c>
      <c r="P32" s="12">
        <f t="shared" si="0"/>
        <v>2.68</v>
      </c>
      <c r="Q32" s="12">
        <v>192.75</v>
      </c>
      <c r="R32" s="12">
        <v>72.739999999999995</v>
      </c>
      <c r="S32" s="12">
        <f t="shared" si="1"/>
        <v>120.01</v>
      </c>
      <c r="T32" s="12">
        <v>64</v>
      </c>
      <c r="U32" s="12">
        <v>0</v>
      </c>
      <c r="V32" s="12">
        <f t="shared" si="2"/>
        <v>64</v>
      </c>
      <c r="W32" s="15"/>
      <c r="X32" s="16">
        <v>0</v>
      </c>
      <c r="Y32" s="16">
        <v>0</v>
      </c>
      <c r="Z32" s="16">
        <f t="shared" si="3"/>
        <v>0</v>
      </c>
      <c r="AA32" s="15"/>
      <c r="AB32" s="11">
        <f t="shared" si="4"/>
        <v>483.86</v>
      </c>
    </row>
    <row r="33" spans="1:28" s="20" customFormat="1">
      <c r="A33" s="5" t="s">
        <v>28</v>
      </c>
      <c r="B33" s="6" t="s">
        <v>29</v>
      </c>
      <c r="C33" s="7" t="s">
        <v>102</v>
      </c>
      <c r="D33" s="8" t="s">
        <v>103</v>
      </c>
      <c r="E33" s="8">
        <v>2</v>
      </c>
      <c r="F33" s="9" t="s">
        <v>70</v>
      </c>
      <c r="G33" s="10" t="s">
        <v>32</v>
      </c>
      <c r="H33" s="11">
        <v>0</v>
      </c>
      <c r="I33" s="12">
        <f>129.18+32.33</f>
        <v>161.51</v>
      </c>
      <c r="J33" s="13" t="s">
        <v>33</v>
      </c>
      <c r="K33" s="12">
        <v>156.06</v>
      </c>
      <c r="L33" s="14">
        <v>24.25</v>
      </c>
      <c r="M33" s="11">
        <f t="shared" si="5"/>
        <v>131.81</v>
      </c>
      <c r="N33" s="11">
        <v>2.68</v>
      </c>
      <c r="O33" s="11">
        <v>0</v>
      </c>
      <c r="P33" s="12">
        <f t="shared" si="0"/>
        <v>2.68</v>
      </c>
      <c r="Q33" s="12">
        <v>0</v>
      </c>
      <c r="R33" s="12">
        <v>0</v>
      </c>
      <c r="S33" s="12">
        <f t="shared" si="1"/>
        <v>0</v>
      </c>
      <c r="T33" s="12">
        <v>0</v>
      </c>
      <c r="U33" s="12">
        <v>0</v>
      </c>
      <c r="V33" s="12">
        <f t="shared" si="2"/>
        <v>0</v>
      </c>
      <c r="W33" s="15"/>
      <c r="X33" s="16">
        <v>282.89</v>
      </c>
      <c r="Y33" s="16">
        <v>0</v>
      </c>
      <c r="Z33" s="16">
        <f t="shared" si="3"/>
        <v>282.89</v>
      </c>
      <c r="AA33" s="15" t="s">
        <v>83</v>
      </c>
      <c r="AB33" s="11">
        <f t="shared" si="4"/>
        <v>578.89</v>
      </c>
    </row>
    <row r="34" spans="1:28" s="20" customFormat="1">
      <c r="A34" s="5" t="s">
        <v>28</v>
      </c>
      <c r="B34" s="6" t="s">
        <v>29</v>
      </c>
      <c r="C34" s="7">
        <v>85625752400</v>
      </c>
      <c r="D34" s="22" t="s">
        <v>104</v>
      </c>
      <c r="E34" s="8">
        <v>3</v>
      </c>
      <c r="F34" s="9" t="s">
        <v>31</v>
      </c>
      <c r="G34" s="10" t="s">
        <v>32</v>
      </c>
      <c r="H34" s="11">
        <v>0</v>
      </c>
      <c r="I34" s="12">
        <f>122.61+41.8</f>
        <v>164.41</v>
      </c>
      <c r="J34" s="13" t="s">
        <v>33</v>
      </c>
      <c r="K34" s="12">
        <v>156.06</v>
      </c>
      <c r="L34" s="14">
        <v>20.9</v>
      </c>
      <c r="M34" s="11">
        <f t="shared" si="5"/>
        <v>135.16</v>
      </c>
      <c r="N34" s="11">
        <v>2.68</v>
      </c>
      <c r="O34" s="11">
        <v>0</v>
      </c>
      <c r="P34" s="12">
        <f t="shared" si="0"/>
        <v>2.68</v>
      </c>
      <c r="Q34" s="12">
        <v>0</v>
      </c>
      <c r="R34" s="12">
        <v>0</v>
      </c>
      <c r="S34" s="12">
        <f t="shared" si="1"/>
        <v>0</v>
      </c>
      <c r="T34" s="12">
        <v>0</v>
      </c>
      <c r="U34" s="12">
        <v>0</v>
      </c>
      <c r="V34" s="12">
        <f t="shared" si="2"/>
        <v>0</v>
      </c>
      <c r="W34" s="15"/>
      <c r="X34" s="16">
        <v>0</v>
      </c>
      <c r="Y34" s="16">
        <v>0</v>
      </c>
      <c r="Z34" s="16">
        <f t="shared" si="3"/>
        <v>0</v>
      </c>
      <c r="AA34" s="15"/>
      <c r="AB34" s="11">
        <f t="shared" si="4"/>
        <v>302.25</v>
      </c>
    </row>
    <row r="35" spans="1:28" s="20" customFormat="1">
      <c r="A35" s="5" t="s">
        <v>28</v>
      </c>
      <c r="B35" s="6" t="s">
        <v>29</v>
      </c>
      <c r="C35" s="7" t="s">
        <v>105</v>
      </c>
      <c r="D35" s="8" t="s">
        <v>106</v>
      </c>
      <c r="E35" s="8">
        <v>2</v>
      </c>
      <c r="F35" s="9" t="s">
        <v>31</v>
      </c>
      <c r="G35" s="10" t="s">
        <v>32</v>
      </c>
      <c r="H35" s="11">
        <v>0</v>
      </c>
      <c r="I35" s="12">
        <f>115.16+48.49</f>
        <v>163.65</v>
      </c>
      <c r="J35" s="13" t="s">
        <v>33</v>
      </c>
      <c r="K35" s="12">
        <v>156.06</v>
      </c>
      <c r="L35" s="14">
        <v>24.25</v>
      </c>
      <c r="M35" s="11">
        <f t="shared" si="5"/>
        <v>131.81</v>
      </c>
      <c r="N35" s="11">
        <v>2.68</v>
      </c>
      <c r="O35" s="11">
        <v>0</v>
      </c>
      <c r="P35" s="12">
        <f t="shared" si="0"/>
        <v>2.68</v>
      </c>
      <c r="Q35" s="12">
        <v>141</v>
      </c>
      <c r="R35" s="12">
        <v>72.739999999999995</v>
      </c>
      <c r="S35" s="12">
        <f t="shared" si="1"/>
        <v>68.260000000000005</v>
      </c>
      <c r="T35" s="12">
        <v>0</v>
      </c>
      <c r="U35" s="12">
        <v>0</v>
      </c>
      <c r="V35" s="12">
        <f t="shared" si="2"/>
        <v>0</v>
      </c>
      <c r="W35" s="15"/>
      <c r="X35" s="16">
        <v>323.31</v>
      </c>
      <c r="Y35" s="16">
        <v>0</v>
      </c>
      <c r="Z35" s="16">
        <f t="shared" si="3"/>
        <v>323.31</v>
      </c>
      <c r="AA35" s="15" t="s">
        <v>83</v>
      </c>
      <c r="AB35" s="11">
        <f t="shared" si="4"/>
        <v>689.71</v>
      </c>
    </row>
    <row r="36" spans="1:28" s="20" customFormat="1">
      <c r="A36" s="5" t="s">
        <v>28</v>
      </c>
      <c r="B36" s="28" t="s">
        <v>29</v>
      </c>
      <c r="C36" s="7" t="s">
        <v>107</v>
      </c>
      <c r="D36" s="8" t="s">
        <v>108</v>
      </c>
      <c r="E36" s="8">
        <v>2</v>
      </c>
      <c r="F36" s="18" t="s">
        <v>109</v>
      </c>
      <c r="G36" s="10" t="s">
        <v>32</v>
      </c>
      <c r="H36" s="11">
        <v>0</v>
      </c>
      <c r="I36" s="12">
        <f>138.98+48.49</f>
        <v>187.47</v>
      </c>
      <c r="J36" s="13" t="s">
        <v>33</v>
      </c>
      <c r="K36" s="12">
        <v>156.06</v>
      </c>
      <c r="L36" s="14">
        <v>24.25</v>
      </c>
      <c r="M36" s="11">
        <f t="shared" si="5"/>
        <v>131.81</v>
      </c>
      <c r="N36" s="11">
        <v>2.68</v>
      </c>
      <c r="O36" s="11">
        <v>0</v>
      </c>
      <c r="P36" s="12">
        <f t="shared" si="0"/>
        <v>2.68</v>
      </c>
      <c r="Q36" s="12">
        <v>103.5</v>
      </c>
      <c r="R36" s="12">
        <v>72.739999999999995</v>
      </c>
      <c r="S36" s="12">
        <f t="shared" si="1"/>
        <v>30.760000000000005</v>
      </c>
      <c r="T36" s="12">
        <v>0</v>
      </c>
      <c r="U36" s="12">
        <v>0</v>
      </c>
      <c r="V36" s="12">
        <f t="shared" si="2"/>
        <v>0</v>
      </c>
      <c r="W36" s="15"/>
      <c r="X36" s="16">
        <v>0</v>
      </c>
      <c r="Y36" s="16">
        <v>0</v>
      </c>
      <c r="Z36" s="16">
        <f t="shared" si="3"/>
        <v>0</v>
      </c>
      <c r="AA36" s="15"/>
      <c r="AB36" s="11">
        <f t="shared" si="4"/>
        <v>352.71999999999997</v>
      </c>
    </row>
    <row r="37" spans="1:28" s="20" customFormat="1">
      <c r="A37" s="5" t="s">
        <v>28</v>
      </c>
      <c r="B37" s="28" t="s">
        <v>29</v>
      </c>
      <c r="C37" s="7" t="s">
        <v>110</v>
      </c>
      <c r="D37" s="8" t="s">
        <v>111</v>
      </c>
      <c r="E37" s="8">
        <v>3</v>
      </c>
      <c r="F37" s="26" t="s">
        <v>67</v>
      </c>
      <c r="G37" s="10" t="s">
        <v>32</v>
      </c>
      <c r="H37" s="11">
        <v>0</v>
      </c>
      <c r="I37" s="12">
        <f>100.32+41.8</f>
        <v>142.12</v>
      </c>
      <c r="J37" s="13" t="s">
        <v>33</v>
      </c>
      <c r="K37" s="12">
        <v>156.06</v>
      </c>
      <c r="L37" s="14">
        <v>20.9</v>
      </c>
      <c r="M37" s="11">
        <f t="shared" si="5"/>
        <v>135.16</v>
      </c>
      <c r="N37" s="11">
        <v>2.68</v>
      </c>
      <c r="O37" s="11">
        <v>0</v>
      </c>
      <c r="P37" s="12">
        <f t="shared" si="0"/>
        <v>2.68</v>
      </c>
      <c r="Q37" s="12">
        <v>0</v>
      </c>
      <c r="R37" s="12">
        <v>0</v>
      </c>
      <c r="S37" s="12">
        <f t="shared" si="1"/>
        <v>0</v>
      </c>
      <c r="T37" s="12">
        <v>64</v>
      </c>
      <c r="U37" s="12">
        <v>0</v>
      </c>
      <c r="V37" s="12">
        <v>64</v>
      </c>
      <c r="W37" s="15" t="s">
        <v>71</v>
      </c>
      <c r="X37" s="16">
        <v>0</v>
      </c>
      <c r="Y37" s="16">
        <v>0</v>
      </c>
      <c r="Z37" s="16">
        <f t="shared" si="3"/>
        <v>0</v>
      </c>
      <c r="AA37" s="15"/>
      <c r="AB37" s="11">
        <f t="shared" si="4"/>
        <v>343.96</v>
      </c>
    </row>
    <row r="38" spans="1:28" s="20" customFormat="1">
      <c r="A38" s="5" t="s">
        <v>28</v>
      </c>
      <c r="B38" s="28" t="s">
        <v>29</v>
      </c>
      <c r="C38" s="7" t="s">
        <v>112</v>
      </c>
      <c r="D38" s="8" t="s">
        <v>113</v>
      </c>
      <c r="E38" s="8">
        <v>3</v>
      </c>
      <c r="F38" s="18" t="s">
        <v>109</v>
      </c>
      <c r="G38" s="10" t="s">
        <v>32</v>
      </c>
      <c r="H38" s="11">
        <v>0</v>
      </c>
      <c r="I38" s="12">
        <f>100.32+41.8</f>
        <v>142.12</v>
      </c>
      <c r="J38" s="13" t="s">
        <v>33</v>
      </c>
      <c r="K38" s="12">
        <v>156.06</v>
      </c>
      <c r="L38" s="14">
        <v>20.9</v>
      </c>
      <c r="M38" s="11">
        <f t="shared" si="5"/>
        <v>135.16</v>
      </c>
      <c r="N38" s="11">
        <v>2.68</v>
      </c>
      <c r="O38" s="11">
        <v>0</v>
      </c>
      <c r="P38" s="12">
        <f t="shared" si="0"/>
        <v>2.68</v>
      </c>
      <c r="Q38" s="12">
        <v>207</v>
      </c>
      <c r="R38" s="12">
        <v>62.7</v>
      </c>
      <c r="S38" s="12">
        <f t="shared" si="1"/>
        <v>144.30000000000001</v>
      </c>
      <c r="T38" s="12">
        <v>64</v>
      </c>
      <c r="U38" s="12">
        <v>0</v>
      </c>
      <c r="V38" s="12">
        <v>64</v>
      </c>
      <c r="W38" s="15" t="s">
        <v>71</v>
      </c>
      <c r="X38" s="16">
        <v>0</v>
      </c>
      <c r="Y38" s="16">
        <v>0</v>
      </c>
      <c r="Z38" s="16">
        <f t="shared" si="3"/>
        <v>0</v>
      </c>
      <c r="AA38" s="15"/>
      <c r="AB38" s="11">
        <f t="shared" si="4"/>
        <v>488.26</v>
      </c>
    </row>
    <row r="39" spans="1:28" s="20" customFormat="1">
      <c r="A39" s="5" t="s">
        <v>28</v>
      </c>
      <c r="B39" s="28" t="s">
        <v>29</v>
      </c>
      <c r="C39" s="7" t="s">
        <v>114</v>
      </c>
      <c r="D39" s="8" t="s">
        <v>115</v>
      </c>
      <c r="E39" s="8">
        <v>3</v>
      </c>
      <c r="F39" s="9" t="s">
        <v>58</v>
      </c>
      <c r="G39" s="10" t="s">
        <v>32</v>
      </c>
      <c r="H39" s="11">
        <v>0</v>
      </c>
      <c r="I39" s="12">
        <f>122.61+41.8</f>
        <v>164.41</v>
      </c>
      <c r="J39" s="13" t="s">
        <v>33</v>
      </c>
      <c r="K39" s="12">
        <v>156.06</v>
      </c>
      <c r="L39" s="14">
        <v>20.9</v>
      </c>
      <c r="M39" s="11">
        <f t="shared" si="5"/>
        <v>135.16</v>
      </c>
      <c r="N39" s="11">
        <v>2.68</v>
      </c>
      <c r="O39" s="11">
        <v>0</v>
      </c>
      <c r="P39" s="12">
        <f t="shared" si="0"/>
        <v>2.68</v>
      </c>
      <c r="Q39" s="12">
        <v>141</v>
      </c>
      <c r="R39" s="12">
        <v>62.7</v>
      </c>
      <c r="S39" s="12">
        <f t="shared" si="1"/>
        <v>78.3</v>
      </c>
      <c r="T39" s="12">
        <v>0</v>
      </c>
      <c r="U39" s="12">
        <v>0</v>
      </c>
      <c r="V39" s="12">
        <f t="shared" si="2"/>
        <v>0</v>
      </c>
      <c r="W39" s="15"/>
      <c r="X39" s="16">
        <v>0</v>
      </c>
      <c r="Y39" s="16">
        <v>0</v>
      </c>
      <c r="Z39" s="16">
        <f t="shared" si="3"/>
        <v>0</v>
      </c>
      <c r="AA39" s="15"/>
      <c r="AB39" s="11">
        <f t="shared" si="4"/>
        <v>380.55</v>
      </c>
    </row>
    <row r="40" spans="1:28" s="20" customFormat="1">
      <c r="A40" s="5" t="s">
        <v>28</v>
      </c>
      <c r="B40" s="28" t="s">
        <v>29</v>
      </c>
      <c r="C40" s="7">
        <v>86643770491</v>
      </c>
      <c r="D40" s="8" t="s">
        <v>116</v>
      </c>
      <c r="E40" s="8">
        <v>2</v>
      </c>
      <c r="F40" s="9" t="s">
        <v>58</v>
      </c>
      <c r="G40" s="10" t="s">
        <v>32</v>
      </c>
      <c r="H40" s="11">
        <v>0</v>
      </c>
      <c r="I40" s="12">
        <f>230.58</f>
        <v>230.58</v>
      </c>
      <c r="J40" s="13" t="s">
        <v>33</v>
      </c>
      <c r="K40" s="12">
        <v>156.06</v>
      </c>
      <c r="L40" s="14">
        <v>2.4300000000000002</v>
      </c>
      <c r="M40" s="11">
        <f t="shared" si="5"/>
        <v>153.63</v>
      </c>
      <c r="N40" s="11">
        <v>5.36</v>
      </c>
      <c r="O40" s="11">
        <v>0</v>
      </c>
      <c r="P40" s="12">
        <f t="shared" si="0"/>
        <v>5.36</v>
      </c>
      <c r="Q40" s="12">
        <v>0</v>
      </c>
      <c r="R40" s="12">
        <v>0</v>
      </c>
      <c r="S40" s="12">
        <f t="shared" si="1"/>
        <v>0</v>
      </c>
      <c r="T40" s="12">
        <v>103.28</v>
      </c>
      <c r="U40" s="12">
        <v>0</v>
      </c>
      <c r="V40" s="12">
        <v>0</v>
      </c>
      <c r="W40" s="15"/>
      <c r="X40" s="16">
        <v>0</v>
      </c>
      <c r="Y40" s="16">
        <v>0</v>
      </c>
      <c r="Z40" s="16">
        <f t="shared" si="3"/>
        <v>0</v>
      </c>
      <c r="AA40" s="15"/>
      <c r="AB40" s="11">
        <f t="shared" si="4"/>
        <v>389.57000000000005</v>
      </c>
    </row>
    <row r="41" spans="1:28" s="20" customFormat="1">
      <c r="A41" s="5" t="s">
        <v>28</v>
      </c>
      <c r="B41" s="28" t="s">
        <v>29</v>
      </c>
      <c r="C41" s="7" t="s">
        <v>117</v>
      </c>
      <c r="D41" s="8" t="s">
        <v>118</v>
      </c>
      <c r="E41" s="8">
        <v>2</v>
      </c>
      <c r="F41" s="29" t="s">
        <v>119</v>
      </c>
      <c r="G41" s="10" t="s">
        <v>32</v>
      </c>
      <c r="H41" s="11">
        <v>0</v>
      </c>
      <c r="I41" s="12">
        <v>190.24</v>
      </c>
      <c r="J41" s="13" t="s">
        <v>33</v>
      </c>
      <c r="K41" s="12">
        <v>156.06</v>
      </c>
      <c r="L41" s="14">
        <v>2.4300000000000002</v>
      </c>
      <c r="M41" s="11">
        <f t="shared" si="5"/>
        <v>153.63</v>
      </c>
      <c r="N41" s="11">
        <v>5.36</v>
      </c>
      <c r="O41" s="11">
        <v>0</v>
      </c>
      <c r="P41" s="12">
        <f t="shared" si="0"/>
        <v>5.36</v>
      </c>
      <c r="Q41" s="12">
        <v>0</v>
      </c>
      <c r="R41" s="12">
        <v>0</v>
      </c>
      <c r="S41" s="12">
        <f t="shared" si="1"/>
        <v>0</v>
      </c>
      <c r="T41" s="12">
        <v>0</v>
      </c>
      <c r="U41" s="12">
        <v>0</v>
      </c>
      <c r="V41" s="12">
        <f t="shared" si="2"/>
        <v>0</v>
      </c>
      <c r="W41" s="15"/>
      <c r="X41" s="16">
        <v>0</v>
      </c>
      <c r="Y41" s="16">
        <v>0</v>
      </c>
      <c r="Z41" s="16">
        <f t="shared" si="3"/>
        <v>0</v>
      </c>
      <c r="AA41" s="15"/>
      <c r="AB41" s="11">
        <f t="shared" si="4"/>
        <v>349.23</v>
      </c>
    </row>
    <row r="42" spans="1:28" s="20" customFormat="1">
      <c r="A42" s="5" t="s">
        <v>28</v>
      </c>
      <c r="B42" s="28" t="s">
        <v>29</v>
      </c>
      <c r="C42" s="7" t="s">
        <v>120</v>
      </c>
      <c r="D42" s="8" t="s">
        <v>121</v>
      </c>
      <c r="E42" s="30">
        <v>3</v>
      </c>
      <c r="F42" s="31" t="s">
        <v>31</v>
      </c>
      <c r="G42" s="10" t="s">
        <v>32</v>
      </c>
      <c r="H42" s="11">
        <v>0</v>
      </c>
      <c r="I42" s="12">
        <f>143.77+50.45</f>
        <v>194.22000000000003</v>
      </c>
      <c r="J42" s="13" t="s">
        <v>33</v>
      </c>
      <c r="K42" s="12">
        <v>156.06</v>
      </c>
      <c r="L42" s="14">
        <v>25.23</v>
      </c>
      <c r="M42" s="11">
        <f t="shared" si="5"/>
        <v>130.83000000000001</v>
      </c>
      <c r="N42" s="11">
        <v>2.68</v>
      </c>
      <c r="O42" s="12">
        <v>0</v>
      </c>
      <c r="P42" s="12">
        <f t="shared" si="0"/>
        <v>2.68</v>
      </c>
      <c r="Q42" s="12">
        <v>244.5</v>
      </c>
      <c r="R42" s="12">
        <v>75.680000000000007</v>
      </c>
      <c r="S42" s="12">
        <f t="shared" si="1"/>
        <v>168.82</v>
      </c>
      <c r="T42" s="12">
        <v>0</v>
      </c>
      <c r="U42" s="12">
        <v>0</v>
      </c>
      <c r="V42" s="12">
        <f t="shared" si="2"/>
        <v>0</v>
      </c>
      <c r="W42" s="15"/>
      <c r="X42" s="16">
        <v>0</v>
      </c>
      <c r="Y42" s="16">
        <v>0</v>
      </c>
      <c r="Z42" s="16">
        <f t="shared" si="3"/>
        <v>0</v>
      </c>
      <c r="AA42" s="15"/>
      <c r="AB42" s="12">
        <f t="shared" si="4"/>
        <v>496.55000000000007</v>
      </c>
    </row>
    <row r="43" spans="1:28" s="20" customFormat="1">
      <c r="A43" s="5" t="s">
        <v>28</v>
      </c>
      <c r="B43" s="28" t="s">
        <v>29</v>
      </c>
      <c r="C43" s="7" t="s">
        <v>122</v>
      </c>
      <c r="D43" s="8" t="s">
        <v>123</v>
      </c>
      <c r="E43" s="30">
        <v>2</v>
      </c>
      <c r="F43" s="32" t="s">
        <v>86</v>
      </c>
      <c r="G43" s="10" t="s">
        <v>32</v>
      </c>
      <c r="H43" s="11">
        <v>0</v>
      </c>
      <c r="I43" s="12">
        <f>119.82+41.8</f>
        <v>161.62</v>
      </c>
      <c r="J43" s="13" t="s">
        <v>33</v>
      </c>
      <c r="K43" s="12">
        <v>156.06</v>
      </c>
      <c r="L43" s="14">
        <v>20.9</v>
      </c>
      <c r="M43" s="11">
        <f t="shared" si="5"/>
        <v>135.16</v>
      </c>
      <c r="N43" s="11">
        <v>2.68</v>
      </c>
      <c r="O43" s="12">
        <v>0</v>
      </c>
      <c r="P43" s="12">
        <f t="shared" si="0"/>
        <v>2.68</v>
      </c>
      <c r="Q43" s="12">
        <v>141</v>
      </c>
      <c r="R43" s="12">
        <v>62.7</v>
      </c>
      <c r="S43" s="12">
        <f t="shared" si="1"/>
        <v>78.3</v>
      </c>
      <c r="T43" s="12">
        <v>0</v>
      </c>
      <c r="U43" s="12">
        <v>0</v>
      </c>
      <c r="V43" s="12">
        <f t="shared" si="2"/>
        <v>0</v>
      </c>
      <c r="W43" s="15"/>
      <c r="X43" s="16">
        <v>0</v>
      </c>
      <c r="Y43" s="16">
        <v>0</v>
      </c>
      <c r="Z43" s="16">
        <f t="shared" si="3"/>
        <v>0</v>
      </c>
      <c r="AA43" s="15"/>
      <c r="AB43" s="12">
        <f t="shared" si="4"/>
        <v>377.76</v>
      </c>
    </row>
    <row r="44" spans="1:28" s="20" customFormat="1">
      <c r="A44" s="5" t="s">
        <v>28</v>
      </c>
      <c r="B44" s="28" t="s">
        <v>29</v>
      </c>
      <c r="C44" s="7" t="s">
        <v>122</v>
      </c>
      <c r="D44" s="22" t="s">
        <v>124</v>
      </c>
      <c r="E44" s="30">
        <v>2</v>
      </c>
      <c r="F44" s="31" t="s">
        <v>58</v>
      </c>
      <c r="G44" s="10" t="s">
        <v>32</v>
      </c>
      <c r="H44" s="11">
        <v>0</v>
      </c>
      <c r="I44" s="12">
        <v>338.68</v>
      </c>
      <c r="J44" s="13" t="s">
        <v>33</v>
      </c>
      <c r="K44" s="12">
        <v>156.06</v>
      </c>
      <c r="L44" s="14">
        <v>13.38</v>
      </c>
      <c r="M44" s="11">
        <f t="shared" si="5"/>
        <v>142.68</v>
      </c>
      <c r="N44" s="11">
        <v>2.68</v>
      </c>
      <c r="O44" s="12">
        <v>0</v>
      </c>
      <c r="P44" s="12">
        <f t="shared" si="0"/>
        <v>2.68</v>
      </c>
      <c r="Q44" s="12">
        <v>0</v>
      </c>
      <c r="R44" s="12">
        <v>0</v>
      </c>
      <c r="S44" s="12">
        <f t="shared" si="1"/>
        <v>0</v>
      </c>
      <c r="T44" s="12">
        <v>0</v>
      </c>
      <c r="U44" s="12">
        <v>0</v>
      </c>
      <c r="V44" s="12">
        <f t="shared" si="2"/>
        <v>0</v>
      </c>
      <c r="W44" s="15"/>
      <c r="X44" s="16">
        <v>0</v>
      </c>
      <c r="Y44" s="16">
        <v>0</v>
      </c>
      <c r="Z44" s="16">
        <f t="shared" si="3"/>
        <v>0</v>
      </c>
      <c r="AA44" s="15"/>
      <c r="AB44" s="12">
        <f t="shared" si="4"/>
        <v>484.04</v>
      </c>
    </row>
    <row r="45" spans="1:28" s="20" customFormat="1">
      <c r="A45" s="5" t="s">
        <v>28</v>
      </c>
      <c r="B45" s="28" t="s">
        <v>29</v>
      </c>
      <c r="C45" s="7" t="s">
        <v>125</v>
      </c>
      <c r="D45" s="8" t="s">
        <v>126</v>
      </c>
      <c r="E45" s="30">
        <v>2</v>
      </c>
      <c r="F45" s="33" t="s">
        <v>58</v>
      </c>
      <c r="G45" s="10" t="s">
        <v>32</v>
      </c>
      <c r="H45" s="11">
        <v>0</v>
      </c>
      <c r="I45" s="12">
        <f>116.87+48.49</f>
        <v>165.36</v>
      </c>
      <c r="J45" s="13" t="s">
        <v>33</v>
      </c>
      <c r="K45" s="12">
        <v>156.06</v>
      </c>
      <c r="L45" s="14">
        <v>24.25</v>
      </c>
      <c r="M45" s="11">
        <f t="shared" si="5"/>
        <v>131.81</v>
      </c>
      <c r="N45" s="11">
        <v>2.68</v>
      </c>
      <c r="O45" s="12">
        <v>0</v>
      </c>
      <c r="P45" s="12">
        <f t="shared" si="0"/>
        <v>2.68</v>
      </c>
      <c r="Q45" s="12">
        <v>207</v>
      </c>
      <c r="R45" s="12">
        <v>72.739999999999995</v>
      </c>
      <c r="S45" s="12">
        <f t="shared" si="1"/>
        <v>134.26</v>
      </c>
      <c r="T45" s="12">
        <f>64+404.13</f>
        <v>468.13</v>
      </c>
      <c r="U45" s="12">
        <v>0</v>
      </c>
      <c r="V45" s="12">
        <f t="shared" si="2"/>
        <v>468.13</v>
      </c>
      <c r="W45" s="15" t="s">
        <v>127</v>
      </c>
      <c r="X45" s="16">
        <v>0</v>
      </c>
      <c r="Y45" s="16">
        <v>0</v>
      </c>
      <c r="Z45" s="16">
        <f t="shared" si="3"/>
        <v>0</v>
      </c>
      <c r="AA45" s="15"/>
      <c r="AB45" s="12">
        <f t="shared" si="4"/>
        <v>902.24</v>
      </c>
    </row>
    <row r="46" spans="1:28" s="20" customFormat="1">
      <c r="A46" s="5" t="s">
        <v>28</v>
      </c>
      <c r="B46" s="28" t="s">
        <v>29</v>
      </c>
      <c r="C46" s="34" t="s">
        <v>128</v>
      </c>
      <c r="D46" s="8" t="s">
        <v>129</v>
      </c>
      <c r="E46" s="8">
        <v>3</v>
      </c>
      <c r="F46" s="9" t="s">
        <v>130</v>
      </c>
      <c r="G46" s="10" t="s">
        <v>32</v>
      </c>
      <c r="H46" s="11">
        <v>0</v>
      </c>
      <c r="I46" s="12">
        <f>100.32+13.93</f>
        <v>114.25</v>
      </c>
      <c r="J46" s="13">
        <v>0</v>
      </c>
      <c r="K46" s="12">
        <v>156.06</v>
      </c>
      <c r="L46" s="14">
        <v>20.9</v>
      </c>
      <c r="M46" s="11">
        <f t="shared" si="5"/>
        <v>135.16</v>
      </c>
      <c r="N46" s="11">
        <v>2.68</v>
      </c>
      <c r="O46" s="12">
        <v>0</v>
      </c>
      <c r="P46" s="12">
        <v>2.68</v>
      </c>
      <c r="Q46" s="12">
        <v>276</v>
      </c>
      <c r="R46" s="12">
        <v>62.7</v>
      </c>
      <c r="S46" s="12">
        <f t="shared" si="1"/>
        <v>213.3</v>
      </c>
      <c r="T46" s="12">
        <v>0</v>
      </c>
      <c r="U46" s="12">
        <v>0</v>
      </c>
      <c r="V46" s="12">
        <f t="shared" si="2"/>
        <v>0</v>
      </c>
      <c r="W46" s="15"/>
      <c r="X46" s="16">
        <v>0</v>
      </c>
      <c r="Y46" s="16">
        <v>0</v>
      </c>
      <c r="Z46" s="16">
        <f t="shared" si="3"/>
        <v>0</v>
      </c>
      <c r="AA46" s="15"/>
      <c r="AB46" s="12">
        <f t="shared" si="4"/>
        <v>465.39</v>
      </c>
    </row>
    <row r="47" spans="1:28" s="36" customFormat="1">
      <c r="A47" s="5" t="s">
        <v>28</v>
      </c>
      <c r="B47" s="28" t="s">
        <v>29</v>
      </c>
      <c r="C47" s="7" t="s">
        <v>131</v>
      </c>
      <c r="D47" s="8" t="s">
        <v>132</v>
      </c>
      <c r="E47" s="30">
        <v>2</v>
      </c>
      <c r="F47" s="31" t="s">
        <v>46</v>
      </c>
      <c r="G47" s="10" t="s">
        <v>32</v>
      </c>
      <c r="H47" s="11">
        <v>0</v>
      </c>
      <c r="I47" s="35">
        <f>181.56</f>
        <v>181.56</v>
      </c>
      <c r="J47" s="13" t="s">
        <v>33</v>
      </c>
      <c r="K47" s="12">
        <v>156.06</v>
      </c>
      <c r="L47" s="14">
        <v>2.4300000000000002</v>
      </c>
      <c r="M47" s="11">
        <f t="shared" si="5"/>
        <v>153.63</v>
      </c>
      <c r="N47" s="11">
        <v>5.36</v>
      </c>
      <c r="O47" s="12">
        <v>0</v>
      </c>
      <c r="P47" s="12">
        <f t="shared" si="0"/>
        <v>5.36</v>
      </c>
      <c r="Q47" s="12">
        <v>0</v>
      </c>
      <c r="R47" s="12">
        <v>0</v>
      </c>
      <c r="S47" s="12">
        <f t="shared" si="1"/>
        <v>0</v>
      </c>
      <c r="T47" s="12">
        <v>0</v>
      </c>
      <c r="U47" s="12">
        <v>0</v>
      </c>
      <c r="V47" s="12">
        <f t="shared" si="2"/>
        <v>0</v>
      </c>
      <c r="W47" s="15"/>
      <c r="X47" s="16">
        <v>0</v>
      </c>
      <c r="Y47" s="16">
        <v>0</v>
      </c>
      <c r="Z47" s="16">
        <f t="shared" si="3"/>
        <v>0</v>
      </c>
      <c r="AA47" s="15"/>
      <c r="AB47" s="12">
        <f t="shared" si="4"/>
        <v>340.55</v>
      </c>
    </row>
    <row r="48" spans="1:28" s="37" customFormat="1">
      <c r="A48" s="5" t="s">
        <v>28</v>
      </c>
      <c r="B48" s="28" t="s">
        <v>29</v>
      </c>
      <c r="C48" s="7" t="s">
        <v>133</v>
      </c>
      <c r="D48" s="8" t="s">
        <v>134</v>
      </c>
      <c r="E48" s="30">
        <v>2</v>
      </c>
      <c r="F48" s="31" t="s">
        <v>135</v>
      </c>
      <c r="G48" s="10" t="s">
        <v>32</v>
      </c>
      <c r="H48" s="11">
        <v>0</v>
      </c>
      <c r="I48" s="12">
        <f>255.84</f>
        <v>255.84</v>
      </c>
      <c r="J48" s="13" t="s">
        <v>33</v>
      </c>
      <c r="K48" s="12">
        <v>156.06</v>
      </c>
      <c r="L48" s="14">
        <v>0</v>
      </c>
      <c r="M48" s="11">
        <f t="shared" si="5"/>
        <v>156.06</v>
      </c>
      <c r="N48" s="11">
        <v>4.3600000000000003</v>
      </c>
      <c r="O48" s="12">
        <v>0</v>
      </c>
      <c r="P48" s="12">
        <f t="shared" si="0"/>
        <v>4.3600000000000003</v>
      </c>
      <c r="Q48" s="12">
        <v>0</v>
      </c>
      <c r="R48" s="12">
        <v>0</v>
      </c>
      <c r="S48" s="12">
        <f t="shared" si="1"/>
        <v>0</v>
      </c>
      <c r="T48" s="12">
        <v>0</v>
      </c>
      <c r="U48" s="12">
        <v>0</v>
      </c>
      <c r="V48" s="12">
        <f t="shared" si="2"/>
        <v>0</v>
      </c>
      <c r="W48" s="15"/>
      <c r="X48" s="16">
        <v>0</v>
      </c>
      <c r="Y48" s="16">
        <v>0</v>
      </c>
      <c r="Z48" s="16">
        <f t="shared" si="3"/>
        <v>0</v>
      </c>
      <c r="AA48" s="15"/>
      <c r="AB48" s="12">
        <f t="shared" si="4"/>
        <v>416.26</v>
      </c>
    </row>
    <row r="49" spans="1:28" s="37" customFormat="1">
      <c r="A49" s="5" t="s">
        <v>28</v>
      </c>
      <c r="B49" s="28" t="s">
        <v>29</v>
      </c>
      <c r="C49" s="7" t="s">
        <v>136</v>
      </c>
      <c r="D49" s="8" t="s">
        <v>137</v>
      </c>
      <c r="E49" s="30">
        <v>3</v>
      </c>
      <c r="F49" s="38" t="s">
        <v>119</v>
      </c>
      <c r="G49" s="10" t="s">
        <v>32</v>
      </c>
      <c r="H49" s="11">
        <v>0</v>
      </c>
      <c r="I49" s="12">
        <f>430.72+207</f>
        <v>637.72</v>
      </c>
      <c r="J49" s="13" t="s">
        <v>33</v>
      </c>
      <c r="K49" s="12">
        <v>156.06</v>
      </c>
      <c r="L49" s="14">
        <v>0</v>
      </c>
      <c r="M49" s="11">
        <f t="shared" si="5"/>
        <v>156.06</v>
      </c>
      <c r="N49" s="11">
        <v>2.68</v>
      </c>
      <c r="O49" s="12">
        <v>0</v>
      </c>
      <c r="P49" s="12">
        <f t="shared" si="0"/>
        <v>2.68</v>
      </c>
      <c r="Q49" s="12">
        <v>0</v>
      </c>
      <c r="R49" s="12">
        <v>0</v>
      </c>
      <c r="S49" s="12">
        <f t="shared" si="1"/>
        <v>0</v>
      </c>
      <c r="T49" s="12">
        <v>0</v>
      </c>
      <c r="U49" s="12">
        <v>0</v>
      </c>
      <c r="V49" s="12">
        <f t="shared" si="2"/>
        <v>0</v>
      </c>
      <c r="W49" s="15"/>
      <c r="X49" s="16">
        <v>0</v>
      </c>
      <c r="Y49" s="16">
        <v>0</v>
      </c>
      <c r="Z49" s="16">
        <f t="shared" si="3"/>
        <v>0</v>
      </c>
      <c r="AA49" s="15"/>
      <c r="AB49" s="12">
        <f t="shared" si="4"/>
        <v>796.45999999999992</v>
      </c>
    </row>
    <row r="50" spans="1:28" s="37" customFormat="1">
      <c r="A50" s="5" t="s">
        <v>28</v>
      </c>
      <c r="B50" s="28" t="s">
        <v>29</v>
      </c>
      <c r="C50" s="34" t="s">
        <v>138</v>
      </c>
      <c r="D50" s="8" t="s">
        <v>139</v>
      </c>
      <c r="E50" s="8">
        <v>3</v>
      </c>
      <c r="F50" s="9" t="s">
        <v>38</v>
      </c>
      <c r="G50" s="10" t="s">
        <v>32</v>
      </c>
      <c r="H50" s="11">
        <v>0</v>
      </c>
      <c r="I50" s="12">
        <f>101.19+14.07</f>
        <v>115.25999999999999</v>
      </c>
      <c r="J50" s="13">
        <v>0</v>
      </c>
      <c r="K50" s="12">
        <v>156.06</v>
      </c>
      <c r="L50" s="14">
        <v>21.12</v>
      </c>
      <c r="M50" s="11">
        <f t="shared" si="5"/>
        <v>134.94</v>
      </c>
      <c r="N50" s="11">
        <v>2.68</v>
      </c>
      <c r="O50" s="12">
        <v>0</v>
      </c>
      <c r="P50" s="12">
        <f t="shared" si="0"/>
        <v>2.68</v>
      </c>
      <c r="Q50" s="12">
        <v>0</v>
      </c>
      <c r="R50" s="12">
        <v>0</v>
      </c>
      <c r="S50" s="12">
        <f t="shared" si="1"/>
        <v>0</v>
      </c>
      <c r="T50" s="12">
        <v>64</v>
      </c>
      <c r="U50" s="12">
        <v>0</v>
      </c>
      <c r="V50" s="12">
        <f t="shared" si="2"/>
        <v>64</v>
      </c>
      <c r="W50" s="15" t="s">
        <v>71</v>
      </c>
      <c r="X50" s="16">
        <v>0</v>
      </c>
      <c r="Y50" s="16">
        <v>0</v>
      </c>
      <c r="Z50" s="16">
        <f t="shared" si="3"/>
        <v>0</v>
      </c>
      <c r="AA50" s="15"/>
      <c r="AB50" s="12">
        <f t="shared" si="4"/>
        <v>316.88</v>
      </c>
    </row>
    <row r="51" spans="1:28" s="37" customFormat="1">
      <c r="A51" s="5" t="s">
        <v>28</v>
      </c>
      <c r="B51" s="28" t="s">
        <v>29</v>
      </c>
      <c r="C51" s="7">
        <v>39960544400</v>
      </c>
      <c r="D51" s="22" t="s">
        <v>140</v>
      </c>
      <c r="E51" s="30">
        <v>3</v>
      </c>
      <c r="F51" s="31" t="s">
        <v>46</v>
      </c>
      <c r="G51" s="10" t="s">
        <v>32</v>
      </c>
      <c r="H51" s="11">
        <v>0</v>
      </c>
      <c r="I51" s="12">
        <f>138.76+50.45</f>
        <v>189.20999999999998</v>
      </c>
      <c r="J51" s="13" t="s">
        <v>33</v>
      </c>
      <c r="K51" s="12">
        <v>156.06</v>
      </c>
      <c r="L51" s="14">
        <v>25.23</v>
      </c>
      <c r="M51" s="11">
        <f>K51-L51</f>
        <v>130.83000000000001</v>
      </c>
      <c r="N51" s="11">
        <v>2.68</v>
      </c>
      <c r="O51" s="12">
        <v>0</v>
      </c>
      <c r="P51" s="12">
        <f t="shared" si="0"/>
        <v>2.68</v>
      </c>
      <c r="Q51" s="12">
        <v>141</v>
      </c>
      <c r="R51" s="12">
        <v>75.680000000000007</v>
      </c>
      <c r="S51" s="12">
        <f t="shared" si="1"/>
        <v>65.319999999999993</v>
      </c>
      <c r="T51" s="12">
        <v>64</v>
      </c>
      <c r="U51" s="12">
        <v>0</v>
      </c>
      <c r="V51" s="12">
        <f t="shared" si="2"/>
        <v>64</v>
      </c>
      <c r="W51" s="15" t="s">
        <v>71</v>
      </c>
      <c r="X51" s="16">
        <v>168.18</v>
      </c>
      <c r="Y51" s="16">
        <v>0</v>
      </c>
      <c r="Z51" s="16">
        <f t="shared" si="3"/>
        <v>168.18</v>
      </c>
      <c r="AA51" s="15" t="s">
        <v>83</v>
      </c>
      <c r="AB51" s="12">
        <f t="shared" si="4"/>
        <v>620.22</v>
      </c>
    </row>
    <row r="52" spans="1:28" s="37" customFormat="1">
      <c r="A52" s="5" t="s">
        <v>28</v>
      </c>
      <c r="B52" s="28" t="s">
        <v>29</v>
      </c>
      <c r="C52" s="7" t="s">
        <v>141</v>
      </c>
      <c r="D52" s="8" t="s">
        <v>142</v>
      </c>
      <c r="E52" s="30">
        <v>2</v>
      </c>
      <c r="F52" s="31" t="s">
        <v>31</v>
      </c>
      <c r="G52" s="10" t="s">
        <v>32</v>
      </c>
      <c r="H52" s="11">
        <v>0</v>
      </c>
      <c r="I52" s="12">
        <f>255.84</f>
        <v>255.84</v>
      </c>
      <c r="J52" s="13" t="s">
        <v>33</v>
      </c>
      <c r="K52" s="12">
        <v>156.06</v>
      </c>
      <c r="L52" s="14">
        <v>0</v>
      </c>
      <c r="M52" s="11">
        <f t="shared" ref="M52:M117" si="6">K52-L52</f>
        <v>156.06</v>
      </c>
      <c r="N52" s="11">
        <v>4.3600000000000003</v>
      </c>
      <c r="O52" s="12">
        <v>0</v>
      </c>
      <c r="P52" s="12">
        <f t="shared" si="0"/>
        <v>4.3600000000000003</v>
      </c>
      <c r="Q52" s="12">
        <v>0</v>
      </c>
      <c r="R52" s="12">
        <v>0</v>
      </c>
      <c r="S52" s="12">
        <f t="shared" si="1"/>
        <v>0</v>
      </c>
      <c r="T52" s="12">
        <v>0</v>
      </c>
      <c r="U52" s="12">
        <v>0</v>
      </c>
      <c r="V52" s="12">
        <f t="shared" si="2"/>
        <v>0</v>
      </c>
      <c r="W52" s="15"/>
      <c r="X52" s="16">
        <v>0</v>
      </c>
      <c r="Y52" s="16">
        <v>0</v>
      </c>
      <c r="Z52" s="16">
        <f t="shared" si="3"/>
        <v>0</v>
      </c>
      <c r="AA52" s="15"/>
      <c r="AB52" s="12">
        <f t="shared" si="4"/>
        <v>416.26</v>
      </c>
    </row>
    <row r="53" spans="1:28" s="37" customFormat="1">
      <c r="A53" s="5" t="s">
        <v>28</v>
      </c>
      <c r="B53" s="28" t="s">
        <v>29</v>
      </c>
      <c r="C53" s="7" t="s">
        <v>143</v>
      </c>
      <c r="D53" s="8" t="s">
        <v>144</v>
      </c>
      <c r="E53" s="30">
        <v>3</v>
      </c>
      <c r="F53" s="31" t="s">
        <v>36</v>
      </c>
      <c r="G53" s="10" t="s">
        <v>32</v>
      </c>
      <c r="H53" s="11">
        <v>0</v>
      </c>
      <c r="I53" s="12">
        <f>82.6+48.49</f>
        <v>131.09</v>
      </c>
      <c r="J53" s="13" t="s">
        <v>33</v>
      </c>
      <c r="K53" s="12">
        <v>156.06</v>
      </c>
      <c r="L53" s="14">
        <v>24.25</v>
      </c>
      <c r="M53" s="11">
        <f t="shared" si="6"/>
        <v>131.81</v>
      </c>
      <c r="N53" s="11">
        <v>2.68</v>
      </c>
      <c r="O53" s="12">
        <v>0</v>
      </c>
      <c r="P53" s="12">
        <f t="shared" si="0"/>
        <v>2.68</v>
      </c>
      <c r="Q53" s="12">
        <v>138</v>
      </c>
      <c r="R53" s="12">
        <v>72.739999999999995</v>
      </c>
      <c r="S53" s="12">
        <f t="shared" si="1"/>
        <v>65.260000000000005</v>
      </c>
      <c r="T53" s="12">
        <v>0</v>
      </c>
      <c r="U53" s="12">
        <v>0</v>
      </c>
      <c r="V53" s="12">
        <f t="shared" si="2"/>
        <v>0</v>
      </c>
      <c r="W53" s="15"/>
      <c r="X53" s="16">
        <v>606.20000000000005</v>
      </c>
      <c r="Y53" s="16">
        <v>0</v>
      </c>
      <c r="Z53" s="16">
        <f t="shared" si="3"/>
        <v>606.20000000000005</v>
      </c>
      <c r="AA53" s="15" t="s">
        <v>83</v>
      </c>
      <c r="AB53" s="12">
        <f t="shared" si="4"/>
        <v>937.04</v>
      </c>
    </row>
    <row r="54" spans="1:28" s="37" customFormat="1">
      <c r="A54" s="5" t="s">
        <v>28</v>
      </c>
      <c r="B54" s="28" t="s">
        <v>29</v>
      </c>
      <c r="C54" s="7" t="s">
        <v>145</v>
      </c>
      <c r="D54" s="8" t="s">
        <v>146</v>
      </c>
      <c r="E54" s="30">
        <v>3</v>
      </c>
      <c r="F54" s="39" t="s">
        <v>86</v>
      </c>
      <c r="G54" s="10" t="s">
        <v>32</v>
      </c>
      <c r="H54" s="11">
        <v>0</v>
      </c>
      <c r="I54" s="12">
        <f>83.6+41.8</f>
        <v>125.39999999999999</v>
      </c>
      <c r="J54" s="13" t="s">
        <v>33</v>
      </c>
      <c r="K54" s="12">
        <v>156.06</v>
      </c>
      <c r="L54" s="14">
        <v>0</v>
      </c>
      <c r="M54" s="11">
        <f t="shared" si="6"/>
        <v>156.06</v>
      </c>
      <c r="N54" s="11">
        <v>2.68</v>
      </c>
      <c r="O54" s="12">
        <v>0</v>
      </c>
      <c r="P54" s="12">
        <f t="shared" si="0"/>
        <v>2.68</v>
      </c>
      <c r="Q54" s="12">
        <v>0</v>
      </c>
      <c r="R54" s="12">
        <v>0</v>
      </c>
      <c r="S54" s="12">
        <f t="shared" si="1"/>
        <v>0</v>
      </c>
      <c r="T54" s="12">
        <v>0</v>
      </c>
      <c r="U54" s="12">
        <v>0</v>
      </c>
      <c r="V54" s="12">
        <f t="shared" si="2"/>
        <v>0</v>
      </c>
      <c r="W54" s="15"/>
      <c r="X54" s="16">
        <v>0</v>
      </c>
      <c r="Y54" s="16">
        <v>0</v>
      </c>
      <c r="Z54" s="16">
        <f t="shared" si="3"/>
        <v>0</v>
      </c>
      <c r="AA54" s="15"/>
      <c r="AB54" s="12">
        <f t="shared" si="4"/>
        <v>284.14</v>
      </c>
    </row>
    <row r="55" spans="1:28" s="37" customFormat="1">
      <c r="A55" s="5" t="s">
        <v>28</v>
      </c>
      <c r="B55" s="28" t="s">
        <v>29</v>
      </c>
      <c r="C55" s="7" t="s">
        <v>147</v>
      </c>
      <c r="D55" s="8" t="s">
        <v>148</v>
      </c>
      <c r="E55" s="30">
        <v>3</v>
      </c>
      <c r="F55" s="9" t="s">
        <v>149</v>
      </c>
      <c r="G55" s="10" t="s">
        <v>32</v>
      </c>
      <c r="H55" s="11">
        <v>0</v>
      </c>
      <c r="I55" s="12">
        <f>98.32+6.96</f>
        <v>105.27999999999999</v>
      </c>
      <c r="J55" s="13">
        <v>0</v>
      </c>
      <c r="K55" s="12">
        <v>156.06</v>
      </c>
      <c r="L55" s="14">
        <v>20.9</v>
      </c>
      <c r="M55" s="11">
        <f t="shared" si="6"/>
        <v>135.16</v>
      </c>
      <c r="N55" s="11">
        <v>2.68</v>
      </c>
      <c r="O55" s="12">
        <v>0</v>
      </c>
      <c r="P55" s="12">
        <v>2.68</v>
      </c>
      <c r="Q55" s="12">
        <v>244.5</v>
      </c>
      <c r="R55" s="12">
        <v>60.61</v>
      </c>
      <c r="S55" s="12">
        <v>60.61</v>
      </c>
      <c r="T55" s="12">
        <v>0</v>
      </c>
      <c r="U55" s="12">
        <v>0</v>
      </c>
      <c r="V55" s="12">
        <v>0</v>
      </c>
      <c r="W55" s="15"/>
      <c r="X55" s="16">
        <v>0</v>
      </c>
      <c r="Y55" s="16">
        <v>0</v>
      </c>
      <c r="Z55" s="16">
        <v>0</v>
      </c>
      <c r="AA55" s="15"/>
      <c r="AB55" s="12">
        <v>0</v>
      </c>
    </row>
    <row r="56" spans="1:28" s="37" customFormat="1">
      <c r="A56" s="5" t="s">
        <v>28</v>
      </c>
      <c r="B56" s="28" t="s">
        <v>29</v>
      </c>
      <c r="C56" s="7" t="s">
        <v>150</v>
      </c>
      <c r="D56" s="8" t="s">
        <v>151</v>
      </c>
      <c r="E56" s="30">
        <v>2</v>
      </c>
      <c r="F56" s="39" t="s">
        <v>152</v>
      </c>
      <c r="G56" s="10" t="s">
        <v>32</v>
      </c>
      <c r="H56" s="11">
        <v>0</v>
      </c>
      <c r="I56" s="12">
        <f>334.16</f>
        <v>334.16</v>
      </c>
      <c r="J56" s="13" t="s">
        <v>33</v>
      </c>
      <c r="K56" s="12">
        <v>156.06</v>
      </c>
      <c r="L56" s="14">
        <v>13.38</v>
      </c>
      <c r="M56" s="11">
        <f t="shared" si="6"/>
        <v>142.68</v>
      </c>
      <c r="N56" s="11">
        <v>2.68</v>
      </c>
      <c r="O56" s="12">
        <v>0</v>
      </c>
      <c r="P56" s="12">
        <f t="shared" si="0"/>
        <v>2.68</v>
      </c>
      <c r="Q56" s="12">
        <v>0</v>
      </c>
      <c r="R56" s="12">
        <v>0</v>
      </c>
      <c r="S56" s="12">
        <f t="shared" si="1"/>
        <v>0</v>
      </c>
      <c r="T56" s="12">
        <v>0</v>
      </c>
      <c r="U56" s="12">
        <v>0</v>
      </c>
      <c r="V56" s="12">
        <f t="shared" si="2"/>
        <v>0</v>
      </c>
      <c r="W56" s="15"/>
      <c r="X56" s="16">
        <v>0</v>
      </c>
      <c r="Y56" s="16">
        <v>0</v>
      </c>
      <c r="Z56" s="16">
        <f t="shared" si="3"/>
        <v>0</v>
      </c>
      <c r="AA56" s="15"/>
      <c r="AB56" s="12">
        <f t="shared" si="4"/>
        <v>479.52000000000004</v>
      </c>
    </row>
    <row r="57" spans="1:28" s="37" customFormat="1">
      <c r="A57" s="5" t="s">
        <v>28</v>
      </c>
      <c r="B57" s="28" t="s">
        <v>29</v>
      </c>
      <c r="C57" s="10" t="s">
        <v>153</v>
      </c>
      <c r="D57" s="8" t="s">
        <v>154</v>
      </c>
      <c r="E57" s="30">
        <v>2</v>
      </c>
      <c r="F57" s="9" t="s">
        <v>31</v>
      </c>
      <c r="G57" s="10" t="s">
        <v>32</v>
      </c>
      <c r="H57" s="11">
        <v>0</v>
      </c>
      <c r="I57" s="12">
        <v>0</v>
      </c>
      <c r="J57" s="13">
        <v>60.32</v>
      </c>
      <c r="K57" s="12">
        <v>156.06</v>
      </c>
      <c r="L57" s="14">
        <v>24.25</v>
      </c>
      <c r="M57" s="11">
        <f t="shared" si="6"/>
        <v>131.81</v>
      </c>
      <c r="N57" s="11">
        <v>2.68</v>
      </c>
      <c r="O57" s="12">
        <v>0</v>
      </c>
      <c r="P57" s="12">
        <v>2.68</v>
      </c>
      <c r="Q57" s="12">
        <v>0</v>
      </c>
      <c r="R57" s="12">
        <v>0</v>
      </c>
      <c r="S57" s="12">
        <f t="shared" si="1"/>
        <v>0</v>
      </c>
      <c r="T57" s="12">
        <v>0</v>
      </c>
      <c r="U57" s="12">
        <v>0</v>
      </c>
      <c r="V57" s="12">
        <v>0</v>
      </c>
      <c r="W57" s="15"/>
      <c r="X57" s="16">
        <v>0</v>
      </c>
      <c r="Y57" s="16">
        <v>0</v>
      </c>
      <c r="Z57" s="16">
        <f t="shared" si="3"/>
        <v>0</v>
      </c>
      <c r="AA57" s="15"/>
      <c r="AB57" s="12">
        <v>0</v>
      </c>
    </row>
    <row r="58" spans="1:28" s="37" customFormat="1">
      <c r="A58" s="5" t="s">
        <v>28</v>
      </c>
      <c r="B58" s="28" t="s">
        <v>29</v>
      </c>
      <c r="C58" s="10" t="s">
        <v>155</v>
      </c>
      <c r="D58" s="8" t="s">
        <v>156</v>
      </c>
      <c r="E58" s="40">
        <v>3</v>
      </c>
      <c r="F58" s="9" t="s">
        <v>70</v>
      </c>
      <c r="G58" s="10" t="s">
        <v>32</v>
      </c>
      <c r="H58" s="11">
        <v>0</v>
      </c>
      <c r="I58" s="12">
        <v>0</v>
      </c>
      <c r="J58" s="13">
        <v>0</v>
      </c>
      <c r="K58" s="12">
        <v>156.06</v>
      </c>
      <c r="L58" s="14">
        <v>24.25</v>
      </c>
      <c r="M58" s="11">
        <f t="shared" si="6"/>
        <v>131.81</v>
      </c>
      <c r="N58" s="11">
        <v>0</v>
      </c>
      <c r="O58" s="12">
        <v>0</v>
      </c>
      <c r="P58" s="12">
        <f t="shared" si="0"/>
        <v>0</v>
      </c>
      <c r="Q58" s="12">
        <v>0</v>
      </c>
      <c r="R58" s="12">
        <v>0</v>
      </c>
      <c r="S58" s="12">
        <f t="shared" si="1"/>
        <v>0</v>
      </c>
      <c r="T58" s="12">
        <v>0</v>
      </c>
      <c r="U58" s="12">
        <v>0</v>
      </c>
      <c r="V58" s="12">
        <f t="shared" si="2"/>
        <v>0</v>
      </c>
      <c r="W58" s="15"/>
      <c r="X58" s="16">
        <v>0</v>
      </c>
      <c r="Y58" s="16">
        <v>0</v>
      </c>
      <c r="Z58" s="16">
        <f t="shared" si="3"/>
        <v>0</v>
      </c>
      <c r="AA58" s="15"/>
      <c r="AB58" s="11">
        <f t="shared" si="4"/>
        <v>131.81</v>
      </c>
    </row>
    <row r="59" spans="1:28" s="37" customFormat="1">
      <c r="A59" s="5" t="s">
        <v>28</v>
      </c>
      <c r="B59" s="28" t="s">
        <v>29</v>
      </c>
      <c r="C59" s="7" t="s">
        <v>157</v>
      </c>
      <c r="D59" s="8" t="s">
        <v>158</v>
      </c>
      <c r="E59" s="30">
        <v>3</v>
      </c>
      <c r="F59" s="39" t="s">
        <v>90</v>
      </c>
      <c r="G59" s="10" t="s">
        <v>32</v>
      </c>
      <c r="H59" s="11">
        <v>0</v>
      </c>
      <c r="I59" s="12">
        <f>140.92+62.1</f>
        <v>203.01999999999998</v>
      </c>
      <c r="J59" s="13" t="s">
        <v>33</v>
      </c>
      <c r="K59" s="12">
        <v>156.06</v>
      </c>
      <c r="L59" s="14">
        <v>31.05</v>
      </c>
      <c r="M59" s="11">
        <f t="shared" si="6"/>
        <v>125.01</v>
      </c>
      <c r="N59" s="11">
        <v>2.68</v>
      </c>
      <c r="O59" s="12">
        <v>0</v>
      </c>
      <c r="P59" s="12">
        <f t="shared" si="0"/>
        <v>2.68</v>
      </c>
      <c r="Q59" s="12">
        <v>0</v>
      </c>
      <c r="R59" s="12">
        <v>0</v>
      </c>
      <c r="S59" s="12">
        <f t="shared" si="1"/>
        <v>0</v>
      </c>
      <c r="T59" s="12">
        <v>128</v>
      </c>
      <c r="U59" s="12">
        <v>0</v>
      </c>
      <c r="V59" s="12">
        <f t="shared" si="2"/>
        <v>128</v>
      </c>
      <c r="W59" s="15" t="s">
        <v>71</v>
      </c>
      <c r="X59" s="16">
        <v>0</v>
      </c>
      <c r="Y59" s="16">
        <v>0</v>
      </c>
      <c r="Z59" s="16">
        <f t="shared" si="3"/>
        <v>0</v>
      </c>
      <c r="AA59" s="15"/>
      <c r="AB59" s="12">
        <f t="shared" si="4"/>
        <v>458.71</v>
      </c>
    </row>
    <row r="60" spans="1:28" s="36" customFormat="1">
      <c r="A60" s="5" t="s">
        <v>28</v>
      </c>
      <c r="B60" s="28" t="s">
        <v>29</v>
      </c>
      <c r="C60" s="21" t="s">
        <v>159</v>
      </c>
      <c r="D60" s="8" t="s">
        <v>160</v>
      </c>
      <c r="E60" s="41">
        <v>2</v>
      </c>
      <c r="F60" s="31" t="s">
        <v>70</v>
      </c>
      <c r="G60" s="10" t="s">
        <v>32</v>
      </c>
      <c r="H60" s="11">
        <v>0</v>
      </c>
      <c r="I60" s="12">
        <f>168.08+75.68</f>
        <v>243.76000000000002</v>
      </c>
      <c r="J60" s="13" t="s">
        <v>33</v>
      </c>
      <c r="K60" s="12">
        <v>156.06</v>
      </c>
      <c r="L60" s="14">
        <v>37.840000000000003</v>
      </c>
      <c r="M60" s="11">
        <f t="shared" si="6"/>
        <v>118.22</v>
      </c>
      <c r="N60" s="11">
        <v>2.68</v>
      </c>
      <c r="O60" s="12">
        <v>0</v>
      </c>
      <c r="P60" s="12">
        <f t="shared" si="0"/>
        <v>2.68</v>
      </c>
      <c r="Q60" s="12">
        <v>0</v>
      </c>
      <c r="R60" s="12">
        <v>0</v>
      </c>
      <c r="S60" s="12">
        <f t="shared" si="1"/>
        <v>0</v>
      </c>
      <c r="T60" s="12">
        <v>64</v>
      </c>
      <c r="U60" s="12">
        <v>0</v>
      </c>
      <c r="V60" s="12">
        <f t="shared" si="2"/>
        <v>64</v>
      </c>
      <c r="W60" s="15"/>
      <c r="X60" s="16">
        <v>0</v>
      </c>
      <c r="Y60" s="16">
        <v>0</v>
      </c>
      <c r="Z60" s="16">
        <f t="shared" si="3"/>
        <v>0</v>
      </c>
      <c r="AA60" s="15"/>
      <c r="AB60" s="12">
        <f t="shared" si="4"/>
        <v>428.66</v>
      </c>
    </row>
    <row r="61" spans="1:28" s="37" customFormat="1">
      <c r="A61" s="5" t="s">
        <v>28</v>
      </c>
      <c r="B61" s="28" t="s">
        <v>29</v>
      </c>
      <c r="C61" s="7">
        <v>28651282885</v>
      </c>
      <c r="D61" s="8" t="s">
        <v>161</v>
      </c>
      <c r="E61" s="30">
        <v>3</v>
      </c>
      <c r="F61" s="39" t="s">
        <v>109</v>
      </c>
      <c r="G61" s="10" t="s">
        <v>32</v>
      </c>
      <c r="H61" s="11">
        <v>0</v>
      </c>
      <c r="I61" s="12">
        <f>100.32+41.8</f>
        <v>142.12</v>
      </c>
      <c r="J61" s="13" t="s">
        <v>33</v>
      </c>
      <c r="K61" s="12">
        <v>156.06</v>
      </c>
      <c r="L61" s="14">
        <v>20.9</v>
      </c>
      <c r="M61" s="11">
        <f t="shared" si="6"/>
        <v>135.16</v>
      </c>
      <c r="N61" s="11">
        <v>2.68</v>
      </c>
      <c r="O61" s="12">
        <v>0</v>
      </c>
      <c r="P61" s="12">
        <f t="shared" si="0"/>
        <v>2.68</v>
      </c>
      <c r="Q61" s="12">
        <v>0</v>
      </c>
      <c r="R61" s="12">
        <v>0</v>
      </c>
      <c r="S61" s="12">
        <f t="shared" si="1"/>
        <v>0</v>
      </c>
      <c r="T61" s="12">
        <v>64</v>
      </c>
      <c r="U61" s="12">
        <v>0</v>
      </c>
      <c r="V61" s="12">
        <f t="shared" si="2"/>
        <v>64</v>
      </c>
      <c r="W61" s="15" t="s">
        <v>71</v>
      </c>
      <c r="X61" s="16">
        <v>0</v>
      </c>
      <c r="Y61" s="16">
        <v>0</v>
      </c>
      <c r="Z61" s="16">
        <f t="shared" si="3"/>
        <v>0</v>
      </c>
      <c r="AA61" s="15"/>
      <c r="AB61" s="12">
        <f t="shared" si="4"/>
        <v>343.96</v>
      </c>
    </row>
    <row r="62" spans="1:28" s="19" customFormat="1">
      <c r="A62" s="5" t="s">
        <v>28</v>
      </c>
      <c r="B62" s="28" t="s">
        <v>29</v>
      </c>
      <c r="C62" s="7">
        <v>92120482420</v>
      </c>
      <c r="D62" s="8" t="s">
        <v>162</v>
      </c>
      <c r="E62" s="30">
        <v>3</v>
      </c>
      <c r="F62" s="31" t="s">
        <v>31</v>
      </c>
      <c r="G62" s="10" t="s">
        <v>32</v>
      </c>
      <c r="H62" s="11">
        <v>0</v>
      </c>
      <c r="I62" s="12">
        <f>112.88+41.8</f>
        <v>154.68</v>
      </c>
      <c r="J62" s="13" t="s">
        <v>33</v>
      </c>
      <c r="K62" s="12">
        <v>156.06</v>
      </c>
      <c r="L62" s="14">
        <v>20.9</v>
      </c>
      <c r="M62" s="11">
        <f t="shared" si="6"/>
        <v>135.16</v>
      </c>
      <c r="N62" s="11">
        <v>2.68</v>
      </c>
      <c r="O62" s="12">
        <v>0</v>
      </c>
      <c r="P62" s="12">
        <f t="shared" si="0"/>
        <v>2.68</v>
      </c>
      <c r="Q62" s="12">
        <v>141</v>
      </c>
      <c r="R62" s="12">
        <v>41.8</v>
      </c>
      <c r="S62" s="12">
        <f t="shared" si="1"/>
        <v>99.2</v>
      </c>
      <c r="T62" s="12">
        <v>104.5</v>
      </c>
      <c r="U62" s="12">
        <v>0</v>
      </c>
      <c r="V62" s="12">
        <f t="shared" si="2"/>
        <v>104.5</v>
      </c>
      <c r="W62" s="15"/>
      <c r="X62" s="16">
        <v>0</v>
      </c>
      <c r="Y62" s="16">
        <v>0</v>
      </c>
      <c r="Z62" s="16">
        <f t="shared" si="3"/>
        <v>0</v>
      </c>
      <c r="AA62" s="15"/>
      <c r="AB62" s="12">
        <f t="shared" si="4"/>
        <v>496.22</v>
      </c>
    </row>
    <row r="63" spans="1:28" s="19" customFormat="1">
      <c r="A63" s="5" t="s">
        <v>28</v>
      </c>
      <c r="B63" s="28" t="s">
        <v>29</v>
      </c>
      <c r="C63" s="7" t="s">
        <v>163</v>
      </c>
      <c r="D63" s="8" t="s">
        <v>164</v>
      </c>
      <c r="E63" s="30">
        <v>2</v>
      </c>
      <c r="F63" s="31" t="s">
        <v>31</v>
      </c>
      <c r="G63" s="10" t="s">
        <v>32</v>
      </c>
      <c r="H63" s="11">
        <v>0</v>
      </c>
      <c r="I63" s="12">
        <v>0</v>
      </c>
      <c r="J63" s="13" t="s">
        <v>33</v>
      </c>
      <c r="K63" s="12">
        <v>156.06</v>
      </c>
      <c r="L63" s="14">
        <v>0</v>
      </c>
      <c r="M63" s="11">
        <f t="shared" si="6"/>
        <v>156.06</v>
      </c>
      <c r="N63" s="11">
        <v>2.68</v>
      </c>
      <c r="O63" s="12">
        <v>0</v>
      </c>
      <c r="P63" s="12">
        <f t="shared" si="0"/>
        <v>2.68</v>
      </c>
      <c r="Q63" s="12">
        <v>0</v>
      </c>
      <c r="R63" s="12">
        <v>0</v>
      </c>
      <c r="S63" s="12">
        <f t="shared" si="1"/>
        <v>0</v>
      </c>
      <c r="T63" s="12">
        <v>0</v>
      </c>
      <c r="U63" s="12">
        <v>0</v>
      </c>
      <c r="V63" s="12">
        <f t="shared" si="2"/>
        <v>0</v>
      </c>
      <c r="W63" s="15"/>
      <c r="X63" s="16">
        <v>0</v>
      </c>
      <c r="Y63" s="16">
        <v>0</v>
      </c>
      <c r="Z63" s="16">
        <f t="shared" si="3"/>
        <v>0</v>
      </c>
      <c r="AA63" s="15"/>
      <c r="AB63" s="12">
        <f t="shared" si="4"/>
        <v>158.74</v>
      </c>
    </row>
    <row r="64" spans="1:28" s="19" customFormat="1">
      <c r="A64" s="5" t="s">
        <v>28</v>
      </c>
      <c r="B64" s="28" t="s">
        <v>29</v>
      </c>
      <c r="C64" s="10" t="s">
        <v>153</v>
      </c>
      <c r="D64" s="8" t="s">
        <v>165</v>
      </c>
      <c r="E64" s="30">
        <v>2</v>
      </c>
      <c r="F64" s="9" t="s">
        <v>58</v>
      </c>
      <c r="G64" s="10" t="s">
        <v>32</v>
      </c>
      <c r="H64" s="11">
        <v>0</v>
      </c>
      <c r="I64" s="12">
        <v>0</v>
      </c>
      <c r="J64" s="13">
        <v>94.52</v>
      </c>
      <c r="K64" s="12">
        <v>156.06</v>
      </c>
      <c r="L64" s="14">
        <v>2.4300000000000002</v>
      </c>
      <c r="M64" s="11">
        <f t="shared" si="6"/>
        <v>153.63</v>
      </c>
      <c r="N64" s="11">
        <v>2.68</v>
      </c>
      <c r="O64" s="12">
        <v>0</v>
      </c>
      <c r="P64" s="12">
        <f t="shared" si="0"/>
        <v>2.68</v>
      </c>
      <c r="Q64" s="12">
        <v>0</v>
      </c>
      <c r="R64" s="12">
        <v>0</v>
      </c>
      <c r="S64" s="12">
        <f t="shared" si="1"/>
        <v>0</v>
      </c>
      <c r="T64" s="12">
        <v>0</v>
      </c>
      <c r="U64" s="12">
        <v>0</v>
      </c>
      <c r="V64" s="12">
        <f t="shared" si="2"/>
        <v>0</v>
      </c>
      <c r="W64" s="15"/>
      <c r="X64" s="16">
        <v>0</v>
      </c>
      <c r="Y64" s="16">
        <v>0</v>
      </c>
      <c r="Z64" s="16">
        <v>0</v>
      </c>
      <c r="AA64" s="15"/>
      <c r="AB64" s="12">
        <v>0</v>
      </c>
    </row>
    <row r="65" spans="1:28" s="19" customFormat="1">
      <c r="A65" s="5" t="s">
        <v>28</v>
      </c>
      <c r="B65" s="28" t="s">
        <v>29</v>
      </c>
      <c r="C65" s="7" t="s">
        <v>166</v>
      </c>
      <c r="D65" s="8" t="s">
        <v>167</v>
      </c>
      <c r="E65" s="30">
        <v>3</v>
      </c>
      <c r="F65" s="39" t="s">
        <v>64</v>
      </c>
      <c r="G65" s="10" t="s">
        <v>32</v>
      </c>
      <c r="H65" s="11">
        <v>0</v>
      </c>
      <c r="I65" s="12">
        <f>109.81+48.49</f>
        <v>158.30000000000001</v>
      </c>
      <c r="J65" s="13" t="s">
        <v>33</v>
      </c>
      <c r="K65" s="12">
        <v>156.06</v>
      </c>
      <c r="L65" s="14">
        <v>24.25</v>
      </c>
      <c r="M65" s="11">
        <f t="shared" si="6"/>
        <v>131.81</v>
      </c>
      <c r="N65" s="11">
        <v>2.68</v>
      </c>
      <c r="O65" s="12">
        <v>0</v>
      </c>
      <c r="P65" s="12">
        <f t="shared" si="0"/>
        <v>2.68</v>
      </c>
      <c r="Q65" s="12">
        <v>138</v>
      </c>
      <c r="R65" s="12">
        <v>72.739999999999995</v>
      </c>
      <c r="S65" s="12">
        <f t="shared" si="1"/>
        <v>65.260000000000005</v>
      </c>
      <c r="T65" s="12">
        <v>0</v>
      </c>
      <c r="U65" s="12">
        <v>0</v>
      </c>
      <c r="V65" s="12">
        <f t="shared" si="2"/>
        <v>0</v>
      </c>
      <c r="W65" s="15"/>
      <c r="X65" s="16">
        <v>282.89</v>
      </c>
      <c r="Y65" s="16">
        <v>0</v>
      </c>
      <c r="Z65" s="16">
        <f t="shared" si="3"/>
        <v>282.89</v>
      </c>
      <c r="AA65" s="15" t="s">
        <v>83</v>
      </c>
      <c r="AB65" s="12">
        <f t="shared" si="4"/>
        <v>640.94000000000005</v>
      </c>
    </row>
    <row r="66" spans="1:28" s="19" customFormat="1">
      <c r="A66" s="5" t="s">
        <v>28</v>
      </c>
      <c r="B66" s="28" t="s">
        <v>29</v>
      </c>
      <c r="C66" s="7" t="s">
        <v>168</v>
      </c>
      <c r="D66" s="8" t="s">
        <v>169</v>
      </c>
      <c r="E66" s="30">
        <v>2</v>
      </c>
      <c r="F66" s="39" t="s">
        <v>86</v>
      </c>
      <c r="G66" s="10" t="s">
        <v>32</v>
      </c>
      <c r="H66" s="11">
        <v>0</v>
      </c>
      <c r="I66" s="12">
        <f>137.05+48.35</f>
        <v>185.4</v>
      </c>
      <c r="J66" s="13" t="s">
        <v>33</v>
      </c>
      <c r="K66" s="12">
        <v>156.06</v>
      </c>
      <c r="L66" s="14">
        <v>24.18</v>
      </c>
      <c r="M66" s="11">
        <f t="shared" si="6"/>
        <v>131.88</v>
      </c>
      <c r="N66" s="11">
        <v>2.68</v>
      </c>
      <c r="O66" s="12">
        <v>0</v>
      </c>
      <c r="P66" s="12">
        <f t="shared" si="0"/>
        <v>2.68</v>
      </c>
      <c r="Q66" s="12">
        <v>0</v>
      </c>
      <c r="R66" s="12">
        <v>0</v>
      </c>
      <c r="S66" s="12">
        <f t="shared" si="1"/>
        <v>0</v>
      </c>
      <c r="T66" s="12">
        <v>0</v>
      </c>
      <c r="U66" s="12">
        <v>0</v>
      </c>
      <c r="V66" s="12">
        <f t="shared" si="2"/>
        <v>0</v>
      </c>
      <c r="W66" s="15"/>
      <c r="X66" s="16">
        <v>0</v>
      </c>
      <c r="Y66" s="16">
        <v>0</v>
      </c>
      <c r="Z66" s="16">
        <f t="shared" si="3"/>
        <v>0</v>
      </c>
      <c r="AA66" s="15"/>
      <c r="AB66" s="12">
        <f t="shared" si="4"/>
        <v>319.95999999999998</v>
      </c>
    </row>
    <row r="67" spans="1:28" s="37" customFormat="1">
      <c r="A67" s="5" t="s">
        <v>28</v>
      </c>
      <c r="B67" s="28" t="s">
        <v>29</v>
      </c>
      <c r="C67" s="7" t="s">
        <v>170</v>
      </c>
      <c r="D67" s="8" t="s">
        <v>171</v>
      </c>
      <c r="E67" s="30">
        <v>2</v>
      </c>
      <c r="F67" s="31" t="s">
        <v>58</v>
      </c>
      <c r="G67" s="10" t="s">
        <v>32</v>
      </c>
      <c r="H67" s="11">
        <v>0</v>
      </c>
      <c r="I67" s="12">
        <v>334.16</v>
      </c>
      <c r="J67" s="13" t="s">
        <v>33</v>
      </c>
      <c r="K67" s="12">
        <v>156.06</v>
      </c>
      <c r="L67" s="14">
        <v>13.38</v>
      </c>
      <c r="M67" s="11">
        <f t="shared" si="6"/>
        <v>142.68</v>
      </c>
      <c r="N67" s="11">
        <v>2.68</v>
      </c>
      <c r="O67" s="12">
        <v>0</v>
      </c>
      <c r="P67" s="12">
        <f t="shared" ref="P67:P123" si="7">N67-O67</f>
        <v>2.68</v>
      </c>
      <c r="Q67" s="12">
        <v>0</v>
      </c>
      <c r="R67" s="12">
        <v>0</v>
      </c>
      <c r="S67" s="12">
        <f t="shared" ref="S67:S130" si="8">Q67-R67</f>
        <v>0</v>
      </c>
      <c r="T67" s="12">
        <v>0</v>
      </c>
      <c r="U67" s="12">
        <v>0</v>
      </c>
      <c r="V67" s="12">
        <f t="shared" ref="V67:V130" si="9">T67-U67</f>
        <v>0</v>
      </c>
      <c r="W67" s="15"/>
      <c r="X67" s="16">
        <v>0</v>
      </c>
      <c r="Y67" s="16">
        <v>0</v>
      </c>
      <c r="Z67" s="16">
        <f t="shared" ref="Z67:Z130" si="10">X67-Y67</f>
        <v>0</v>
      </c>
      <c r="AA67" s="15"/>
      <c r="AB67" s="12">
        <f t="shared" ref="AB67:AB130" si="11">H67+I67+J67+M67+P67+S67+V67+Z67</f>
        <v>479.52000000000004</v>
      </c>
    </row>
    <row r="68" spans="1:28" s="37" customFormat="1">
      <c r="A68" s="5" t="s">
        <v>28</v>
      </c>
      <c r="B68" s="28" t="s">
        <v>29</v>
      </c>
      <c r="C68" s="7" t="s">
        <v>172</v>
      </c>
      <c r="D68" s="8" t="s">
        <v>173</v>
      </c>
      <c r="E68" s="30">
        <v>2</v>
      </c>
      <c r="F68" s="33" t="s">
        <v>67</v>
      </c>
      <c r="G68" s="10" t="s">
        <v>32</v>
      </c>
      <c r="H68" s="11">
        <v>0</v>
      </c>
      <c r="I68" s="12">
        <v>221.96</v>
      </c>
      <c r="J68" s="13" t="s">
        <v>33</v>
      </c>
      <c r="K68" s="12">
        <v>156.06</v>
      </c>
      <c r="L68" s="14">
        <v>2.4300000000000002</v>
      </c>
      <c r="M68" s="11">
        <f t="shared" si="6"/>
        <v>153.63</v>
      </c>
      <c r="N68" s="11">
        <v>5.36</v>
      </c>
      <c r="O68" s="12">
        <v>0</v>
      </c>
      <c r="P68" s="12">
        <f t="shared" si="7"/>
        <v>5.36</v>
      </c>
      <c r="Q68" s="12">
        <v>0</v>
      </c>
      <c r="R68" s="12">
        <v>0</v>
      </c>
      <c r="S68" s="12">
        <f t="shared" si="8"/>
        <v>0</v>
      </c>
      <c r="T68" s="12">
        <v>0</v>
      </c>
      <c r="U68" s="12">
        <v>0</v>
      </c>
      <c r="V68" s="12">
        <f t="shared" si="9"/>
        <v>0</v>
      </c>
      <c r="W68" s="15"/>
      <c r="X68" s="16">
        <v>0</v>
      </c>
      <c r="Y68" s="16">
        <v>0</v>
      </c>
      <c r="Z68" s="16">
        <f t="shared" si="10"/>
        <v>0</v>
      </c>
      <c r="AA68" s="15"/>
      <c r="AB68" s="12">
        <f t="shared" si="11"/>
        <v>380.95000000000005</v>
      </c>
    </row>
    <row r="69" spans="1:28" s="37" customFormat="1">
      <c r="A69" s="5" t="s">
        <v>28</v>
      </c>
      <c r="B69" s="28" t="s">
        <v>29</v>
      </c>
      <c r="C69" s="7">
        <v>10505042401</v>
      </c>
      <c r="D69" s="8" t="s">
        <v>174</v>
      </c>
      <c r="E69" s="30">
        <v>3</v>
      </c>
      <c r="F69" s="31" t="s">
        <v>31</v>
      </c>
      <c r="G69" s="10" t="s">
        <v>32</v>
      </c>
      <c r="H69" s="11">
        <v>0</v>
      </c>
      <c r="I69" s="12">
        <f>120.29+41.8</f>
        <v>162.09</v>
      </c>
      <c r="J69" s="13" t="s">
        <v>33</v>
      </c>
      <c r="K69" s="12">
        <v>156.06</v>
      </c>
      <c r="L69" s="14">
        <v>20.9</v>
      </c>
      <c r="M69" s="11">
        <f t="shared" si="6"/>
        <v>135.16</v>
      </c>
      <c r="N69" s="11">
        <v>2.68</v>
      </c>
      <c r="O69" s="12">
        <v>0</v>
      </c>
      <c r="P69" s="12">
        <f t="shared" si="7"/>
        <v>2.68</v>
      </c>
      <c r="Q69" s="12">
        <v>244.5</v>
      </c>
      <c r="R69" s="12">
        <v>41.8</v>
      </c>
      <c r="S69" s="12">
        <f t="shared" si="8"/>
        <v>202.7</v>
      </c>
      <c r="T69" s="12">
        <v>0</v>
      </c>
      <c r="U69" s="12">
        <v>0</v>
      </c>
      <c r="V69" s="12">
        <f t="shared" si="9"/>
        <v>0</v>
      </c>
      <c r="W69" s="15"/>
      <c r="X69" s="16">
        <v>0</v>
      </c>
      <c r="Y69" s="16">
        <v>0</v>
      </c>
      <c r="Z69" s="16">
        <f t="shared" si="10"/>
        <v>0</v>
      </c>
      <c r="AA69" s="15"/>
      <c r="AB69" s="12">
        <f t="shared" si="11"/>
        <v>502.63</v>
      </c>
    </row>
    <row r="70" spans="1:28" s="37" customFormat="1">
      <c r="A70" s="5" t="s">
        <v>28</v>
      </c>
      <c r="B70" s="28" t="s">
        <v>29</v>
      </c>
      <c r="C70" s="7" t="s">
        <v>175</v>
      </c>
      <c r="D70" s="8" t="s">
        <v>176</v>
      </c>
      <c r="E70" s="30">
        <v>2</v>
      </c>
      <c r="F70" s="31" t="s">
        <v>31</v>
      </c>
      <c r="G70" s="10" t="s">
        <v>32</v>
      </c>
      <c r="H70" s="11">
        <v>0</v>
      </c>
      <c r="I70" s="12">
        <f>133.62+48.49</f>
        <v>182.11</v>
      </c>
      <c r="J70" s="13" t="s">
        <v>33</v>
      </c>
      <c r="K70" s="12">
        <v>156.06</v>
      </c>
      <c r="L70" s="14">
        <v>24.25</v>
      </c>
      <c r="M70" s="11">
        <f t="shared" si="6"/>
        <v>131.81</v>
      </c>
      <c r="N70" s="11">
        <v>2.68</v>
      </c>
      <c r="O70" s="12">
        <v>0</v>
      </c>
      <c r="P70" s="12">
        <f t="shared" si="7"/>
        <v>2.68</v>
      </c>
      <c r="Q70" s="12">
        <v>141</v>
      </c>
      <c r="R70" s="12">
        <v>48.5</v>
      </c>
      <c r="S70" s="12">
        <f t="shared" si="8"/>
        <v>92.5</v>
      </c>
      <c r="T70" s="12">
        <v>64</v>
      </c>
      <c r="U70" s="12">
        <v>0</v>
      </c>
      <c r="V70" s="12">
        <v>64</v>
      </c>
      <c r="W70" s="15" t="s">
        <v>71</v>
      </c>
      <c r="X70" s="16">
        <v>0</v>
      </c>
      <c r="Y70" s="16">
        <v>0</v>
      </c>
      <c r="Z70" s="16">
        <f t="shared" si="10"/>
        <v>0</v>
      </c>
      <c r="AA70" s="15"/>
      <c r="AB70" s="12">
        <f t="shared" si="11"/>
        <v>473.1</v>
      </c>
    </row>
    <row r="71" spans="1:28" s="37" customFormat="1">
      <c r="A71" s="5" t="s">
        <v>28</v>
      </c>
      <c r="B71" s="28" t="s">
        <v>29</v>
      </c>
      <c r="C71" s="7">
        <v>77307950430</v>
      </c>
      <c r="D71" s="22" t="s">
        <v>177</v>
      </c>
      <c r="E71" s="30">
        <v>2</v>
      </c>
      <c r="F71" s="33" t="s">
        <v>67</v>
      </c>
      <c r="G71" s="10" t="s">
        <v>32</v>
      </c>
      <c r="H71" s="11">
        <v>0</v>
      </c>
      <c r="I71" s="12">
        <f>137.25+48.49</f>
        <v>185.74</v>
      </c>
      <c r="J71" s="13" t="s">
        <v>33</v>
      </c>
      <c r="K71" s="12">
        <v>156.06</v>
      </c>
      <c r="L71" s="14">
        <v>24.25</v>
      </c>
      <c r="M71" s="11">
        <f t="shared" si="6"/>
        <v>131.81</v>
      </c>
      <c r="N71" s="11">
        <v>2.68</v>
      </c>
      <c r="O71" s="12">
        <v>0</v>
      </c>
      <c r="P71" s="12">
        <f t="shared" si="7"/>
        <v>2.68</v>
      </c>
      <c r="Q71" s="12">
        <v>0</v>
      </c>
      <c r="R71" s="12">
        <v>0</v>
      </c>
      <c r="S71" s="12">
        <f t="shared" si="8"/>
        <v>0</v>
      </c>
      <c r="T71" s="12">
        <v>0</v>
      </c>
      <c r="U71" s="12">
        <v>0</v>
      </c>
      <c r="V71" s="12">
        <f t="shared" si="9"/>
        <v>0</v>
      </c>
      <c r="W71" s="15"/>
      <c r="X71" s="16">
        <v>0</v>
      </c>
      <c r="Y71" s="16">
        <v>0</v>
      </c>
      <c r="Z71" s="16">
        <f t="shared" si="10"/>
        <v>0</v>
      </c>
      <c r="AA71" s="15"/>
      <c r="AB71" s="12">
        <f t="shared" si="11"/>
        <v>320.23</v>
      </c>
    </row>
    <row r="72" spans="1:28" s="37" customFormat="1">
      <c r="A72" s="5" t="s">
        <v>28</v>
      </c>
      <c r="B72" s="28" t="s">
        <v>29</v>
      </c>
      <c r="C72" s="7" t="s">
        <v>178</v>
      </c>
      <c r="D72" s="8" t="s">
        <v>179</v>
      </c>
      <c r="E72" s="30">
        <v>3</v>
      </c>
      <c r="F72" s="39" t="s">
        <v>86</v>
      </c>
      <c r="G72" s="10" t="s">
        <v>32</v>
      </c>
      <c r="H72" s="11">
        <v>0</v>
      </c>
      <c r="I72" s="12">
        <f>100.32+27.86</f>
        <v>128.18</v>
      </c>
      <c r="J72" s="13" t="s">
        <v>33</v>
      </c>
      <c r="K72" s="12">
        <v>156.06</v>
      </c>
      <c r="L72" s="14">
        <v>20.9</v>
      </c>
      <c r="M72" s="11">
        <f t="shared" si="6"/>
        <v>135.16</v>
      </c>
      <c r="N72" s="11">
        <v>2.68</v>
      </c>
      <c r="O72" s="12">
        <v>0</v>
      </c>
      <c r="P72" s="12">
        <f t="shared" si="7"/>
        <v>2.68</v>
      </c>
      <c r="Q72" s="12">
        <v>207</v>
      </c>
      <c r="R72" s="12">
        <v>62.7</v>
      </c>
      <c r="S72" s="12">
        <f t="shared" si="8"/>
        <v>144.30000000000001</v>
      </c>
      <c r="T72" s="12">
        <v>0</v>
      </c>
      <c r="U72" s="12">
        <v>0</v>
      </c>
      <c r="V72" s="12">
        <f t="shared" si="9"/>
        <v>0</v>
      </c>
      <c r="W72" s="15"/>
      <c r="X72" s="16">
        <v>0</v>
      </c>
      <c r="Y72" s="16">
        <v>0</v>
      </c>
      <c r="Z72" s="16">
        <f t="shared" si="10"/>
        <v>0</v>
      </c>
      <c r="AA72" s="15"/>
      <c r="AB72" s="12">
        <f t="shared" si="11"/>
        <v>410.32000000000005</v>
      </c>
    </row>
    <row r="73" spans="1:28" s="37" customFormat="1">
      <c r="A73" s="5" t="s">
        <v>28</v>
      </c>
      <c r="B73" s="28" t="s">
        <v>29</v>
      </c>
      <c r="C73" s="7" t="s">
        <v>180</v>
      </c>
      <c r="D73" s="8" t="s">
        <v>181</v>
      </c>
      <c r="E73" s="30">
        <v>2</v>
      </c>
      <c r="F73" s="38" t="s">
        <v>119</v>
      </c>
      <c r="G73" s="10" t="s">
        <v>32</v>
      </c>
      <c r="H73" s="11">
        <v>0</v>
      </c>
      <c r="I73" s="12">
        <v>267.32</v>
      </c>
      <c r="J73" s="13" t="s">
        <v>33</v>
      </c>
      <c r="K73" s="12">
        <v>156.06</v>
      </c>
      <c r="L73" s="14">
        <v>13.38</v>
      </c>
      <c r="M73" s="11">
        <f t="shared" si="6"/>
        <v>142.68</v>
      </c>
      <c r="N73" s="11">
        <v>2.68</v>
      </c>
      <c r="O73" s="12">
        <v>0</v>
      </c>
      <c r="P73" s="12">
        <f t="shared" si="7"/>
        <v>2.68</v>
      </c>
      <c r="Q73" s="12">
        <v>0</v>
      </c>
      <c r="R73" s="12">
        <v>0</v>
      </c>
      <c r="S73" s="12">
        <f t="shared" si="8"/>
        <v>0</v>
      </c>
      <c r="T73" s="12">
        <v>0</v>
      </c>
      <c r="U73" s="12">
        <v>0</v>
      </c>
      <c r="V73" s="12">
        <f t="shared" si="9"/>
        <v>0</v>
      </c>
      <c r="W73" s="15"/>
      <c r="X73" s="16">
        <v>0</v>
      </c>
      <c r="Y73" s="16">
        <v>0</v>
      </c>
      <c r="Z73" s="16">
        <f t="shared" si="10"/>
        <v>0</v>
      </c>
      <c r="AA73" s="15"/>
      <c r="AB73" s="12">
        <f t="shared" si="11"/>
        <v>412.68</v>
      </c>
    </row>
    <row r="74" spans="1:28" s="37" customFormat="1">
      <c r="A74" s="5" t="s">
        <v>28</v>
      </c>
      <c r="B74" s="28" t="s">
        <v>29</v>
      </c>
      <c r="C74" s="7" t="s">
        <v>182</v>
      </c>
      <c r="D74" s="8" t="s">
        <v>183</v>
      </c>
      <c r="E74" s="30">
        <v>3</v>
      </c>
      <c r="F74" s="31" t="s">
        <v>58</v>
      </c>
      <c r="G74" s="10" t="s">
        <v>32</v>
      </c>
      <c r="H74" s="11">
        <v>0</v>
      </c>
      <c r="I74" s="12">
        <f>262.89+124.2</f>
        <v>387.09</v>
      </c>
      <c r="J74" s="13" t="s">
        <v>33</v>
      </c>
      <c r="K74" s="12">
        <v>156.06</v>
      </c>
      <c r="L74" s="14">
        <v>62.1</v>
      </c>
      <c r="M74" s="11">
        <f t="shared" si="6"/>
        <v>93.960000000000008</v>
      </c>
      <c r="N74" s="11">
        <v>2.68</v>
      </c>
      <c r="O74" s="12">
        <v>0</v>
      </c>
      <c r="P74" s="12">
        <f t="shared" si="7"/>
        <v>2.68</v>
      </c>
      <c r="Q74" s="12">
        <v>0</v>
      </c>
      <c r="R74" s="12">
        <v>0</v>
      </c>
      <c r="S74" s="12">
        <f t="shared" si="8"/>
        <v>0</v>
      </c>
      <c r="T74" s="12">
        <v>64</v>
      </c>
      <c r="U74" s="12">
        <v>0</v>
      </c>
      <c r="V74" s="12">
        <f t="shared" si="9"/>
        <v>64</v>
      </c>
      <c r="W74" s="15" t="s">
        <v>71</v>
      </c>
      <c r="X74" s="16">
        <v>414</v>
      </c>
      <c r="Y74" s="16">
        <v>0</v>
      </c>
      <c r="Z74" s="16">
        <f t="shared" si="10"/>
        <v>414</v>
      </c>
      <c r="AA74" s="15" t="s">
        <v>83</v>
      </c>
      <c r="AB74" s="12">
        <f t="shared" si="11"/>
        <v>961.73</v>
      </c>
    </row>
    <row r="75" spans="1:28" s="37" customFormat="1">
      <c r="A75" s="5" t="s">
        <v>28</v>
      </c>
      <c r="B75" s="28" t="s">
        <v>29</v>
      </c>
      <c r="C75" s="7" t="s">
        <v>184</v>
      </c>
      <c r="D75" s="22" t="s">
        <v>185</v>
      </c>
      <c r="E75" s="30">
        <v>3</v>
      </c>
      <c r="F75" s="42" t="s">
        <v>61</v>
      </c>
      <c r="G75" s="10" t="s">
        <v>32</v>
      </c>
      <c r="H75" s="11">
        <v>0</v>
      </c>
      <c r="I75" s="12">
        <f>119.46+42.23</f>
        <v>161.69</v>
      </c>
      <c r="J75" s="13" t="s">
        <v>33</v>
      </c>
      <c r="K75" s="12">
        <v>156.06</v>
      </c>
      <c r="L75" s="14">
        <v>21.12</v>
      </c>
      <c r="M75" s="11">
        <f t="shared" si="6"/>
        <v>134.94</v>
      </c>
      <c r="N75" s="11">
        <v>2.68</v>
      </c>
      <c r="O75" s="12">
        <v>0</v>
      </c>
      <c r="P75" s="12">
        <f t="shared" si="7"/>
        <v>2.68</v>
      </c>
      <c r="Q75" s="12">
        <v>282</v>
      </c>
      <c r="R75" s="12">
        <v>63.36</v>
      </c>
      <c r="S75" s="12">
        <f t="shared" si="8"/>
        <v>218.64</v>
      </c>
      <c r="T75" s="12">
        <v>0</v>
      </c>
      <c r="U75" s="12">
        <v>0</v>
      </c>
      <c r="V75" s="12">
        <f t="shared" si="9"/>
        <v>0</v>
      </c>
      <c r="W75" s="15"/>
      <c r="X75" s="16">
        <v>0</v>
      </c>
      <c r="Y75" s="16">
        <v>0</v>
      </c>
      <c r="Z75" s="16">
        <f t="shared" si="10"/>
        <v>0</v>
      </c>
      <c r="AA75" s="15"/>
      <c r="AB75" s="12">
        <f t="shared" si="11"/>
        <v>517.95000000000005</v>
      </c>
    </row>
    <row r="76" spans="1:28" s="37" customFormat="1">
      <c r="A76" s="5" t="s">
        <v>28</v>
      </c>
      <c r="B76" s="28" t="s">
        <v>29</v>
      </c>
      <c r="C76" s="7" t="s">
        <v>186</v>
      </c>
      <c r="D76" s="8" t="s">
        <v>187</v>
      </c>
      <c r="E76" s="30">
        <v>2</v>
      </c>
      <c r="F76" s="39" t="s">
        <v>38</v>
      </c>
      <c r="G76" s="10" t="s">
        <v>32</v>
      </c>
      <c r="H76" s="11">
        <v>0</v>
      </c>
      <c r="I76" s="12">
        <f>136.72+60</f>
        <v>196.72</v>
      </c>
      <c r="J76" s="13" t="s">
        <v>33</v>
      </c>
      <c r="K76" s="12">
        <v>156.06</v>
      </c>
      <c r="L76" s="14">
        <v>0</v>
      </c>
      <c r="M76" s="11">
        <f t="shared" si="6"/>
        <v>156.06</v>
      </c>
      <c r="N76" s="11">
        <v>18.690000000000001</v>
      </c>
      <c r="O76" s="12">
        <v>0</v>
      </c>
      <c r="P76" s="12">
        <f t="shared" si="7"/>
        <v>18.690000000000001</v>
      </c>
      <c r="Q76" s="12">
        <v>0</v>
      </c>
      <c r="R76" s="12">
        <v>0</v>
      </c>
      <c r="S76" s="12">
        <f t="shared" si="8"/>
        <v>0</v>
      </c>
      <c r="T76" s="12">
        <v>0</v>
      </c>
      <c r="U76" s="12">
        <v>0</v>
      </c>
      <c r="V76" s="12">
        <f t="shared" si="9"/>
        <v>0</v>
      </c>
      <c r="W76" s="15"/>
      <c r="X76" s="16">
        <v>0</v>
      </c>
      <c r="Y76" s="16">
        <v>0</v>
      </c>
      <c r="Z76" s="16">
        <f t="shared" si="10"/>
        <v>0</v>
      </c>
      <c r="AA76" s="15"/>
      <c r="AB76" s="12">
        <f t="shared" si="11"/>
        <v>371.46999999999997</v>
      </c>
    </row>
    <row r="77" spans="1:28" s="37" customFormat="1">
      <c r="A77" s="5" t="s">
        <v>28</v>
      </c>
      <c r="B77" s="28" t="s">
        <v>29</v>
      </c>
      <c r="C77" s="7" t="s">
        <v>188</v>
      </c>
      <c r="D77" s="8" t="s">
        <v>189</v>
      </c>
      <c r="E77" s="30">
        <v>3</v>
      </c>
      <c r="F77" s="31" t="s">
        <v>46</v>
      </c>
      <c r="G77" s="10" t="s">
        <v>32</v>
      </c>
      <c r="H77" s="11">
        <v>0</v>
      </c>
      <c r="I77" s="12">
        <f>122.27+42.23</f>
        <v>164.5</v>
      </c>
      <c r="J77" s="13" t="s">
        <v>33</v>
      </c>
      <c r="K77" s="12">
        <v>156.06</v>
      </c>
      <c r="L77" s="14">
        <v>21.12</v>
      </c>
      <c r="M77" s="11">
        <f t="shared" si="6"/>
        <v>134.94</v>
      </c>
      <c r="N77" s="11">
        <v>2.68</v>
      </c>
      <c r="O77" s="12">
        <v>0</v>
      </c>
      <c r="P77" s="12">
        <f t="shared" si="7"/>
        <v>2.68</v>
      </c>
      <c r="Q77" s="12">
        <v>207</v>
      </c>
      <c r="R77" s="12">
        <v>63.36</v>
      </c>
      <c r="S77" s="12">
        <f t="shared" si="8"/>
        <v>143.63999999999999</v>
      </c>
      <c r="T77" s="12">
        <v>64</v>
      </c>
      <c r="U77" s="12">
        <v>0</v>
      </c>
      <c r="V77" s="12">
        <f t="shared" si="9"/>
        <v>64</v>
      </c>
      <c r="W77" s="15" t="s">
        <v>71</v>
      </c>
      <c r="X77" s="16">
        <v>0</v>
      </c>
      <c r="Y77" s="16">
        <v>0</v>
      </c>
      <c r="Z77" s="16">
        <f t="shared" si="10"/>
        <v>0</v>
      </c>
      <c r="AA77" s="15"/>
      <c r="AB77" s="12">
        <f t="shared" si="11"/>
        <v>509.76</v>
      </c>
    </row>
    <row r="78" spans="1:28" s="37" customFormat="1">
      <c r="A78" s="5" t="s">
        <v>28</v>
      </c>
      <c r="B78" s="28" t="s">
        <v>29</v>
      </c>
      <c r="C78" s="7" t="s">
        <v>190</v>
      </c>
      <c r="D78" s="8" t="s">
        <v>191</v>
      </c>
      <c r="E78" s="30">
        <v>3</v>
      </c>
      <c r="F78" s="39" t="s">
        <v>76</v>
      </c>
      <c r="G78" s="10" t="s">
        <v>32</v>
      </c>
      <c r="H78" s="11">
        <v>0</v>
      </c>
      <c r="I78" s="12">
        <f>248.73</f>
        <v>248.73</v>
      </c>
      <c r="J78" s="13" t="s">
        <v>33</v>
      </c>
      <c r="K78" s="12">
        <v>156.06</v>
      </c>
      <c r="L78" s="14">
        <v>0</v>
      </c>
      <c r="M78" s="11">
        <f t="shared" si="6"/>
        <v>156.06</v>
      </c>
      <c r="N78" s="11">
        <v>4.3600000000000003</v>
      </c>
      <c r="O78" s="12">
        <v>0</v>
      </c>
      <c r="P78" s="12">
        <f t="shared" si="7"/>
        <v>4.3600000000000003</v>
      </c>
      <c r="Q78" s="12">
        <v>0</v>
      </c>
      <c r="R78" s="12">
        <v>0</v>
      </c>
      <c r="S78" s="12">
        <f t="shared" si="8"/>
        <v>0</v>
      </c>
      <c r="T78" s="12">
        <v>338.41</v>
      </c>
      <c r="U78" s="12">
        <v>0</v>
      </c>
      <c r="V78" s="12">
        <f t="shared" si="9"/>
        <v>338.41</v>
      </c>
      <c r="W78" s="15"/>
      <c r="X78" s="16">
        <v>0</v>
      </c>
      <c r="Y78" s="16">
        <v>0</v>
      </c>
      <c r="Z78" s="16">
        <f t="shared" si="10"/>
        <v>0</v>
      </c>
      <c r="AA78" s="15"/>
      <c r="AB78" s="12">
        <f t="shared" si="11"/>
        <v>747.56</v>
      </c>
    </row>
    <row r="79" spans="1:28" s="37" customFormat="1">
      <c r="A79" s="5" t="s">
        <v>28</v>
      </c>
      <c r="B79" s="28" t="s">
        <v>29</v>
      </c>
      <c r="C79" s="34" t="s">
        <v>192</v>
      </c>
      <c r="D79" s="8" t="s">
        <v>193</v>
      </c>
      <c r="E79" s="8">
        <v>2</v>
      </c>
      <c r="F79" s="9" t="s">
        <v>31</v>
      </c>
      <c r="G79" s="10" t="s">
        <v>32</v>
      </c>
      <c r="H79" s="11">
        <v>0</v>
      </c>
      <c r="I79" s="12">
        <f>113.71+12.12</f>
        <v>125.83</v>
      </c>
      <c r="J79" s="13">
        <v>0</v>
      </c>
      <c r="K79" s="12">
        <v>156.06</v>
      </c>
      <c r="L79" s="14">
        <v>24.25</v>
      </c>
      <c r="M79" s="11">
        <f t="shared" si="6"/>
        <v>131.81</v>
      </c>
      <c r="N79" s="11">
        <v>2.68</v>
      </c>
      <c r="O79" s="12">
        <v>0</v>
      </c>
      <c r="P79" s="12">
        <f t="shared" si="7"/>
        <v>2.68</v>
      </c>
      <c r="Q79" s="12">
        <v>0</v>
      </c>
      <c r="R79" s="12">
        <v>0</v>
      </c>
      <c r="S79" s="12">
        <f t="shared" si="8"/>
        <v>0</v>
      </c>
      <c r="T79" s="12">
        <v>0</v>
      </c>
      <c r="U79" s="12">
        <v>0</v>
      </c>
      <c r="V79" s="12">
        <f t="shared" si="9"/>
        <v>0</v>
      </c>
      <c r="W79" s="15"/>
      <c r="X79" s="16">
        <v>0</v>
      </c>
      <c r="Y79" s="16">
        <v>0</v>
      </c>
      <c r="Z79" s="16">
        <f t="shared" si="10"/>
        <v>0</v>
      </c>
      <c r="AA79" s="15"/>
      <c r="AB79" s="12">
        <f t="shared" si="11"/>
        <v>260.32</v>
      </c>
    </row>
    <row r="80" spans="1:28" s="37" customFormat="1">
      <c r="A80" s="5" t="s">
        <v>28</v>
      </c>
      <c r="B80" s="28" t="s">
        <v>29</v>
      </c>
      <c r="C80" s="7">
        <v>89967100400</v>
      </c>
      <c r="D80" s="8" t="s">
        <v>194</v>
      </c>
      <c r="E80" s="30">
        <v>3</v>
      </c>
      <c r="F80" s="31" t="s">
        <v>70</v>
      </c>
      <c r="G80" s="10" t="s">
        <v>32</v>
      </c>
      <c r="H80" s="11">
        <v>0</v>
      </c>
      <c r="I80" s="12">
        <f>267.78+50.18</f>
        <v>317.95999999999998</v>
      </c>
      <c r="J80" s="13" t="s">
        <v>33</v>
      </c>
      <c r="K80" s="12">
        <v>156.06</v>
      </c>
      <c r="L80" s="14">
        <v>25.09</v>
      </c>
      <c r="M80" s="11">
        <f t="shared" si="6"/>
        <v>130.97</v>
      </c>
      <c r="N80" s="11">
        <v>2.68</v>
      </c>
      <c r="O80" s="12">
        <v>0</v>
      </c>
      <c r="P80" s="12">
        <f t="shared" si="7"/>
        <v>2.68</v>
      </c>
      <c r="Q80" s="12">
        <v>244.5</v>
      </c>
      <c r="R80" s="12">
        <v>47.67</v>
      </c>
      <c r="S80" s="12">
        <f t="shared" si="8"/>
        <v>196.82999999999998</v>
      </c>
      <c r="T80" s="12">
        <v>0</v>
      </c>
      <c r="U80" s="12">
        <v>0</v>
      </c>
      <c r="V80" s="12">
        <f t="shared" si="9"/>
        <v>0</v>
      </c>
      <c r="W80" s="15" t="s">
        <v>71</v>
      </c>
      <c r="X80" s="16">
        <v>0</v>
      </c>
      <c r="Y80" s="16">
        <v>0</v>
      </c>
      <c r="Z80" s="16">
        <f t="shared" si="10"/>
        <v>0</v>
      </c>
      <c r="AA80" s="15"/>
      <c r="AB80" s="12">
        <f t="shared" si="11"/>
        <v>648.43999999999994</v>
      </c>
    </row>
    <row r="81" spans="1:28" s="37" customFormat="1">
      <c r="A81" s="5" t="s">
        <v>28</v>
      </c>
      <c r="B81" s="28" t="s">
        <v>29</v>
      </c>
      <c r="C81" s="7" t="s">
        <v>195</v>
      </c>
      <c r="D81" s="8" t="s">
        <v>196</v>
      </c>
      <c r="E81" s="30">
        <v>3</v>
      </c>
      <c r="F81" s="31" t="s">
        <v>58</v>
      </c>
      <c r="G81" s="10" t="s">
        <v>32</v>
      </c>
      <c r="H81" s="11">
        <v>0</v>
      </c>
      <c r="I81" s="12">
        <f>100.32+41.8</f>
        <v>142.12</v>
      </c>
      <c r="J81" s="13" t="s">
        <v>33</v>
      </c>
      <c r="K81" s="12">
        <v>156.06</v>
      </c>
      <c r="L81" s="14">
        <v>20.9</v>
      </c>
      <c r="M81" s="11">
        <f t="shared" si="6"/>
        <v>135.16</v>
      </c>
      <c r="N81" s="11">
        <v>2.68</v>
      </c>
      <c r="O81" s="12">
        <v>0</v>
      </c>
      <c r="P81" s="12">
        <f t="shared" si="7"/>
        <v>2.68</v>
      </c>
      <c r="Q81" s="12">
        <v>0</v>
      </c>
      <c r="R81" s="12">
        <v>0</v>
      </c>
      <c r="S81" s="12">
        <f t="shared" si="8"/>
        <v>0</v>
      </c>
      <c r="T81" s="12">
        <v>0</v>
      </c>
      <c r="U81" s="12">
        <v>0</v>
      </c>
      <c r="V81" s="12">
        <f t="shared" si="9"/>
        <v>0</v>
      </c>
      <c r="W81" s="15" t="s">
        <v>71</v>
      </c>
      <c r="X81" s="16">
        <v>0</v>
      </c>
      <c r="Y81" s="16">
        <v>0</v>
      </c>
      <c r="Z81" s="16">
        <f t="shared" si="10"/>
        <v>0</v>
      </c>
      <c r="AA81" s="15"/>
      <c r="AB81" s="12">
        <f t="shared" si="11"/>
        <v>279.95999999999998</v>
      </c>
    </row>
    <row r="82" spans="1:28" s="37" customFormat="1">
      <c r="A82" s="5" t="s">
        <v>28</v>
      </c>
      <c r="B82" s="28" t="s">
        <v>29</v>
      </c>
      <c r="C82" s="7" t="s">
        <v>197</v>
      </c>
      <c r="D82" s="8" t="s">
        <v>198</v>
      </c>
      <c r="E82" s="30">
        <v>2</v>
      </c>
      <c r="F82" s="39" t="s">
        <v>152</v>
      </c>
      <c r="G82" s="10" t="s">
        <v>32</v>
      </c>
      <c r="H82" s="11">
        <v>0</v>
      </c>
      <c r="I82" s="12">
        <f>169.55</f>
        <v>169.55</v>
      </c>
      <c r="J82" s="13" t="s">
        <v>33</v>
      </c>
      <c r="K82" s="12">
        <v>156.06</v>
      </c>
      <c r="L82" s="14">
        <v>2.4300000000000002</v>
      </c>
      <c r="M82" s="11">
        <f t="shared" si="6"/>
        <v>153.63</v>
      </c>
      <c r="N82" s="11">
        <v>5.36</v>
      </c>
      <c r="O82" s="12">
        <v>0</v>
      </c>
      <c r="P82" s="12">
        <f t="shared" si="7"/>
        <v>5.36</v>
      </c>
      <c r="Q82" s="12">
        <v>0</v>
      </c>
      <c r="R82" s="12">
        <v>0</v>
      </c>
      <c r="S82" s="12">
        <f t="shared" si="8"/>
        <v>0</v>
      </c>
      <c r="T82" s="12">
        <v>0</v>
      </c>
      <c r="U82" s="12">
        <v>0</v>
      </c>
      <c r="V82" s="12">
        <f t="shared" si="9"/>
        <v>0</v>
      </c>
      <c r="W82" s="15"/>
      <c r="X82" s="16">
        <v>0</v>
      </c>
      <c r="Y82" s="16">
        <v>0</v>
      </c>
      <c r="Z82" s="16">
        <f t="shared" si="10"/>
        <v>0</v>
      </c>
      <c r="AA82" s="15"/>
      <c r="AB82" s="12">
        <f t="shared" si="11"/>
        <v>328.54</v>
      </c>
    </row>
    <row r="83" spans="1:28" s="36" customFormat="1">
      <c r="A83" s="5" t="s">
        <v>28</v>
      </c>
      <c r="B83" s="28" t="s">
        <v>29</v>
      </c>
      <c r="C83" s="7" t="s">
        <v>199</v>
      </c>
      <c r="D83" s="8" t="s">
        <v>200</v>
      </c>
      <c r="E83" s="30">
        <v>3</v>
      </c>
      <c r="F83" s="31" t="s">
        <v>31</v>
      </c>
      <c r="G83" s="10" t="s">
        <v>32</v>
      </c>
      <c r="H83" s="11">
        <v>0</v>
      </c>
      <c r="I83" s="12">
        <f>140.92+41.4</f>
        <v>182.32</v>
      </c>
      <c r="J83" s="13" t="s">
        <v>33</v>
      </c>
      <c r="K83" s="12">
        <v>156.06</v>
      </c>
      <c r="L83" s="14">
        <v>31.05</v>
      </c>
      <c r="M83" s="11">
        <f t="shared" si="6"/>
        <v>125.01</v>
      </c>
      <c r="N83" s="11">
        <v>2.68</v>
      </c>
      <c r="O83" s="12">
        <v>0</v>
      </c>
      <c r="P83" s="12">
        <f t="shared" si="7"/>
        <v>2.68</v>
      </c>
      <c r="Q83" s="12">
        <v>276</v>
      </c>
      <c r="R83" s="12">
        <v>93.15</v>
      </c>
      <c r="S83" s="12">
        <f t="shared" si="8"/>
        <v>182.85</v>
      </c>
      <c r="T83" s="12">
        <v>0</v>
      </c>
      <c r="U83" s="12">
        <v>0</v>
      </c>
      <c r="V83" s="12">
        <f t="shared" si="9"/>
        <v>0</v>
      </c>
      <c r="W83" s="15"/>
      <c r="X83" s="16">
        <v>0</v>
      </c>
      <c r="Y83" s="16">
        <v>0</v>
      </c>
      <c r="Z83" s="16">
        <f t="shared" si="10"/>
        <v>0</v>
      </c>
      <c r="AA83" s="15"/>
      <c r="AB83" s="12">
        <f t="shared" si="11"/>
        <v>492.86</v>
      </c>
    </row>
    <row r="84" spans="1:28" s="36" customFormat="1">
      <c r="A84" s="5" t="s">
        <v>28</v>
      </c>
      <c r="B84" s="28" t="s">
        <v>29</v>
      </c>
      <c r="C84" s="7">
        <v>93397941415</v>
      </c>
      <c r="D84" s="8" t="s">
        <v>201</v>
      </c>
      <c r="E84" s="30">
        <v>2</v>
      </c>
      <c r="F84" s="31" t="s">
        <v>31</v>
      </c>
      <c r="G84" s="10" t="s">
        <v>32</v>
      </c>
      <c r="H84" s="11">
        <v>0</v>
      </c>
      <c r="I84" s="12">
        <f>132.58+48.49</f>
        <v>181.07000000000002</v>
      </c>
      <c r="J84" s="13" t="s">
        <v>33</v>
      </c>
      <c r="K84" s="12">
        <v>156.06</v>
      </c>
      <c r="L84" s="14">
        <v>24.25</v>
      </c>
      <c r="M84" s="11">
        <f t="shared" si="6"/>
        <v>131.81</v>
      </c>
      <c r="N84" s="11">
        <v>2.68</v>
      </c>
      <c r="O84" s="12">
        <v>0</v>
      </c>
      <c r="P84" s="12">
        <f t="shared" si="7"/>
        <v>2.68</v>
      </c>
      <c r="Q84" s="12">
        <v>244.5</v>
      </c>
      <c r="R84" s="12">
        <v>72.739999999999995</v>
      </c>
      <c r="S84" s="12">
        <f t="shared" si="8"/>
        <v>171.76</v>
      </c>
      <c r="T84" s="12">
        <v>0</v>
      </c>
      <c r="U84" s="12">
        <v>0</v>
      </c>
      <c r="V84" s="12">
        <f t="shared" si="9"/>
        <v>0</v>
      </c>
      <c r="W84" s="15"/>
      <c r="X84" s="16">
        <v>0</v>
      </c>
      <c r="Y84" s="16">
        <v>0</v>
      </c>
      <c r="Z84" s="16">
        <f t="shared" si="10"/>
        <v>0</v>
      </c>
      <c r="AA84" s="15"/>
      <c r="AB84" s="12">
        <f t="shared" si="11"/>
        <v>487.32</v>
      </c>
    </row>
    <row r="85" spans="1:28" s="36" customFormat="1">
      <c r="A85" s="5" t="s">
        <v>28</v>
      </c>
      <c r="B85" s="28" t="s">
        <v>29</v>
      </c>
      <c r="C85" s="7" t="s">
        <v>202</v>
      </c>
      <c r="D85" s="8" t="s">
        <v>203</v>
      </c>
      <c r="E85" s="30">
        <v>2</v>
      </c>
      <c r="F85" s="31" t="s">
        <v>204</v>
      </c>
      <c r="G85" s="10" t="s">
        <v>32</v>
      </c>
      <c r="H85" s="11">
        <v>0</v>
      </c>
      <c r="I85" s="12">
        <f>114.09+44.45</f>
        <v>158.54000000000002</v>
      </c>
      <c r="J85" s="13" t="s">
        <v>33</v>
      </c>
      <c r="K85" s="12">
        <v>156.06</v>
      </c>
      <c r="L85" s="14">
        <v>24.25</v>
      </c>
      <c r="M85" s="11">
        <f t="shared" si="6"/>
        <v>131.81</v>
      </c>
      <c r="N85" s="11">
        <v>2.68</v>
      </c>
      <c r="O85" s="12">
        <v>0</v>
      </c>
      <c r="P85" s="12">
        <f t="shared" si="7"/>
        <v>2.68</v>
      </c>
      <c r="Q85" s="12">
        <v>0</v>
      </c>
      <c r="R85" s="12">
        <v>0</v>
      </c>
      <c r="S85" s="12">
        <f t="shared" si="8"/>
        <v>0</v>
      </c>
      <c r="T85" s="12">
        <v>282.89</v>
      </c>
      <c r="U85" s="12">
        <v>0</v>
      </c>
      <c r="V85" s="12">
        <f t="shared" si="9"/>
        <v>282.89</v>
      </c>
      <c r="W85" s="15"/>
      <c r="X85" s="16">
        <v>606.20000000000005</v>
      </c>
      <c r="Y85" s="16">
        <v>0</v>
      </c>
      <c r="Z85" s="16">
        <f t="shared" si="10"/>
        <v>606.20000000000005</v>
      </c>
      <c r="AA85" s="15" t="s">
        <v>83</v>
      </c>
      <c r="AB85" s="12">
        <f t="shared" si="11"/>
        <v>1182.1200000000001</v>
      </c>
    </row>
    <row r="86" spans="1:28" s="36" customFormat="1">
      <c r="A86" s="5" t="s">
        <v>28</v>
      </c>
      <c r="B86" s="28" t="s">
        <v>29</v>
      </c>
      <c r="C86" s="7">
        <v>89994140434</v>
      </c>
      <c r="D86" s="8" t="s">
        <v>205</v>
      </c>
      <c r="E86" s="30">
        <v>3</v>
      </c>
      <c r="F86" s="31" t="s">
        <v>31</v>
      </c>
      <c r="G86" s="10" t="s">
        <v>32</v>
      </c>
      <c r="H86" s="11">
        <v>0</v>
      </c>
      <c r="I86" s="12">
        <f>140.92+62.1</f>
        <v>203.01999999999998</v>
      </c>
      <c r="J86" s="13" t="s">
        <v>33</v>
      </c>
      <c r="K86" s="12">
        <v>156.06</v>
      </c>
      <c r="L86" s="14">
        <v>31.05</v>
      </c>
      <c r="M86" s="11">
        <f t="shared" si="6"/>
        <v>125.01</v>
      </c>
      <c r="N86" s="11">
        <v>2.68</v>
      </c>
      <c r="O86" s="12">
        <v>0</v>
      </c>
      <c r="P86" s="12">
        <f t="shared" si="7"/>
        <v>2.68</v>
      </c>
      <c r="Q86" s="12">
        <v>0</v>
      </c>
      <c r="R86" s="12">
        <v>0</v>
      </c>
      <c r="S86" s="12">
        <f t="shared" si="8"/>
        <v>0</v>
      </c>
      <c r="T86" s="12">
        <v>0</v>
      </c>
      <c r="U86" s="12">
        <v>0</v>
      </c>
      <c r="V86" s="12">
        <f t="shared" si="9"/>
        <v>0</v>
      </c>
      <c r="W86" s="15"/>
      <c r="X86" s="16">
        <v>0</v>
      </c>
      <c r="Y86" s="16">
        <v>0</v>
      </c>
      <c r="Z86" s="16">
        <f t="shared" si="10"/>
        <v>0</v>
      </c>
      <c r="AA86" s="15"/>
      <c r="AB86" s="12">
        <f t="shared" si="11"/>
        <v>330.71</v>
      </c>
    </row>
    <row r="87" spans="1:28" s="36" customFormat="1">
      <c r="A87" s="5" t="s">
        <v>28</v>
      </c>
      <c r="B87" s="28" t="s">
        <v>29</v>
      </c>
      <c r="C87" s="7">
        <v>70306823438</v>
      </c>
      <c r="D87" s="8" t="s">
        <v>206</v>
      </c>
      <c r="E87" s="30">
        <v>2</v>
      </c>
      <c r="F87" s="42" t="s">
        <v>61</v>
      </c>
      <c r="G87" s="10" t="s">
        <v>32</v>
      </c>
      <c r="H87" s="11">
        <v>0</v>
      </c>
      <c r="I87" s="12">
        <f>136.72+60</f>
        <v>196.72</v>
      </c>
      <c r="J87" s="13" t="s">
        <v>33</v>
      </c>
      <c r="K87" s="12">
        <v>156.06</v>
      </c>
      <c r="L87" s="14">
        <v>0</v>
      </c>
      <c r="M87" s="11">
        <f t="shared" si="6"/>
        <v>156.06</v>
      </c>
      <c r="N87" s="11">
        <v>18.690000000000001</v>
      </c>
      <c r="O87" s="12">
        <v>0</v>
      </c>
      <c r="P87" s="12">
        <f t="shared" si="7"/>
        <v>18.690000000000001</v>
      </c>
      <c r="Q87" s="12">
        <v>0</v>
      </c>
      <c r="R87" s="12">
        <v>0</v>
      </c>
      <c r="S87" s="12">
        <f t="shared" si="8"/>
        <v>0</v>
      </c>
      <c r="T87" s="12">
        <v>0</v>
      </c>
      <c r="U87" s="12">
        <v>0</v>
      </c>
      <c r="V87" s="12">
        <f t="shared" si="9"/>
        <v>0</v>
      </c>
      <c r="W87" s="15"/>
      <c r="X87" s="16">
        <v>0</v>
      </c>
      <c r="Y87" s="16">
        <v>0</v>
      </c>
      <c r="Z87" s="16">
        <f t="shared" si="10"/>
        <v>0</v>
      </c>
      <c r="AA87" s="15"/>
      <c r="AB87" s="12">
        <f t="shared" si="11"/>
        <v>371.46999999999997</v>
      </c>
    </row>
    <row r="88" spans="1:28" s="36" customFormat="1">
      <c r="A88" s="5" t="s">
        <v>28</v>
      </c>
      <c r="B88" s="28" t="s">
        <v>29</v>
      </c>
      <c r="C88" s="7" t="s">
        <v>207</v>
      </c>
      <c r="D88" s="8" t="s">
        <v>208</v>
      </c>
      <c r="E88" s="30">
        <v>2</v>
      </c>
      <c r="F88" s="31" t="s">
        <v>46</v>
      </c>
      <c r="G88" s="10" t="s">
        <v>32</v>
      </c>
      <c r="H88" s="11">
        <v>0</v>
      </c>
      <c r="I88" s="12">
        <f>136.72+40</f>
        <v>176.72</v>
      </c>
      <c r="J88" s="13" t="s">
        <v>33</v>
      </c>
      <c r="K88" s="12">
        <v>156.06</v>
      </c>
      <c r="L88" s="14">
        <v>0</v>
      </c>
      <c r="M88" s="11">
        <f t="shared" si="6"/>
        <v>156.06</v>
      </c>
      <c r="N88" s="11">
        <v>18.690000000000001</v>
      </c>
      <c r="O88" s="12">
        <v>0</v>
      </c>
      <c r="P88" s="12">
        <f t="shared" si="7"/>
        <v>18.690000000000001</v>
      </c>
      <c r="Q88" s="12">
        <v>0</v>
      </c>
      <c r="R88" s="12">
        <v>0</v>
      </c>
      <c r="S88" s="12">
        <f t="shared" si="8"/>
        <v>0</v>
      </c>
      <c r="T88" s="12">
        <v>0</v>
      </c>
      <c r="U88" s="12">
        <v>0</v>
      </c>
      <c r="V88" s="12">
        <f t="shared" si="9"/>
        <v>0</v>
      </c>
      <c r="W88" s="15"/>
      <c r="X88" s="16">
        <v>0</v>
      </c>
      <c r="Y88" s="16">
        <v>0</v>
      </c>
      <c r="Z88" s="16">
        <f t="shared" si="10"/>
        <v>0</v>
      </c>
      <c r="AA88" s="15"/>
      <c r="AB88" s="12">
        <f t="shared" si="11"/>
        <v>351.46999999999997</v>
      </c>
    </row>
    <row r="89" spans="1:28" s="36" customFormat="1">
      <c r="A89" s="5" t="s">
        <v>28</v>
      </c>
      <c r="B89" s="28" t="s">
        <v>29</v>
      </c>
      <c r="C89" s="7">
        <v>98694910497</v>
      </c>
      <c r="D89" s="22" t="s">
        <v>209</v>
      </c>
      <c r="E89" s="30">
        <v>2</v>
      </c>
      <c r="F89" s="31" t="s">
        <v>31</v>
      </c>
      <c r="G89" s="10" t="s">
        <v>32</v>
      </c>
      <c r="H89" s="11">
        <v>0</v>
      </c>
      <c r="I89" s="12">
        <v>274.86</v>
      </c>
      <c r="J89" s="13" t="s">
        <v>33</v>
      </c>
      <c r="K89" s="12">
        <v>156.06</v>
      </c>
      <c r="L89" s="14">
        <v>0</v>
      </c>
      <c r="M89" s="11">
        <f t="shared" si="6"/>
        <v>156.06</v>
      </c>
      <c r="N89" s="11">
        <v>4.3600000000000003</v>
      </c>
      <c r="O89" s="12">
        <v>0</v>
      </c>
      <c r="P89" s="12">
        <f t="shared" si="7"/>
        <v>4.3600000000000003</v>
      </c>
      <c r="Q89" s="12">
        <v>0</v>
      </c>
      <c r="R89" s="12">
        <v>0</v>
      </c>
      <c r="S89" s="12">
        <f t="shared" si="8"/>
        <v>0</v>
      </c>
      <c r="T89" s="12">
        <v>0</v>
      </c>
      <c r="U89" s="12">
        <v>0</v>
      </c>
      <c r="V89" s="12">
        <f t="shared" si="9"/>
        <v>0</v>
      </c>
      <c r="W89" s="15"/>
      <c r="X89" s="16">
        <v>0</v>
      </c>
      <c r="Y89" s="16">
        <v>0</v>
      </c>
      <c r="Z89" s="16">
        <f t="shared" si="10"/>
        <v>0</v>
      </c>
      <c r="AA89" s="15"/>
      <c r="AB89" s="12">
        <f t="shared" si="11"/>
        <v>435.28000000000003</v>
      </c>
    </row>
    <row r="90" spans="1:28" s="36" customFormat="1">
      <c r="A90" s="5" t="s">
        <v>28</v>
      </c>
      <c r="B90" s="28" t="s">
        <v>29</v>
      </c>
      <c r="C90" s="7">
        <v>70315023490</v>
      </c>
      <c r="D90" s="8" t="s">
        <v>210</v>
      </c>
      <c r="E90" s="30">
        <v>2</v>
      </c>
      <c r="F90" s="39" t="s">
        <v>38</v>
      </c>
      <c r="G90" s="10" t="s">
        <v>32</v>
      </c>
      <c r="H90" s="11">
        <v>0</v>
      </c>
      <c r="I90" s="12">
        <f>255.84</f>
        <v>255.84</v>
      </c>
      <c r="J90" s="13" t="s">
        <v>33</v>
      </c>
      <c r="K90" s="12">
        <v>156.06</v>
      </c>
      <c r="L90" s="14">
        <v>24.25</v>
      </c>
      <c r="M90" s="11">
        <f t="shared" si="6"/>
        <v>131.81</v>
      </c>
      <c r="N90" s="11">
        <v>2.68</v>
      </c>
      <c r="O90" s="12">
        <v>0</v>
      </c>
      <c r="P90" s="12">
        <f t="shared" si="7"/>
        <v>2.68</v>
      </c>
      <c r="Q90" s="12">
        <v>122.25</v>
      </c>
      <c r="R90" s="12">
        <v>72.739999999999995</v>
      </c>
      <c r="S90" s="12">
        <f t="shared" si="8"/>
        <v>49.510000000000005</v>
      </c>
      <c r="T90" s="12">
        <v>0</v>
      </c>
      <c r="U90" s="12">
        <v>0</v>
      </c>
      <c r="V90" s="12">
        <f t="shared" si="9"/>
        <v>0</v>
      </c>
      <c r="W90" s="15"/>
      <c r="X90" s="16">
        <v>0</v>
      </c>
      <c r="Y90" s="16">
        <v>0</v>
      </c>
      <c r="Z90" s="16">
        <f t="shared" si="10"/>
        <v>0</v>
      </c>
      <c r="AA90" s="15"/>
      <c r="AB90" s="12">
        <f t="shared" si="11"/>
        <v>439.84</v>
      </c>
    </row>
    <row r="91" spans="1:28" s="36" customFormat="1">
      <c r="A91" s="5" t="s">
        <v>28</v>
      </c>
      <c r="B91" s="28" t="s">
        <v>29</v>
      </c>
      <c r="C91" s="7" t="s">
        <v>211</v>
      </c>
      <c r="D91" s="8" t="s">
        <v>212</v>
      </c>
      <c r="E91" s="30">
        <v>3</v>
      </c>
      <c r="F91" s="42" t="s">
        <v>61</v>
      </c>
      <c r="G91" s="10" t="s">
        <v>32</v>
      </c>
      <c r="H91" s="11">
        <v>0</v>
      </c>
      <c r="I91" s="12">
        <f>113.71+42.23</f>
        <v>155.94</v>
      </c>
      <c r="J91" s="13" t="s">
        <v>33</v>
      </c>
      <c r="K91" s="12">
        <v>156.06</v>
      </c>
      <c r="L91" s="14">
        <v>21.12</v>
      </c>
      <c r="M91" s="11">
        <f t="shared" si="6"/>
        <v>134.94</v>
      </c>
      <c r="N91" s="11">
        <v>2.68</v>
      </c>
      <c r="O91" s="12">
        <v>0</v>
      </c>
      <c r="P91" s="12">
        <f t="shared" si="7"/>
        <v>2.68</v>
      </c>
      <c r="Q91" s="12">
        <v>141</v>
      </c>
      <c r="R91" s="12">
        <v>63.36</v>
      </c>
      <c r="S91" s="12">
        <f t="shared" si="8"/>
        <v>77.64</v>
      </c>
      <c r="T91" s="12">
        <v>0</v>
      </c>
      <c r="U91" s="12">
        <v>0</v>
      </c>
      <c r="V91" s="12">
        <f t="shared" si="9"/>
        <v>0</v>
      </c>
      <c r="W91" s="15" t="s">
        <v>71</v>
      </c>
      <c r="X91" s="16">
        <v>0</v>
      </c>
      <c r="Y91" s="16">
        <v>0</v>
      </c>
      <c r="Z91" s="16">
        <f t="shared" si="10"/>
        <v>0</v>
      </c>
      <c r="AA91" s="15"/>
      <c r="AB91" s="12">
        <f t="shared" si="11"/>
        <v>371.2</v>
      </c>
    </row>
    <row r="92" spans="1:28" s="36" customFormat="1">
      <c r="A92" s="5" t="s">
        <v>28</v>
      </c>
      <c r="B92" s="28" t="s">
        <v>29</v>
      </c>
      <c r="C92" s="7">
        <v>10205994482</v>
      </c>
      <c r="D92" s="8" t="s">
        <v>213</v>
      </c>
      <c r="E92" s="30">
        <v>3</v>
      </c>
      <c r="F92" s="31" t="s">
        <v>58</v>
      </c>
      <c r="G92" s="10" t="s">
        <v>32</v>
      </c>
      <c r="H92" s="11">
        <v>0</v>
      </c>
      <c r="I92" s="12">
        <f>1362.18+672.73</f>
        <v>2034.91</v>
      </c>
      <c r="J92" s="13" t="s">
        <v>33</v>
      </c>
      <c r="K92" s="12">
        <v>156.06</v>
      </c>
      <c r="L92" s="14">
        <v>0</v>
      </c>
      <c r="M92" s="11">
        <f t="shared" si="6"/>
        <v>156.06</v>
      </c>
      <c r="N92" s="11">
        <v>2.68</v>
      </c>
      <c r="O92" s="12">
        <v>0</v>
      </c>
      <c r="P92" s="12">
        <f t="shared" si="7"/>
        <v>2.68</v>
      </c>
      <c r="Q92" s="12">
        <v>0</v>
      </c>
      <c r="R92" s="12">
        <v>0</v>
      </c>
      <c r="S92" s="12">
        <f t="shared" si="8"/>
        <v>0</v>
      </c>
      <c r="T92" s="12">
        <v>0</v>
      </c>
      <c r="U92" s="12">
        <v>0</v>
      </c>
      <c r="V92" s="12">
        <f t="shared" si="9"/>
        <v>0</v>
      </c>
      <c r="W92" s="15"/>
      <c r="X92" s="16">
        <v>0</v>
      </c>
      <c r="Y92" s="16">
        <v>0</v>
      </c>
      <c r="Z92" s="16">
        <f t="shared" si="10"/>
        <v>0</v>
      </c>
      <c r="AA92" s="15"/>
      <c r="AB92" s="12">
        <f t="shared" si="11"/>
        <v>2193.65</v>
      </c>
    </row>
    <row r="93" spans="1:28" s="36" customFormat="1">
      <c r="A93" s="5" t="s">
        <v>28</v>
      </c>
      <c r="B93" s="28" t="s">
        <v>29</v>
      </c>
      <c r="C93" s="7" t="s">
        <v>214</v>
      </c>
      <c r="D93" s="8" t="s">
        <v>215</v>
      </c>
      <c r="E93" s="30">
        <v>2</v>
      </c>
      <c r="F93" s="39" t="s">
        <v>76</v>
      </c>
      <c r="G93" s="10" t="s">
        <v>32</v>
      </c>
      <c r="H93" s="11">
        <v>0</v>
      </c>
      <c r="I93" s="35">
        <f>185.17</f>
        <v>185.17</v>
      </c>
      <c r="J93" s="13" t="s">
        <v>33</v>
      </c>
      <c r="K93" s="12">
        <v>156.06</v>
      </c>
      <c r="L93" s="14">
        <v>2.4300000000000002</v>
      </c>
      <c r="M93" s="11">
        <f t="shared" si="6"/>
        <v>153.63</v>
      </c>
      <c r="N93" s="11">
        <v>5.36</v>
      </c>
      <c r="O93" s="12">
        <v>0</v>
      </c>
      <c r="P93" s="12">
        <f t="shared" si="7"/>
        <v>5.36</v>
      </c>
      <c r="Q93" s="12">
        <v>0</v>
      </c>
      <c r="R93" s="12">
        <v>0</v>
      </c>
      <c r="S93" s="12">
        <f t="shared" si="8"/>
        <v>0</v>
      </c>
      <c r="T93" s="12">
        <v>0</v>
      </c>
      <c r="U93" s="12">
        <v>0</v>
      </c>
      <c r="V93" s="12">
        <f t="shared" si="9"/>
        <v>0</v>
      </c>
      <c r="W93" s="15"/>
      <c r="X93" s="16">
        <v>0</v>
      </c>
      <c r="Y93" s="16">
        <v>0</v>
      </c>
      <c r="Z93" s="16">
        <f t="shared" si="10"/>
        <v>0</v>
      </c>
      <c r="AA93" s="15"/>
      <c r="AB93" s="12">
        <f t="shared" si="11"/>
        <v>344.15999999999997</v>
      </c>
    </row>
    <row r="94" spans="1:28" s="36" customFormat="1">
      <c r="A94" s="5" t="s">
        <v>28</v>
      </c>
      <c r="B94" s="28" t="s">
        <v>29</v>
      </c>
      <c r="C94" s="7" t="s">
        <v>216</v>
      </c>
      <c r="D94" s="8" t="s">
        <v>217</v>
      </c>
      <c r="E94" s="41">
        <v>2</v>
      </c>
      <c r="F94" s="39" t="s">
        <v>38</v>
      </c>
      <c r="G94" s="10" t="s">
        <v>32</v>
      </c>
      <c r="H94" s="11">
        <v>0</v>
      </c>
      <c r="I94" s="35">
        <f>117.08+50.18</f>
        <v>167.26</v>
      </c>
      <c r="J94" s="13" t="s">
        <v>33</v>
      </c>
      <c r="K94" s="12">
        <v>156.06</v>
      </c>
      <c r="L94" s="14">
        <v>25.09</v>
      </c>
      <c r="M94" s="11">
        <f t="shared" si="6"/>
        <v>130.97</v>
      </c>
      <c r="N94" s="11">
        <v>2.68</v>
      </c>
      <c r="O94" s="12">
        <v>0</v>
      </c>
      <c r="P94" s="12">
        <f t="shared" si="7"/>
        <v>2.68</v>
      </c>
      <c r="Q94" s="12">
        <v>0</v>
      </c>
      <c r="R94" s="12">
        <v>0</v>
      </c>
      <c r="S94" s="12">
        <f t="shared" si="8"/>
        <v>0</v>
      </c>
      <c r="T94" s="12">
        <v>0</v>
      </c>
      <c r="U94" s="12">
        <v>0</v>
      </c>
      <c r="V94" s="12">
        <f t="shared" si="9"/>
        <v>0</v>
      </c>
      <c r="W94" s="15"/>
      <c r="X94" s="16">
        <v>0</v>
      </c>
      <c r="Y94" s="16">
        <v>0</v>
      </c>
      <c r="Z94" s="16">
        <f t="shared" si="10"/>
        <v>0</v>
      </c>
      <c r="AA94" s="15"/>
      <c r="AB94" s="12">
        <f t="shared" si="11"/>
        <v>300.91000000000003</v>
      </c>
    </row>
    <row r="95" spans="1:28" s="36" customFormat="1">
      <c r="A95" s="5" t="s">
        <v>28</v>
      </c>
      <c r="B95" s="28" t="s">
        <v>29</v>
      </c>
      <c r="C95" s="7">
        <v>76656071449</v>
      </c>
      <c r="D95" s="8" t="s">
        <v>218</v>
      </c>
      <c r="E95" s="41">
        <v>2</v>
      </c>
      <c r="F95" s="33" t="s">
        <v>67</v>
      </c>
      <c r="G95" s="10" t="s">
        <v>32</v>
      </c>
      <c r="H95" s="11">
        <v>0</v>
      </c>
      <c r="I95" s="35">
        <f>115.47+42.23</f>
        <v>157.69999999999999</v>
      </c>
      <c r="J95" s="13" t="s">
        <v>33</v>
      </c>
      <c r="K95" s="12">
        <v>156.06</v>
      </c>
      <c r="L95" s="14">
        <v>21.12</v>
      </c>
      <c r="M95" s="11">
        <f t="shared" si="6"/>
        <v>134.94</v>
      </c>
      <c r="N95" s="11">
        <v>2.68</v>
      </c>
      <c r="O95" s="12">
        <v>0</v>
      </c>
      <c r="P95" s="12">
        <f t="shared" si="7"/>
        <v>2.68</v>
      </c>
      <c r="Q95" s="12">
        <v>0</v>
      </c>
      <c r="R95" s="12">
        <v>0</v>
      </c>
      <c r="S95" s="12">
        <f t="shared" si="8"/>
        <v>0</v>
      </c>
      <c r="T95" s="12">
        <v>128</v>
      </c>
      <c r="U95" s="12">
        <v>0</v>
      </c>
      <c r="V95" s="12">
        <f t="shared" si="9"/>
        <v>128</v>
      </c>
      <c r="W95" s="15" t="s">
        <v>71</v>
      </c>
      <c r="X95" s="16">
        <v>246.38</v>
      </c>
      <c r="Y95" s="16">
        <v>0</v>
      </c>
      <c r="Z95" s="16">
        <f t="shared" si="10"/>
        <v>246.38</v>
      </c>
      <c r="AA95" s="15" t="s">
        <v>83</v>
      </c>
      <c r="AB95" s="12">
        <f t="shared" si="11"/>
        <v>669.7</v>
      </c>
    </row>
    <row r="96" spans="1:28" s="36" customFormat="1">
      <c r="A96" s="5" t="s">
        <v>28</v>
      </c>
      <c r="B96" s="28" t="s">
        <v>29</v>
      </c>
      <c r="C96" s="7">
        <v>76656071449</v>
      </c>
      <c r="D96" s="8" t="s">
        <v>219</v>
      </c>
      <c r="E96" s="41">
        <v>2</v>
      </c>
      <c r="F96" s="31" t="s">
        <v>31</v>
      </c>
      <c r="G96" s="10" t="s">
        <v>32</v>
      </c>
      <c r="H96" s="11">
        <v>0</v>
      </c>
      <c r="I96" s="35">
        <f>100.32+41.8</f>
        <v>142.12</v>
      </c>
      <c r="J96" s="13" t="s">
        <v>33</v>
      </c>
      <c r="K96" s="12">
        <v>156.06</v>
      </c>
      <c r="L96" s="14">
        <v>20.9</v>
      </c>
      <c r="M96" s="11">
        <f t="shared" si="6"/>
        <v>135.16</v>
      </c>
      <c r="N96" s="11">
        <v>2.68</v>
      </c>
      <c r="O96" s="12">
        <v>0</v>
      </c>
      <c r="P96" s="12">
        <f t="shared" si="7"/>
        <v>2.68</v>
      </c>
      <c r="Q96" s="12">
        <v>244.5</v>
      </c>
      <c r="R96" s="12">
        <v>62.7</v>
      </c>
      <c r="S96" s="12">
        <f t="shared" si="8"/>
        <v>181.8</v>
      </c>
      <c r="T96" s="12">
        <v>0</v>
      </c>
      <c r="U96" s="12">
        <v>0</v>
      </c>
      <c r="V96" s="12">
        <f t="shared" si="9"/>
        <v>0</v>
      </c>
      <c r="W96" s="15"/>
      <c r="X96" s="16">
        <v>0</v>
      </c>
      <c r="Y96" s="16">
        <v>0</v>
      </c>
      <c r="Z96" s="16">
        <f t="shared" si="10"/>
        <v>0</v>
      </c>
      <c r="AA96" s="15"/>
      <c r="AB96" s="12">
        <f t="shared" si="11"/>
        <v>461.76</v>
      </c>
    </row>
    <row r="97" spans="1:239" s="36" customFormat="1">
      <c r="A97" s="5" t="s">
        <v>28</v>
      </c>
      <c r="B97" s="28" t="s">
        <v>29</v>
      </c>
      <c r="C97" s="7" t="s">
        <v>220</v>
      </c>
      <c r="D97" s="8" t="s">
        <v>221</v>
      </c>
      <c r="E97" s="41">
        <v>2</v>
      </c>
      <c r="F97" s="31" t="s">
        <v>31</v>
      </c>
      <c r="G97" s="10" t="s">
        <v>32</v>
      </c>
      <c r="H97" s="11">
        <v>0</v>
      </c>
      <c r="I97" s="35">
        <f>137.4+48.49</f>
        <v>185.89000000000001</v>
      </c>
      <c r="J97" s="13" t="s">
        <v>33</v>
      </c>
      <c r="K97" s="12">
        <v>156.06</v>
      </c>
      <c r="L97" s="14">
        <v>24.25</v>
      </c>
      <c r="M97" s="11">
        <f t="shared" si="6"/>
        <v>131.81</v>
      </c>
      <c r="N97" s="11">
        <v>2.68</v>
      </c>
      <c r="O97" s="12">
        <v>0</v>
      </c>
      <c r="P97" s="12">
        <f t="shared" si="7"/>
        <v>2.68</v>
      </c>
      <c r="Q97" s="12">
        <v>122.25</v>
      </c>
      <c r="R97" s="12">
        <v>72.739999999999995</v>
      </c>
      <c r="S97" s="12">
        <f t="shared" si="8"/>
        <v>49.510000000000005</v>
      </c>
      <c r="T97" s="12">
        <v>64</v>
      </c>
      <c r="U97" s="12">
        <v>0</v>
      </c>
      <c r="V97" s="12">
        <f t="shared" si="9"/>
        <v>64</v>
      </c>
      <c r="W97" s="15" t="s">
        <v>71</v>
      </c>
      <c r="X97" s="16">
        <v>0</v>
      </c>
      <c r="Y97" s="16">
        <v>0</v>
      </c>
      <c r="Z97" s="16">
        <f t="shared" si="10"/>
        <v>0</v>
      </c>
      <c r="AA97" s="15"/>
      <c r="AB97" s="12">
        <f t="shared" si="11"/>
        <v>433.89000000000004</v>
      </c>
    </row>
    <row r="98" spans="1:239" s="36" customFormat="1">
      <c r="A98" s="5" t="s">
        <v>28</v>
      </c>
      <c r="B98" s="28" t="s">
        <v>29</v>
      </c>
      <c r="C98" s="7">
        <v>73554553468</v>
      </c>
      <c r="D98" s="8" t="s">
        <v>222</v>
      </c>
      <c r="E98" s="41">
        <v>2</v>
      </c>
      <c r="F98" s="31" t="s">
        <v>31</v>
      </c>
      <c r="G98" s="10" t="s">
        <v>32</v>
      </c>
      <c r="H98" s="11">
        <v>0</v>
      </c>
      <c r="I98" s="35">
        <f>98.16+44.45</f>
        <v>142.61000000000001</v>
      </c>
      <c r="J98" s="13" t="s">
        <v>33</v>
      </c>
      <c r="K98" s="12">
        <v>156.06</v>
      </c>
      <c r="L98" s="14">
        <v>24.25</v>
      </c>
      <c r="M98" s="11">
        <f t="shared" si="6"/>
        <v>131.81</v>
      </c>
      <c r="N98" s="11">
        <v>2.68</v>
      </c>
      <c r="O98" s="12">
        <v>0</v>
      </c>
      <c r="P98" s="12">
        <f t="shared" si="7"/>
        <v>2.68</v>
      </c>
      <c r="Q98" s="12">
        <v>103.5</v>
      </c>
      <c r="R98" s="12">
        <v>72.739999999999995</v>
      </c>
      <c r="S98" s="12">
        <f t="shared" si="8"/>
        <v>30.760000000000005</v>
      </c>
      <c r="T98" s="12">
        <v>121.24</v>
      </c>
      <c r="U98" s="12">
        <v>0</v>
      </c>
      <c r="V98" s="12">
        <v>121.24</v>
      </c>
      <c r="W98" s="15"/>
      <c r="X98" s="16">
        <v>363.72</v>
      </c>
      <c r="Y98" s="16">
        <v>0</v>
      </c>
      <c r="Z98" s="16">
        <f t="shared" si="10"/>
        <v>363.72</v>
      </c>
      <c r="AA98" s="15" t="s">
        <v>83</v>
      </c>
      <c r="AB98" s="12">
        <f t="shared" si="11"/>
        <v>792.82</v>
      </c>
    </row>
    <row r="99" spans="1:239" s="36" customFormat="1">
      <c r="A99" s="5" t="s">
        <v>28</v>
      </c>
      <c r="B99" s="28" t="s">
        <v>29</v>
      </c>
      <c r="C99" s="7">
        <v>66049890463</v>
      </c>
      <c r="D99" s="8" t="s">
        <v>223</v>
      </c>
      <c r="E99" s="41">
        <v>3</v>
      </c>
      <c r="F99" s="33" t="s">
        <v>67</v>
      </c>
      <c r="G99" s="10" t="s">
        <v>32</v>
      </c>
      <c r="H99" s="11">
        <v>0</v>
      </c>
      <c r="I99" s="35">
        <f>100.32+41.8</f>
        <v>142.12</v>
      </c>
      <c r="J99" s="13" t="s">
        <v>33</v>
      </c>
      <c r="K99" s="12">
        <v>156.06</v>
      </c>
      <c r="L99" s="14">
        <v>20.9</v>
      </c>
      <c r="M99" s="11">
        <f t="shared" si="6"/>
        <v>135.16</v>
      </c>
      <c r="N99" s="11">
        <v>2.68</v>
      </c>
      <c r="O99" s="12">
        <v>0</v>
      </c>
      <c r="P99" s="12">
        <f t="shared" si="7"/>
        <v>2.68</v>
      </c>
      <c r="Q99" s="12">
        <v>122.25</v>
      </c>
      <c r="R99" s="12">
        <v>62.7</v>
      </c>
      <c r="S99" s="12">
        <f t="shared" si="8"/>
        <v>59.55</v>
      </c>
      <c r="T99" s="12">
        <v>0</v>
      </c>
      <c r="U99" s="12">
        <v>0</v>
      </c>
      <c r="V99" s="12">
        <f t="shared" si="9"/>
        <v>0</v>
      </c>
      <c r="W99" s="15"/>
      <c r="X99" s="16">
        <v>0</v>
      </c>
      <c r="Y99" s="16">
        <v>0</v>
      </c>
      <c r="Z99" s="16">
        <f t="shared" si="10"/>
        <v>0</v>
      </c>
      <c r="AA99" s="15"/>
      <c r="AB99" s="12">
        <f t="shared" si="11"/>
        <v>339.51</v>
      </c>
    </row>
    <row r="100" spans="1:239" s="36" customFormat="1">
      <c r="A100" s="5" t="s">
        <v>28</v>
      </c>
      <c r="B100" s="28" t="s">
        <v>29</v>
      </c>
      <c r="C100" s="7">
        <v>40791564487</v>
      </c>
      <c r="D100" s="8" t="s">
        <v>224</v>
      </c>
      <c r="E100" s="41">
        <v>3</v>
      </c>
      <c r="F100" s="31" t="s">
        <v>58</v>
      </c>
      <c r="G100" s="10" t="s">
        <v>32</v>
      </c>
      <c r="H100" s="11">
        <v>0</v>
      </c>
      <c r="I100" s="35">
        <f>100.32+41.8</f>
        <v>142.12</v>
      </c>
      <c r="J100" s="13" t="s">
        <v>33</v>
      </c>
      <c r="K100" s="12">
        <v>156.06</v>
      </c>
      <c r="L100" s="14">
        <v>20.9</v>
      </c>
      <c r="M100" s="11">
        <f t="shared" si="6"/>
        <v>135.16</v>
      </c>
      <c r="N100" s="11">
        <v>2.68</v>
      </c>
      <c r="O100" s="12">
        <v>0</v>
      </c>
      <c r="P100" s="12">
        <f t="shared" si="7"/>
        <v>2.68</v>
      </c>
      <c r="Q100" s="12">
        <v>244.5</v>
      </c>
      <c r="R100" s="12">
        <v>62.7</v>
      </c>
      <c r="S100" s="12">
        <f t="shared" si="8"/>
        <v>181.8</v>
      </c>
      <c r="T100" s="12">
        <v>0</v>
      </c>
      <c r="U100" s="12">
        <v>0</v>
      </c>
      <c r="V100" s="12">
        <f t="shared" si="9"/>
        <v>0</v>
      </c>
      <c r="W100" s="15"/>
      <c r="X100" s="16">
        <v>0</v>
      </c>
      <c r="Y100" s="16">
        <v>0</v>
      </c>
      <c r="Z100" s="16">
        <f t="shared" si="10"/>
        <v>0</v>
      </c>
      <c r="AA100" s="15"/>
      <c r="AB100" s="12">
        <f t="shared" si="11"/>
        <v>461.76</v>
      </c>
    </row>
    <row r="101" spans="1:239" s="36" customFormat="1">
      <c r="A101" s="5" t="s">
        <v>28</v>
      </c>
      <c r="B101" s="28" t="s">
        <v>29</v>
      </c>
      <c r="C101" s="7" t="s">
        <v>225</v>
      </c>
      <c r="D101" s="8" t="s">
        <v>226</v>
      </c>
      <c r="E101" s="41">
        <v>2</v>
      </c>
      <c r="F101" s="33" t="s">
        <v>67</v>
      </c>
      <c r="G101" s="10" t="s">
        <v>32</v>
      </c>
      <c r="H101" s="11">
        <v>0</v>
      </c>
      <c r="I101" s="35">
        <f>348.27</f>
        <v>348.27</v>
      </c>
      <c r="J101" s="13" t="s">
        <v>33</v>
      </c>
      <c r="K101" s="12">
        <v>156.06</v>
      </c>
      <c r="L101" s="14">
        <v>2.4300000000000002</v>
      </c>
      <c r="M101" s="11">
        <f t="shared" si="6"/>
        <v>153.63</v>
      </c>
      <c r="N101" s="11">
        <v>5.36</v>
      </c>
      <c r="O101" s="12">
        <v>0</v>
      </c>
      <c r="P101" s="12">
        <f t="shared" si="7"/>
        <v>5.36</v>
      </c>
      <c r="Q101" s="12">
        <v>0</v>
      </c>
      <c r="R101" s="12">
        <v>0</v>
      </c>
      <c r="S101" s="12">
        <f t="shared" si="8"/>
        <v>0</v>
      </c>
      <c r="T101" s="12">
        <v>0</v>
      </c>
      <c r="U101" s="12">
        <v>0</v>
      </c>
      <c r="V101" s="12">
        <f t="shared" si="9"/>
        <v>0</v>
      </c>
      <c r="W101" s="15"/>
      <c r="X101" s="16">
        <v>0</v>
      </c>
      <c r="Y101" s="16">
        <v>0</v>
      </c>
      <c r="Z101" s="16">
        <f t="shared" si="10"/>
        <v>0</v>
      </c>
      <c r="AA101" s="15"/>
      <c r="AB101" s="12">
        <f t="shared" si="11"/>
        <v>507.26</v>
      </c>
    </row>
    <row r="102" spans="1:239" s="36" customFormat="1">
      <c r="A102" s="5" t="s">
        <v>28</v>
      </c>
      <c r="B102" s="28" t="s">
        <v>29</v>
      </c>
      <c r="C102" s="7">
        <v>42713978491</v>
      </c>
      <c r="D102" s="8" t="s">
        <v>227</v>
      </c>
      <c r="E102" s="41">
        <v>2</v>
      </c>
      <c r="F102" s="31" t="s">
        <v>31</v>
      </c>
      <c r="G102" s="10" t="s">
        <v>32</v>
      </c>
      <c r="H102" s="11">
        <v>0</v>
      </c>
      <c r="I102" s="35">
        <f>137.25+48.49</f>
        <v>185.74</v>
      </c>
      <c r="J102" s="13" t="s">
        <v>33</v>
      </c>
      <c r="K102" s="12">
        <v>156.06</v>
      </c>
      <c r="L102" s="14">
        <v>24.25</v>
      </c>
      <c r="M102" s="11">
        <f t="shared" si="6"/>
        <v>131.81</v>
      </c>
      <c r="N102" s="11">
        <v>2.68</v>
      </c>
      <c r="O102" s="12">
        <v>0</v>
      </c>
      <c r="P102" s="12">
        <f t="shared" si="7"/>
        <v>2.68</v>
      </c>
      <c r="Q102" s="12">
        <v>0</v>
      </c>
      <c r="R102" s="12">
        <v>0</v>
      </c>
      <c r="S102" s="12">
        <f t="shared" si="8"/>
        <v>0</v>
      </c>
      <c r="T102" s="12">
        <v>0</v>
      </c>
      <c r="U102" s="12">
        <v>0</v>
      </c>
      <c r="V102" s="12">
        <f t="shared" si="9"/>
        <v>0</v>
      </c>
      <c r="W102" s="15"/>
      <c r="X102" s="16">
        <v>0</v>
      </c>
      <c r="Y102" s="16">
        <v>0</v>
      </c>
      <c r="Z102" s="16">
        <f t="shared" si="10"/>
        <v>0</v>
      </c>
      <c r="AA102" s="15"/>
      <c r="AB102" s="12">
        <f t="shared" si="11"/>
        <v>320.23</v>
      </c>
      <c r="AC102" s="43"/>
      <c r="AD102" s="43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</row>
    <row r="103" spans="1:239" s="36" customFormat="1">
      <c r="A103" s="5" t="s">
        <v>28</v>
      </c>
      <c r="B103" s="28" t="s">
        <v>29</v>
      </c>
      <c r="C103" s="7">
        <v>97586390487</v>
      </c>
      <c r="D103" s="8" t="s">
        <v>228</v>
      </c>
      <c r="E103" s="41">
        <v>2</v>
      </c>
      <c r="F103" s="31" t="s">
        <v>31</v>
      </c>
      <c r="G103" s="10" t="s">
        <v>32</v>
      </c>
      <c r="H103" s="11">
        <v>0</v>
      </c>
      <c r="I103" s="35">
        <f>112.04+48.49</f>
        <v>160.53</v>
      </c>
      <c r="J103" s="13" t="s">
        <v>33</v>
      </c>
      <c r="K103" s="12">
        <v>156.06</v>
      </c>
      <c r="L103" s="14">
        <v>24.25</v>
      </c>
      <c r="M103" s="11">
        <f t="shared" si="6"/>
        <v>131.81</v>
      </c>
      <c r="N103" s="11">
        <v>2.68</v>
      </c>
      <c r="O103" s="12">
        <v>0</v>
      </c>
      <c r="P103" s="12">
        <f t="shared" si="7"/>
        <v>2.68</v>
      </c>
      <c r="Q103" s="12">
        <v>326</v>
      </c>
      <c r="R103" s="12">
        <v>72.739999999999995</v>
      </c>
      <c r="S103" s="12">
        <f t="shared" si="8"/>
        <v>253.26</v>
      </c>
      <c r="T103" s="12">
        <v>444.55</v>
      </c>
      <c r="U103" s="12">
        <v>0</v>
      </c>
      <c r="V103" s="12">
        <v>444.55</v>
      </c>
      <c r="W103" s="15"/>
      <c r="X103" s="16">
        <v>121.24</v>
      </c>
      <c r="Y103" s="16">
        <v>0</v>
      </c>
      <c r="Z103" s="16">
        <f t="shared" si="10"/>
        <v>121.24</v>
      </c>
      <c r="AA103" s="15" t="s">
        <v>83</v>
      </c>
      <c r="AB103" s="12">
        <f t="shared" si="11"/>
        <v>1114.07</v>
      </c>
    </row>
    <row r="104" spans="1:239" s="36" customFormat="1">
      <c r="A104" s="5" t="s">
        <v>28</v>
      </c>
      <c r="B104" s="28" t="s">
        <v>29</v>
      </c>
      <c r="C104" s="7" t="s">
        <v>229</v>
      </c>
      <c r="D104" s="8" t="s">
        <v>230</v>
      </c>
      <c r="E104" s="41">
        <v>2</v>
      </c>
      <c r="F104" s="39" t="s">
        <v>86</v>
      </c>
      <c r="G104" s="10" t="s">
        <v>32</v>
      </c>
      <c r="H104" s="11">
        <v>0</v>
      </c>
      <c r="I104" s="35">
        <f>134.09+48.49</f>
        <v>182.58</v>
      </c>
      <c r="J104" s="13" t="s">
        <v>33</v>
      </c>
      <c r="K104" s="12">
        <v>156.06</v>
      </c>
      <c r="L104" s="14">
        <v>24.25</v>
      </c>
      <c r="M104" s="11">
        <f t="shared" si="6"/>
        <v>131.81</v>
      </c>
      <c r="N104" s="11">
        <v>2.68</v>
      </c>
      <c r="O104" s="12">
        <v>0</v>
      </c>
      <c r="P104" s="12">
        <f t="shared" si="7"/>
        <v>2.68</v>
      </c>
      <c r="Q104" s="12">
        <v>103.5</v>
      </c>
      <c r="R104" s="12">
        <v>72.739999999999995</v>
      </c>
      <c r="S104" s="12">
        <f t="shared" si="8"/>
        <v>30.760000000000005</v>
      </c>
      <c r="T104" s="12">
        <v>0</v>
      </c>
      <c r="U104" s="12">
        <v>0</v>
      </c>
      <c r="V104" s="12">
        <f t="shared" si="9"/>
        <v>0</v>
      </c>
      <c r="W104" s="15"/>
      <c r="X104" s="16">
        <v>0</v>
      </c>
      <c r="Y104" s="16">
        <v>0</v>
      </c>
      <c r="Z104" s="16">
        <f t="shared" si="10"/>
        <v>0</v>
      </c>
      <c r="AA104" s="15"/>
      <c r="AB104" s="12">
        <f t="shared" si="11"/>
        <v>347.83</v>
      </c>
    </row>
    <row r="105" spans="1:239" s="36" customFormat="1">
      <c r="A105" s="5" t="s">
        <v>28</v>
      </c>
      <c r="B105" s="28" t="s">
        <v>29</v>
      </c>
      <c r="C105" s="7">
        <v>86334050400</v>
      </c>
      <c r="D105" s="8" t="s">
        <v>231</v>
      </c>
      <c r="E105" s="41">
        <v>2</v>
      </c>
      <c r="F105" s="32" t="s">
        <v>232</v>
      </c>
      <c r="G105" s="10" t="s">
        <v>32</v>
      </c>
      <c r="H105" s="11">
        <v>0</v>
      </c>
      <c r="I105" s="35">
        <f>340.84</f>
        <v>340.84</v>
      </c>
      <c r="J105" s="13" t="s">
        <v>33</v>
      </c>
      <c r="K105" s="12">
        <v>156.06</v>
      </c>
      <c r="L105" s="14">
        <v>13.38</v>
      </c>
      <c r="M105" s="11">
        <f t="shared" si="6"/>
        <v>142.68</v>
      </c>
      <c r="N105" s="11">
        <v>2.68</v>
      </c>
      <c r="O105" s="12">
        <v>0</v>
      </c>
      <c r="P105" s="12">
        <f t="shared" si="7"/>
        <v>2.68</v>
      </c>
      <c r="Q105" s="12">
        <v>0</v>
      </c>
      <c r="R105" s="12">
        <v>0</v>
      </c>
      <c r="S105" s="12">
        <f t="shared" si="8"/>
        <v>0</v>
      </c>
      <c r="T105" s="12">
        <v>0</v>
      </c>
      <c r="U105" s="12">
        <v>0</v>
      </c>
      <c r="V105" s="12">
        <f t="shared" si="9"/>
        <v>0</v>
      </c>
      <c r="W105" s="15"/>
      <c r="X105" s="16">
        <v>0</v>
      </c>
      <c r="Y105" s="16">
        <v>0</v>
      </c>
      <c r="Z105" s="16">
        <f t="shared" si="10"/>
        <v>0</v>
      </c>
      <c r="AA105" s="15"/>
      <c r="AB105" s="12">
        <f t="shared" si="11"/>
        <v>486.2</v>
      </c>
    </row>
    <row r="106" spans="1:239" s="36" customFormat="1">
      <c r="A106" s="5" t="s">
        <v>28</v>
      </c>
      <c r="B106" s="28" t="s">
        <v>29</v>
      </c>
      <c r="C106" s="7" t="s">
        <v>233</v>
      </c>
      <c r="D106" s="8" t="s">
        <v>234</v>
      </c>
      <c r="E106" s="41">
        <v>3</v>
      </c>
      <c r="F106" s="39" t="s">
        <v>119</v>
      </c>
      <c r="G106" s="10" t="s">
        <v>32</v>
      </c>
      <c r="H106" s="11">
        <v>0</v>
      </c>
      <c r="I106" s="35">
        <f>109.1+47.3</f>
        <v>156.39999999999998</v>
      </c>
      <c r="J106" s="13" t="s">
        <v>33</v>
      </c>
      <c r="K106" s="12">
        <v>156.06</v>
      </c>
      <c r="L106" s="14">
        <v>23.65</v>
      </c>
      <c r="M106" s="11">
        <f t="shared" si="6"/>
        <v>132.41</v>
      </c>
      <c r="N106" s="11">
        <v>2.68</v>
      </c>
      <c r="O106" s="12">
        <v>0</v>
      </c>
      <c r="P106" s="12">
        <f t="shared" si="7"/>
        <v>2.68</v>
      </c>
      <c r="Q106" s="12">
        <v>0</v>
      </c>
      <c r="R106" s="12">
        <v>0</v>
      </c>
      <c r="S106" s="12">
        <f t="shared" si="8"/>
        <v>0</v>
      </c>
      <c r="T106" s="12">
        <v>0</v>
      </c>
      <c r="U106" s="12">
        <v>0</v>
      </c>
      <c r="V106" s="12">
        <f t="shared" si="9"/>
        <v>0</v>
      </c>
      <c r="W106" s="15"/>
      <c r="X106" s="16">
        <v>157.69999999999999</v>
      </c>
      <c r="Y106" s="16">
        <v>0</v>
      </c>
      <c r="Z106" s="16">
        <f t="shared" si="10"/>
        <v>157.69999999999999</v>
      </c>
      <c r="AA106" s="15" t="s">
        <v>83</v>
      </c>
      <c r="AB106" s="12">
        <f t="shared" si="11"/>
        <v>449.18999999999994</v>
      </c>
    </row>
    <row r="107" spans="1:239" s="36" customFormat="1">
      <c r="A107" s="5" t="s">
        <v>28</v>
      </c>
      <c r="B107" s="28" t="s">
        <v>29</v>
      </c>
      <c r="C107" s="7" t="s">
        <v>235</v>
      </c>
      <c r="D107" s="8" t="s">
        <v>236</v>
      </c>
      <c r="E107" s="41">
        <v>3</v>
      </c>
      <c r="F107" s="31" t="s">
        <v>70</v>
      </c>
      <c r="G107" s="10" t="s">
        <v>32</v>
      </c>
      <c r="H107" s="11">
        <v>0</v>
      </c>
      <c r="I107" s="35">
        <f>287.97+135.62</f>
        <v>423.59000000000003</v>
      </c>
      <c r="J107" s="13" t="s">
        <v>33</v>
      </c>
      <c r="K107" s="12">
        <v>156.06</v>
      </c>
      <c r="L107" s="14">
        <v>67.81</v>
      </c>
      <c r="M107" s="11">
        <f t="shared" si="6"/>
        <v>88.25</v>
      </c>
      <c r="N107" s="11">
        <v>2.68</v>
      </c>
      <c r="O107" s="12">
        <v>0</v>
      </c>
      <c r="P107" s="12">
        <f t="shared" si="7"/>
        <v>2.68</v>
      </c>
      <c r="Q107" s="12">
        <v>0</v>
      </c>
      <c r="R107" s="12">
        <v>0</v>
      </c>
      <c r="S107" s="12">
        <f t="shared" si="8"/>
        <v>0</v>
      </c>
      <c r="T107" s="12">
        <v>0</v>
      </c>
      <c r="U107" s="12">
        <v>0</v>
      </c>
      <c r="V107" s="12">
        <f t="shared" si="9"/>
        <v>0</v>
      </c>
      <c r="W107" s="15"/>
      <c r="X107" s="16">
        <v>0</v>
      </c>
      <c r="Y107" s="16">
        <v>0</v>
      </c>
      <c r="Z107" s="16">
        <f t="shared" si="10"/>
        <v>0</v>
      </c>
      <c r="AA107" s="15"/>
      <c r="AB107" s="12">
        <f t="shared" si="11"/>
        <v>514.52</v>
      </c>
    </row>
    <row r="108" spans="1:239" s="36" customFormat="1">
      <c r="A108" s="5" t="s">
        <v>28</v>
      </c>
      <c r="B108" s="28" t="s">
        <v>29</v>
      </c>
      <c r="C108" s="7" t="s">
        <v>237</v>
      </c>
      <c r="D108" s="8" t="s">
        <v>238</v>
      </c>
      <c r="E108" s="41">
        <v>3</v>
      </c>
      <c r="F108" s="31" t="s">
        <v>58</v>
      </c>
      <c r="G108" s="10" t="s">
        <v>32</v>
      </c>
      <c r="H108" s="11">
        <v>0</v>
      </c>
      <c r="I108" s="35">
        <f>103.1+41.8</f>
        <v>144.89999999999998</v>
      </c>
      <c r="J108" s="13" t="s">
        <v>33</v>
      </c>
      <c r="K108" s="12">
        <v>156.06</v>
      </c>
      <c r="L108" s="14">
        <v>20.9</v>
      </c>
      <c r="M108" s="11">
        <f t="shared" si="6"/>
        <v>135.16</v>
      </c>
      <c r="N108" s="11">
        <v>2.68</v>
      </c>
      <c r="O108" s="12">
        <v>0</v>
      </c>
      <c r="P108" s="12">
        <f t="shared" si="7"/>
        <v>2.68</v>
      </c>
      <c r="Q108" s="12">
        <v>0</v>
      </c>
      <c r="R108" s="12">
        <v>0</v>
      </c>
      <c r="S108" s="12">
        <f t="shared" si="8"/>
        <v>0</v>
      </c>
      <c r="T108" s="12">
        <v>0</v>
      </c>
      <c r="U108" s="12">
        <v>0</v>
      </c>
      <c r="V108" s="12">
        <f t="shared" si="9"/>
        <v>0</v>
      </c>
      <c r="W108" s="15"/>
      <c r="X108" s="16">
        <v>0</v>
      </c>
      <c r="Y108" s="16">
        <v>0</v>
      </c>
      <c r="Z108" s="16">
        <f t="shared" si="10"/>
        <v>0</v>
      </c>
      <c r="AA108" s="15"/>
      <c r="AB108" s="12">
        <f t="shared" si="11"/>
        <v>282.73999999999995</v>
      </c>
    </row>
    <row r="109" spans="1:239" s="36" customFormat="1">
      <c r="A109" s="5" t="s">
        <v>28</v>
      </c>
      <c r="B109" s="28" t="s">
        <v>29</v>
      </c>
      <c r="C109" s="7" t="s">
        <v>239</v>
      </c>
      <c r="D109" s="8" t="s">
        <v>240</v>
      </c>
      <c r="E109" s="41">
        <v>2</v>
      </c>
      <c r="F109" s="31" t="s">
        <v>70</v>
      </c>
      <c r="G109" s="10" t="s">
        <v>32</v>
      </c>
      <c r="H109" s="11">
        <v>0</v>
      </c>
      <c r="I109" s="35">
        <f>187.88</f>
        <v>187.88</v>
      </c>
      <c r="J109" s="13" t="s">
        <v>33</v>
      </c>
      <c r="K109" s="12">
        <v>156.06</v>
      </c>
      <c r="L109" s="14">
        <v>2.4300000000000002</v>
      </c>
      <c r="M109" s="11">
        <f t="shared" si="6"/>
        <v>153.63</v>
      </c>
      <c r="N109" s="11">
        <v>5.36</v>
      </c>
      <c r="O109" s="12">
        <v>0</v>
      </c>
      <c r="P109" s="12">
        <f t="shared" si="7"/>
        <v>5.36</v>
      </c>
      <c r="Q109" s="12">
        <v>0</v>
      </c>
      <c r="R109" s="12">
        <v>0</v>
      </c>
      <c r="S109" s="12">
        <f t="shared" si="8"/>
        <v>0</v>
      </c>
      <c r="T109" s="12">
        <v>0</v>
      </c>
      <c r="U109" s="12">
        <v>0</v>
      </c>
      <c r="V109" s="12">
        <f t="shared" si="9"/>
        <v>0</v>
      </c>
      <c r="W109" s="15"/>
      <c r="X109" s="16">
        <v>0</v>
      </c>
      <c r="Y109" s="16">
        <v>0</v>
      </c>
      <c r="Z109" s="16">
        <f t="shared" si="10"/>
        <v>0</v>
      </c>
      <c r="AA109" s="15"/>
      <c r="AB109" s="12">
        <f t="shared" si="11"/>
        <v>346.87</v>
      </c>
    </row>
    <row r="110" spans="1:239" s="36" customFormat="1">
      <c r="A110" s="5" t="s">
        <v>28</v>
      </c>
      <c r="B110" s="28" t="s">
        <v>29</v>
      </c>
      <c r="C110" s="7" t="s">
        <v>241</v>
      </c>
      <c r="D110" s="8" t="s">
        <v>242</v>
      </c>
      <c r="E110" s="41">
        <v>3</v>
      </c>
      <c r="F110" s="31" t="s">
        <v>243</v>
      </c>
      <c r="G110" s="10" t="s">
        <v>32</v>
      </c>
      <c r="H110" s="11">
        <v>0</v>
      </c>
      <c r="I110" s="35">
        <f>121.22+41.8</f>
        <v>163.01999999999998</v>
      </c>
      <c r="J110" s="13" t="s">
        <v>33</v>
      </c>
      <c r="K110" s="12">
        <v>156.06</v>
      </c>
      <c r="L110" s="14">
        <v>20.9</v>
      </c>
      <c r="M110" s="11">
        <f t="shared" si="6"/>
        <v>135.16</v>
      </c>
      <c r="N110" s="11">
        <v>2.68</v>
      </c>
      <c r="O110" s="12">
        <v>0</v>
      </c>
      <c r="P110" s="12">
        <f t="shared" si="7"/>
        <v>2.68</v>
      </c>
      <c r="Q110" s="12">
        <v>0</v>
      </c>
      <c r="R110" s="12">
        <v>0</v>
      </c>
      <c r="S110" s="12">
        <f t="shared" si="8"/>
        <v>0</v>
      </c>
      <c r="T110" s="12">
        <v>0</v>
      </c>
      <c r="U110" s="12">
        <v>0</v>
      </c>
      <c r="V110" s="12">
        <f t="shared" si="9"/>
        <v>0</v>
      </c>
      <c r="W110" s="15" t="s">
        <v>71</v>
      </c>
      <c r="X110" s="16">
        <v>0</v>
      </c>
      <c r="Y110" s="16">
        <v>0</v>
      </c>
      <c r="Z110" s="16">
        <f t="shared" si="10"/>
        <v>0</v>
      </c>
      <c r="AA110" s="15"/>
      <c r="AB110" s="12">
        <f t="shared" si="11"/>
        <v>300.85999999999996</v>
      </c>
    </row>
    <row r="111" spans="1:239" s="36" customFormat="1">
      <c r="A111" s="5" t="s">
        <v>28</v>
      </c>
      <c r="B111" s="28" t="s">
        <v>29</v>
      </c>
      <c r="C111" s="34" t="s">
        <v>244</v>
      </c>
      <c r="D111" s="8" t="s">
        <v>245</v>
      </c>
      <c r="E111" s="8">
        <v>2</v>
      </c>
      <c r="F111" s="9" t="s">
        <v>31</v>
      </c>
      <c r="G111" s="10" t="s">
        <v>32</v>
      </c>
      <c r="H111" s="11">
        <v>0</v>
      </c>
      <c r="I111" s="35">
        <f>112.5+12.12</f>
        <v>124.62</v>
      </c>
      <c r="J111" s="13">
        <v>0</v>
      </c>
      <c r="K111" s="12">
        <v>156.06</v>
      </c>
      <c r="L111" s="14">
        <v>24.25</v>
      </c>
      <c r="M111" s="11">
        <f t="shared" si="6"/>
        <v>131.81</v>
      </c>
      <c r="N111" s="11">
        <v>2.68</v>
      </c>
      <c r="O111" s="12">
        <v>0</v>
      </c>
      <c r="P111" s="12">
        <f t="shared" si="7"/>
        <v>2.68</v>
      </c>
      <c r="Q111" s="12">
        <v>141</v>
      </c>
      <c r="R111" s="12">
        <v>72.739999999999995</v>
      </c>
      <c r="S111" s="12">
        <f t="shared" si="8"/>
        <v>68.260000000000005</v>
      </c>
      <c r="T111" s="12">
        <v>0</v>
      </c>
      <c r="U111" s="12">
        <v>0</v>
      </c>
      <c r="V111" s="12">
        <f t="shared" si="9"/>
        <v>0</v>
      </c>
      <c r="W111" s="15"/>
      <c r="X111" s="16">
        <v>202.07</v>
      </c>
      <c r="Y111" s="16">
        <v>0</v>
      </c>
      <c r="Z111" s="16">
        <v>0</v>
      </c>
      <c r="AA111" s="15" t="s">
        <v>83</v>
      </c>
      <c r="AB111" s="12">
        <f t="shared" si="11"/>
        <v>327.37</v>
      </c>
    </row>
    <row r="112" spans="1:239" s="36" customFormat="1">
      <c r="A112" s="5" t="s">
        <v>28</v>
      </c>
      <c r="B112" s="28" t="s">
        <v>29</v>
      </c>
      <c r="C112" s="7" t="s">
        <v>246</v>
      </c>
      <c r="D112" s="8" t="s">
        <v>247</v>
      </c>
      <c r="E112" s="41">
        <v>3</v>
      </c>
      <c r="F112" s="31" t="s">
        <v>46</v>
      </c>
      <c r="G112" s="10" t="s">
        <v>32</v>
      </c>
      <c r="H112" s="11">
        <v>0</v>
      </c>
      <c r="I112" s="35">
        <f>223.72+103.5</f>
        <v>327.22000000000003</v>
      </c>
      <c r="J112" s="13" t="s">
        <v>33</v>
      </c>
      <c r="K112" s="12">
        <v>156.06</v>
      </c>
      <c r="L112" s="14">
        <v>51.75</v>
      </c>
      <c r="M112" s="11">
        <f t="shared" si="6"/>
        <v>104.31</v>
      </c>
      <c r="N112" s="11">
        <v>2.68</v>
      </c>
      <c r="O112" s="12">
        <v>0</v>
      </c>
      <c r="P112" s="12">
        <f t="shared" si="7"/>
        <v>2.68</v>
      </c>
      <c r="Q112" s="12">
        <v>0</v>
      </c>
      <c r="R112" s="12">
        <v>0</v>
      </c>
      <c r="S112" s="12">
        <f t="shared" si="8"/>
        <v>0</v>
      </c>
      <c r="T112" s="12">
        <v>0</v>
      </c>
      <c r="U112" s="12">
        <v>0</v>
      </c>
      <c r="V112" s="12">
        <f t="shared" si="9"/>
        <v>0</v>
      </c>
      <c r="W112" s="15"/>
      <c r="X112" s="16">
        <v>0</v>
      </c>
      <c r="Y112" s="16">
        <v>0</v>
      </c>
      <c r="Z112" s="16">
        <f t="shared" si="10"/>
        <v>0</v>
      </c>
      <c r="AA112" s="15"/>
      <c r="AB112" s="12">
        <f t="shared" si="11"/>
        <v>434.21000000000004</v>
      </c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  <c r="ID112" s="43"/>
      <c r="IE112" s="43"/>
    </row>
    <row r="113" spans="1:239" s="36" customFormat="1">
      <c r="A113" s="5" t="s">
        <v>28</v>
      </c>
      <c r="B113" s="28" t="s">
        <v>29</v>
      </c>
      <c r="C113" s="7" t="s">
        <v>248</v>
      </c>
      <c r="D113" s="8" t="s">
        <v>249</v>
      </c>
      <c r="E113" s="41">
        <v>2</v>
      </c>
      <c r="F113" s="31" t="s">
        <v>70</v>
      </c>
      <c r="G113" s="10" t="s">
        <v>32</v>
      </c>
      <c r="H113" s="11">
        <v>0</v>
      </c>
      <c r="I113" s="35">
        <f>255.84</f>
        <v>255.84</v>
      </c>
      <c r="J113" s="13" t="s">
        <v>33</v>
      </c>
      <c r="K113" s="12">
        <v>156.06</v>
      </c>
      <c r="L113" s="14">
        <v>0</v>
      </c>
      <c r="M113" s="11">
        <f t="shared" si="6"/>
        <v>156.06</v>
      </c>
      <c r="N113" s="11">
        <v>4.3600000000000003</v>
      </c>
      <c r="O113" s="12">
        <v>0</v>
      </c>
      <c r="P113" s="12">
        <f t="shared" si="7"/>
        <v>4.3600000000000003</v>
      </c>
      <c r="Q113" s="12">
        <v>0</v>
      </c>
      <c r="R113" s="12">
        <v>0</v>
      </c>
      <c r="S113" s="12">
        <f t="shared" si="8"/>
        <v>0</v>
      </c>
      <c r="T113" s="12">
        <v>0</v>
      </c>
      <c r="U113" s="12">
        <v>0</v>
      </c>
      <c r="V113" s="12">
        <f t="shared" si="9"/>
        <v>0</v>
      </c>
      <c r="W113" s="15"/>
      <c r="X113" s="16">
        <v>0</v>
      </c>
      <c r="Y113" s="16">
        <v>0</v>
      </c>
      <c r="Z113" s="16">
        <v>0</v>
      </c>
      <c r="AA113" s="15"/>
      <c r="AB113" s="12">
        <f t="shared" si="11"/>
        <v>416.26</v>
      </c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  <c r="GS113" s="43"/>
      <c r="GT113" s="43"/>
      <c r="GU113" s="43"/>
      <c r="GV113" s="43"/>
      <c r="GW113" s="43"/>
      <c r="GX113" s="43"/>
      <c r="GY113" s="43"/>
      <c r="GZ113" s="43"/>
      <c r="HA113" s="43"/>
      <c r="HB113" s="43"/>
      <c r="HC113" s="43"/>
      <c r="HD113" s="43"/>
      <c r="HE113" s="43"/>
      <c r="HF113" s="43"/>
      <c r="HG113" s="43"/>
      <c r="HH113" s="43"/>
      <c r="HI113" s="43"/>
      <c r="HJ113" s="43"/>
      <c r="HK113" s="43"/>
      <c r="HL113" s="43"/>
      <c r="HM113" s="43"/>
      <c r="HN113" s="43"/>
      <c r="HO113" s="43"/>
      <c r="HP113" s="43"/>
      <c r="HQ113" s="43"/>
      <c r="HR113" s="43"/>
      <c r="HS113" s="43"/>
      <c r="HT113" s="43"/>
      <c r="HU113" s="43"/>
      <c r="HV113" s="43"/>
      <c r="HW113" s="43"/>
      <c r="HX113" s="43"/>
      <c r="HY113" s="43"/>
      <c r="HZ113" s="43"/>
      <c r="IA113" s="43"/>
      <c r="IB113" s="43"/>
      <c r="IC113" s="43"/>
      <c r="ID113" s="43"/>
      <c r="IE113" s="43"/>
    </row>
    <row r="114" spans="1:239" s="36" customFormat="1">
      <c r="A114" s="5" t="s">
        <v>28</v>
      </c>
      <c r="B114" s="28" t="s">
        <v>29</v>
      </c>
      <c r="C114" s="34" t="s">
        <v>250</v>
      </c>
      <c r="D114" s="8" t="s">
        <v>251</v>
      </c>
      <c r="E114" s="8">
        <v>2</v>
      </c>
      <c r="F114" s="9" t="s">
        <v>58</v>
      </c>
      <c r="G114" s="10" t="s">
        <v>32</v>
      </c>
      <c r="H114" s="11">
        <v>0</v>
      </c>
      <c r="I114" s="35">
        <f>158.46+23.62</f>
        <v>182.08</v>
      </c>
      <c r="J114" s="13">
        <v>0</v>
      </c>
      <c r="K114" s="12">
        <v>156.06</v>
      </c>
      <c r="L114" s="14">
        <v>2.4300000000000002</v>
      </c>
      <c r="M114" s="11">
        <f t="shared" si="6"/>
        <v>153.63</v>
      </c>
      <c r="N114" s="11">
        <v>5.36</v>
      </c>
      <c r="O114" s="12">
        <v>0</v>
      </c>
      <c r="P114" s="12">
        <f t="shared" si="7"/>
        <v>5.36</v>
      </c>
      <c r="Q114" s="12">
        <v>376</v>
      </c>
      <c r="R114" s="12">
        <v>106.31</v>
      </c>
      <c r="S114" s="12">
        <f t="shared" si="8"/>
        <v>269.69</v>
      </c>
      <c r="T114" s="12">
        <v>0</v>
      </c>
      <c r="U114" s="12">
        <v>0</v>
      </c>
      <c r="V114" s="12">
        <f t="shared" si="9"/>
        <v>0</v>
      </c>
      <c r="W114" s="15"/>
      <c r="X114" s="16">
        <v>0</v>
      </c>
      <c r="Y114" s="16">
        <v>0</v>
      </c>
      <c r="Z114" s="16">
        <v>0</v>
      </c>
      <c r="AA114" s="15"/>
      <c r="AB114" s="12">
        <f t="shared" si="11"/>
        <v>610.76</v>
      </c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  <c r="GS114" s="43"/>
      <c r="GT114" s="43"/>
      <c r="GU114" s="43"/>
      <c r="GV114" s="43"/>
      <c r="GW114" s="43"/>
      <c r="GX114" s="43"/>
      <c r="GY114" s="43"/>
      <c r="GZ114" s="43"/>
      <c r="HA114" s="43"/>
      <c r="HB114" s="43"/>
      <c r="HC114" s="43"/>
      <c r="HD114" s="43"/>
      <c r="HE114" s="43"/>
      <c r="HF114" s="43"/>
      <c r="HG114" s="43"/>
      <c r="HH114" s="43"/>
      <c r="HI114" s="43"/>
      <c r="HJ114" s="43"/>
      <c r="HK114" s="43"/>
      <c r="HL114" s="43"/>
      <c r="HM114" s="43"/>
      <c r="HN114" s="43"/>
      <c r="HO114" s="43"/>
      <c r="HP114" s="43"/>
      <c r="HQ114" s="43"/>
      <c r="HR114" s="43"/>
      <c r="HS114" s="43"/>
      <c r="HT114" s="43"/>
      <c r="HU114" s="43"/>
      <c r="HV114" s="43"/>
      <c r="HW114" s="43"/>
      <c r="HX114" s="43"/>
      <c r="HY114" s="43"/>
      <c r="HZ114" s="43"/>
      <c r="IA114" s="43"/>
      <c r="IB114" s="43"/>
      <c r="IC114" s="43"/>
      <c r="ID114" s="43"/>
      <c r="IE114" s="43"/>
    </row>
    <row r="115" spans="1:239" s="36" customFormat="1">
      <c r="A115" s="5" t="s">
        <v>28</v>
      </c>
      <c r="B115" s="28" t="s">
        <v>29</v>
      </c>
      <c r="C115" s="7">
        <v>66715300410</v>
      </c>
      <c r="D115" s="8" t="s">
        <v>252</v>
      </c>
      <c r="E115" s="41">
        <v>3</v>
      </c>
      <c r="F115" s="31" t="s">
        <v>31</v>
      </c>
      <c r="G115" s="10" t="s">
        <v>32</v>
      </c>
      <c r="H115" s="11">
        <v>0</v>
      </c>
      <c r="I115" s="35">
        <f>115.64+27.86</f>
        <v>143.5</v>
      </c>
      <c r="J115" s="13" t="s">
        <v>33</v>
      </c>
      <c r="K115" s="12">
        <v>156.06</v>
      </c>
      <c r="L115" s="14">
        <v>20.9</v>
      </c>
      <c r="M115" s="11">
        <f t="shared" si="6"/>
        <v>135.16</v>
      </c>
      <c r="N115" s="11">
        <v>2.68</v>
      </c>
      <c r="O115" s="12">
        <v>0</v>
      </c>
      <c r="P115" s="12">
        <f t="shared" si="7"/>
        <v>2.68</v>
      </c>
      <c r="Q115" s="12">
        <v>326</v>
      </c>
      <c r="R115" s="12">
        <v>62.7</v>
      </c>
      <c r="S115" s="12">
        <f t="shared" si="8"/>
        <v>263.3</v>
      </c>
      <c r="T115" s="12">
        <v>0</v>
      </c>
      <c r="U115" s="12">
        <v>0</v>
      </c>
      <c r="V115" s="12">
        <f t="shared" si="9"/>
        <v>0</v>
      </c>
      <c r="W115" s="15"/>
      <c r="X115" s="16">
        <v>0</v>
      </c>
      <c r="Y115" s="16">
        <v>0</v>
      </c>
      <c r="Z115" s="16">
        <f t="shared" si="10"/>
        <v>0</v>
      </c>
      <c r="AA115" s="15"/>
      <c r="AB115" s="12">
        <f t="shared" si="11"/>
        <v>544.64</v>
      </c>
      <c r="AC115" s="43"/>
      <c r="AD115" s="43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</row>
    <row r="116" spans="1:239" s="36" customFormat="1">
      <c r="A116" s="5" t="s">
        <v>28</v>
      </c>
      <c r="B116" s="28" t="s">
        <v>29</v>
      </c>
      <c r="C116" s="34" t="s">
        <v>253</v>
      </c>
      <c r="D116" s="8" t="s">
        <v>254</v>
      </c>
      <c r="E116" s="8">
        <v>3</v>
      </c>
      <c r="F116" s="9" t="s">
        <v>38</v>
      </c>
      <c r="G116" s="10" t="s">
        <v>32</v>
      </c>
      <c r="H116" s="11">
        <v>0</v>
      </c>
      <c r="I116" s="35">
        <f>101.19+14.07</f>
        <v>115.25999999999999</v>
      </c>
      <c r="J116" s="13">
        <v>0</v>
      </c>
      <c r="K116" s="12">
        <v>156.06</v>
      </c>
      <c r="L116" s="14">
        <v>21.12</v>
      </c>
      <c r="M116" s="11">
        <f t="shared" si="6"/>
        <v>134.94</v>
      </c>
      <c r="N116" s="11">
        <v>2.68</v>
      </c>
      <c r="O116" s="12">
        <v>0</v>
      </c>
      <c r="P116" s="12">
        <v>2.68</v>
      </c>
      <c r="Q116" s="12">
        <v>0</v>
      </c>
      <c r="R116" s="12">
        <v>0</v>
      </c>
      <c r="S116" s="12">
        <f t="shared" si="8"/>
        <v>0</v>
      </c>
      <c r="T116" s="12">
        <v>0</v>
      </c>
      <c r="U116" s="12">
        <v>0</v>
      </c>
      <c r="V116" s="12">
        <f t="shared" si="9"/>
        <v>0</v>
      </c>
      <c r="W116" s="15"/>
      <c r="X116" s="16">
        <v>0</v>
      </c>
      <c r="Y116" s="16">
        <v>0</v>
      </c>
      <c r="Z116" s="16">
        <v>0</v>
      </c>
      <c r="AA116" s="15"/>
      <c r="AB116" s="12">
        <f t="shared" si="11"/>
        <v>252.88</v>
      </c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  <c r="GL116" s="43"/>
      <c r="GM116" s="43"/>
      <c r="GN116" s="43"/>
      <c r="GO116" s="43"/>
      <c r="GP116" s="43"/>
      <c r="GQ116" s="43"/>
      <c r="GR116" s="43"/>
      <c r="GS116" s="43"/>
      <c r="GT116" s="43"/>
      <c r="GU116" s="43"/>
      <c r="GV116" s="43"/>
      <c r="GW116" s="43"/>
      <c r="GX116" s="43"/>
      <c r="GY116" s="43"/>
      <c r="GZ116" s="43"/>
      <c r="HA116" s="43"/>
      <c r="HB116" s="43"/>
      <c r="HC116" s="43"/>
      <c r="HD116" s="43"/>
      <c r="HE116" s="43"/>
      <c r="HF116" s="43"/>
      <c r="HG116" s="43"/>
      <c r="HH116" s="43"/>
      <c r="HI116" s="43"/>
      <c r="HJ116" s="43"/>
      <c r="HK116" s="43"/>
      <c r="HL116" s="43"/>
      <c r="HM116" s="43"/>
      <c r="HN116" s="43"/>
      <c r="HO116" s="43"/>
      <c r="HP116" s="43"/>
      <c r="HQ116" s="43"/>
      <c r="HR116" s="43"/>
      <c r="HS116" s="43"/>
      <c r="HT116" s="43"/>
      <c r="HU116" s="43"/>
      <c r="HV116" s="43"/>
      <c r="HW116" s="43"/>
      <c r="HX116" s="43"/>
      <c r="HY116" s="43"/>
      <c r="HZ116" s="43"/>
      <c r="IA116" s="43"/>
      <c r="IB116" s="43"/>
      <c r="IC116" s="43"/>
      <c r="ID116" s="43"/>
      <c r="IE116" s="43"/>
    </row>
    <row r="117" spans="1:239" s="36" customFormat="1">
      <c r="A117" s="5" t="s">
        <v>28</v>
      </c>
      <c r="B117" s="28" t="s">
        <v>29</v>
      </c>
      <c r="C117" s="7" t="s">
        <v>255</v>
      </c>
      <c r="D117" s="8" t="s">
        <v>256</v>
      </c>
      <c r="E117" s="41">
        <v>2</v>
      </c>
      <c r="F117" s="31" t="s">
        <v>31</v>
      </c>
      <c r="G117" s="10" t="s">
        <v>32</v>
      </c>
      <c r="H117" s="11">
        <v>0</v>
      </c>
      <c r="I117" s="35">
        <f>135.69+48.49</f>
        <v>184.18</v>
      </c>
      <c r="J117" s="13" t="s">
        <v>33</v>
      </c>
      <c r="K117" s="12">
        <v>156.06</v>
      </c>
      <c r="L117" s="14">
        <v>24.25</v>
      </c>
      <c r="M117" s="11">
        <f t="shared" si="6"/>
        <v>131.81</v>
      </c>
      <c r="N117" s="11">
        <v>2.68</v>
      </c>
      <c r="O117" s="12">
        <v>0</v>
      </c>
      <c r="P117" s="12">
        <f t="shared" si="7"/>
        <v>2.68</v>
      </c>
      <c r="Q117" s="12">
        <v>141</v>
      </c>
      <c r="R117" s="12">
        <v>72.739999999999995</v>
      </c>
      <c r="S117" s="12">
        <f t="shared" si="8"/>
        <v>68.260000000000005</v>
      </c>
      <c r="T117" s="12">
        <v>0</v>
      </c>
      <c r="U117" s="12">
        <v>0</v>
      </c>
      <c r="V117" s="12">
        <f t="shared" si="9"/>
        <v>0</v>
      </c>
      <c r="W117" s="15"/>
      <c r="X117" s="16">
        <v>0</v>
      </c>
      <c r="Y117" s="16">
        <v>0</v>
      </c>
      <c r="Z117" s="16">
        <f t="shared" si="10"/>
        <v>0</v>
      </c>
      <c r="AA117" s="15"/>
      <c r="AB117" s="12">
        <f t="shared" si="11"/>
        <v>386.93</v>
      </c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  <c r="GJ117" s="43"/>
      <c r="GK117" s="43"/>
      <c r="GL117" s="43"/>
      <c r="GM117" s="43"/>
      <c r="GN117" s="43"/>
      <c r="GO117" s="43"/>
      <c r="GP117" s="43"/>
      <c r="GQ117" s="43"/>
      <c r="GR117" s="43"/>
      <c r="GS117" s="43"/>
      <c r="GT117" s="43"/>
      <c r="GU117" s="43"/>
      <c r="GV117" s="43"/>
      <c r="GW117" s="43"/>
      <c r="GX117" s="43"/>
      <c r="GY117" s="43"/>
      <c r="GZ117" s="43"/>
      <c r="HA117" s="43"/>
      <c r="HB117" s="43"/>
      <c r="HC117" s="43"/>
      <c r="HD117" s="43"/>
      <c r="HE117" s="43"/>
      <c r="HF117" s="43"/>
      <c r="HG117" s="43"/>
      <c r="HH117" s="43"/>
      <c r="HI117" s="43"/>
      <c r="HJ117" s="43"/>
      <c r="HK117" s="43"/>
      <c r="HL117" s="43"/>
      <c r="HM117" s="43"/>
      <c r="HN117" s="43"/>
      <c r="HO117" s="43"/>
      <c r="HP117" s="43"/>
      <c r="HQ117" s="43"/>
      <c r="HR117" s="43"/>
      <c r="HS117" s="43"/>
      <c r="HT117" s="43"/>
      <c r="HU117" s="43"/>
      <c r="HV117" s="43"/>
      <c r="HW117" s="43"/>
      <c r="HX117" s="43"/>
      <c r="HY117" s="43"/>
      <c r="HZ117" s="43"/>
      <c r="IA117" s="43"/>
      <c r="IB117" s="43"/>
      <c r="IC117" s="43"/>
      <c r="ID117" s="43"/>
      <c r="IE117" s="43"/>
    </row>
    <row r="118" spans="1:239" s="36" customFormat="1">
      <c r="A118" s="5" t="s">
        <v>28</v>
      </c>
      <c r="B118" s="28" t="s">
        <v>29</v>
      </c>
      <c r="C118" s="21" t="s">
        <v>255</v>
      </c>
      <c r="D118" s="8" t="s">
        <v>257</v>
      </c>
      <c r="E118" s="41">
        <v>2</v>
      </c>
      <c r="F118" s="31" t="s">
        <v>31</v>
      </c>
      <c r="G118" s="10" t="s">
        <v>32</v>
      </c>
      <c r="H118" s="11">
        <v>0</v>
      </c>
      <c r="I118" s="35">
        <f>118.44+48.49</f>
        <v>166.93</v>
      </c>
      <c r="J118" s="13" t="s">
        <v>33</v>
      </c>
      <c r="K118" s="12">
        <v>156.06</v>
      </c>
      <c r="L118" s="14">
        <v>24.25</v>
      </c>
      <c r="M118" s="11">
        <f t="shared" ref="M118:M141" si="12">K118-L118</f>
        <v>131.81</v>
      </c>
      <c r="N118" s="11">
        <v>2.68</v>
      </c>
      <c r="O118" s="12">
        <v>0</v>
      </c>
      <c r="P118" s="12">
        <f t="shared" si="7"/>
        <v>2.68</v>
      </c>
      <c r="Q118" s="12">
        <v>244.5</v>
      </c>
      <c r="R118" s="12">
        <v>72.739999999999995</v>
      </c>
      <c r="S118" s="12">
        <f t="shared" si="8"/>
        <v>171.76</v>
      </c>
      <c r="T118" s="12">
        <v>0</v>
      </c>
      <c r="U118" s="12">
        <v>0</v>
      </c>
      <c r="V118" s="12">
        <f t="shared" si="9"/>
        <v>0</v>
      </c>
      <c r="W118" s="15"/>
      <c r="X118" s="16">
        <v>0</v>
      </c>
      <c r="Y118" s="16">
        <v>0</v>
      </c>
      <c r="Z118" s="16">
        <f t="shared" si="10"/>
        <v>0</v>
      </c>
      <c r="AA118" s="15"/>
      <c r="AB118" s="12">
        <f t="shared" si="11"/>
        <v>473.18</v>
      </c>
    </row>
    <row r="119" spans="1:239" s="36" customFormat="1">
      <c r="A119" s="5" t="s">
        <v>28</v>
      </c>
      <c r="B119" s="28" t="s">
        <v>29</v>
      </c>
      <c r="C119" s="7" t="s">
        <v>258</v>
      </c>
      <c r="D119" s="8" t="s">
        <v>259</v>
      </c>
      <c r="E119" s="41">
        <v>3</v>
      </c>
      <c r="F119" s="39" t="s">
        <v>76</v>
      </c>
      <c r="G119" s="10" t="s">
        <v>32</v>
      </c>
      <c r="H119" s="11">
        <v>0</v>
      </c>
      <c r="I119" s="35">
        <f>101.19+42.23</f>
        <v>143.41999999999999</v>
      </c>
      <c r="J119" s="13" t="s">
        <v>33</v>
      </c>
      <c r="K119" s="12">
        <v>156.06</v>
      </c>
      <c r="L119" s="14">
        <v>21.12</v>
      </c>
      <c r="M119" s="11">
        <f t="shared" si="12"/>
        <v>134.94</v>
      </c>
      <c r="N119" s="11">
        <v>2.68</v>
      </c>
      <c r="O119" s="12">
        <v>0</v>
      </c>
      <c r="P119" s="12">
        <f t="shared" si="7"/>
        <v>2.68</v>
      </c>
      <c r="Q119" s="12">
        <v>103.5</v>
      </c>
      <c r="R119" s="12">
        <v>63.36</v>
      </c>
      <c r="S119" s="12">
        <f t="shared" si="8"/>
        <v>40.14</v>
      </c>
      <c r="T119" s="12">
        <v>0</v>
      </c>
      <c r="U119" s="12">
        <v>0</v>
      </c>
      <c r="V119" s="12">
        <f t="shared" si="9"/>
        <v>0</v>
      </c>
      <c r="W119" s="15"/>
      <c r="X119" s="16">
        <v>0</v>
      </c>
      <c r="Y119" s="16">
        <v>0</v>
      </c>
      <c r="Z119" s="16">
        <f t="shared" si="10"/>
        <v>0</v>
      </c>
      <c r="AA119" s="15"/>
      <c r="AB119" s="12">
        <f t="shared" si="11"/>
        <v>321.18</v>
      </c>
    </row>
    <row r="120" spans="1:239" s="36" customFormat="1">
      <c r="A120" s="5" t="s">
        <v>28</v>
      </c>
      <c r="B120" s="28" t="s">
        <v>29</v>
      </c>
      <c r="C120" s="7" t="s">
        <v>260</v>
      </c>
      <c r="D120" s="8" t="s">
        <v>261</v>
      </c>
      <c r="E120" s="41">
        <v>2</v>
      </c>
      <c r="F120" s="31" t="s">
        <v>31</v>
      </c>
      <c r="G120" s="10" t="s">
        <v>32</v>
      </c>
      <c r="H120" s="11">
        <v>0</v>
      </c>
      <c r="I120" s="35">
        <f>141.47+50.18</f>
        <v>191.65</v>
      </c>
      <c r="J120" s="13" t="s">
        <v>33</v>
      </c>
      <c r="K120" s="12">
        <v>156.06</v>
      </c>
      <c r="L120" s="14">
        <v>25.09</v>
      </c>
      <c r="M120" s="11">
        <f t="shared" si="12"/>
        <v>130.97</v>
      </c>
      <c r="N120" s="11">
        <v>2.68</v>
      </c>
      <c r="O120" s="12">
        <v>0</v>
      </c>
      <c r="P120" s="12">
        <f t="shared" si="7"/>
        <v>2.68</v>
      </c>
      <c r="Q120" s="12">
        <v>0</v>
      </c>
      <c r="R120" s="12">
        <v>0</v>
      </c>
      <c r="S120" s="12">
        <f t="shared" si="8"/>
        <v>0</v>
      </c>
      <c r="T120" s="12">
        <v>0</v>
      </c>
      <c r="U120" s="12">
        <v>0</v>
      </c>
      <c r="V120" s="12">
        <f t="shared" si="9"/>
        <v>0</v>
      </c>
      <c r="W120" s="15"/>
      <c r="X120" s="16">
        <v>0</v>
      </c>
      <c r="Y120" s="16">
        <v>0</v>
      </c>
      <c r="Z120" s="16">
        <f t="shared" si="10"/>
        <v>0</v>
      </c>
      <c r="AA120" s="15"/>
      <c r="AB120" s="12">
        <f t="shared" si="11"/>
        <v>325.3</v>
      </c>
    </row>
    <row r="121" spans="1:239" s="36" customFormat="1">
      <c r="A121" s="5" t="s">
        <v>28</v>
      </c>
      <c r="B121" s="28" t="s">
        <v>29</v>
      </c>
      <c r="C121" s="34" t="s">
        <v>262</v>
      </c>
      <c r="D121" s="8" t="s">
        <v>263</v>
      </c>
      <c r="E121" s="8">
        <v>3</v>
      </c>
      <c r="F121" s="18" t="s">
        <v>76</v>
      </c>
      <c r="G121" s="10" t="s">
        <v>32</v>
      </c>
      <c r="H121" s="11">
        <v>0</v>
      </c>
      <c r="I121" s="35">
        <f>117.08+12.54</f>
        <v>129.62</v>
      </c>
      <c r="J121" s="13">
        <v>0</v>
      </c>
      <c r="K121" s="12">
        <v>156.06</v>
      </c>
      <c r="L121" s="14">
        <v>25.09</v>
      </c>
      <c r="M121" s="11">
        <f t="shared" si="12"/>
        <v>130.97</v>
      </c>
      <c r="N121" s="11">
        <v>2.68</v>
      </c>
      <c r="O121" s="12">
        <v>0</v>
      </c>
      <c r="P121" s="12">
        <f t="shared" si="7"/>
        <v>2.68</v>
      </c>
      <c r="Q121" s="12">
        <v>0</v>
      </c>
      <c r="R121" s="12">
        <v>0</v>
      </c>
      <c r="S121" s="12">
        <f t="shared" si="8"/>
        <v>0</v>
      </c>
      <c r="T121" s="12">
        <v>0</v>
      </c>
      <c r="U121" s="12">
        <v>0</v>
      </c>
      <c r="V121" s="12">
        <f t="shared" si="9"/>
        <v>0</v>
      </c>
      <c r="W121" s="15"/>
      <c r="X121" s="16">
        <v>0</v>
      </c>
      <c r="Y121" s="16">
        <v>0</v>
      </c>
      <c r="Z121" s="16">
        <f t="shared" si="10"/>
        <v>0</v>
      </c>
      <c r="AA121" s="15"/>
      <c r="AB121" s="11">
        <f t="shared" si="11"/>
        <v>263.27000000000004</v>
      </c>
    </row>
    <row r="122" spans="1:239" s="36" customFormat="1">
      <c r="A122" s="5" t="s">
        <v>28</v>
      </c>
      <c r="B122" s="28" t="s">
        <v>29</v>
      </c>
      <c r="C122" s="7">
        <v>11141755440</v>
      </c>
      <c r="D122" s="8" t="s">
        <v>264</v>
      </c>
      <c r="E122" s="41">
        <v>2</v>
      </c>
      <c r="F122" s="31" t="s">
        <v>265</v>
      </c>
      <c r="G122" s="10" t="s">
        <v>32</v>
      </c>
      <c r="H122" s="11">
        <v>0</v>
      </c>
      <c r="I122" s="35">
        <f>132.66+48.49</f>
        <v>181.15</v>
      </c>
      <c r="J122" s="13" t="s">
        <v>33</v>
      </c>
      <c r="K122" s="12">
        <v>156.06</v>
      </c>
      <c r="L122" s="14">
        <v>24.25</v>
      </c>
      <c r="M122" s="11">
        <f t="shared" si="12"/>
        <v>131.81</v>
      </c>
      <c r="N122" s="11">
        <v>2.68</v>
      </c>
      <c r="O122" s="12">
        <v>0</v>
      </c>
      <c r="P122" s="12">
        <f t="shared" si="7"/>
        <v>2.68</v>
      </c>
      <c r="Q122" s="12">
        <v>244.5</v>
      </c>
      <c r="R122" s="12">
        <v>72.739999999999995</v>
      </c>
      <c r="S122" s="12">
        <f t="shared" si="8"/>
        <v>171.76</v>
      </c>
      <c r="T122" s="12">
        <v>64</v>
      </c>
      <c r="U122" s="12">
        <v>0</v>
      </c>
      <c r="V122" s="12">
        <f t="shared" si="9"/>
        <v>64</v>
      </c>
      <c r="W122" s="15" t="s">
        <v>71</v>
      </c>
      <c r="X122" s="16">
        <v>0</v>
      </c>
      <c r="Y122" s="16">
        <v>0</v>
      </c>
      <c r="Z122" s="16">
        <f t="shared" si="10"/>
        <v>0</v>
      </c>
      <c r="AA122" s="15"/>
      <c r="AB122" s="12">
        <f t="shared" si="11"/>
        <v>551.40000000000009</v>
      </c>
    </row>
    <row r="123" spans="1:239" s="36" customFormat="1">
      <c r="A123" s="5" t="s">
        <v>28</v>
      </c>
      <c r="B123" s="28" t="s">
        <v>29</v>
      </c>
      <c r="C123" s="34" t="s">
        <v>266</v>
      </c>
      <c r="D123" s="8" t="s">
        <v>267</v>
      </c>
      <c r="E123" s="8">
        <v>3</v>
      </c>
      <c r="F123" s="9" t="s">
        <v>38</v>
      </c>
      <c r="G123" s="10" t="s">
        <v>32</v>
      </c>
      <c r="H123" s="11">
        <v>0</v>
      </c>
      <c r="I123" s="35">
        <f>101.19+14.07</f>
        <v>115.25999999999999</v>
      </c>
      <c r="J123" s="13">
        <v>0</v>
      </c>
      <c r="K123" s="12">
        <v>156.06</v>
      </c>
      <c r="L123" s="14">
        <v>21.12</v>
      </c>
      <c r="M123" s="11">
        <f t="shared" si="12"/>
        <v>134.94</v>
      </c>
      <c r="N123" s="11">
        <v>2.68</v>
      </c>
      <c r="O123" s="12">
        <v>0</v>
      </c>
      <c r="P123" s="12">
        <f t="shared" si="7"/>
        <v>2.68</v>
      </c>
      <c r="Q123" s="12">
        <v>0</v>
      </c>
      <c r="R123" s="12">
        <v>0</v>
      </c>
      <c r="S123" s="12">
        <f t="shared" si="8"/>
        <v>0</v>
      </c>
      <c r="T123" s="12">
        <v>0</v>
      </c>
      <c r="U123" s="12">
        <v>0</v>
      </c>
      <c r="V123" s="12">
        <f t="shared" si="9"/>
        <v>0</v>
      </c>
      <c r="W123" s="15"/>
      <c r="X123" s="16">
        <v>0</v>
      </c>
      <c r="Y123" s="16">
        <v>0</v>
      </c>
      <c r="Z123" s="16">
        <f t="shared" si="10"/>
        <v>0</v>
      </c>
      <c r="AA123" s="15"/>
      <c r="AB123" s="11">
        <f t="shared" si="11"/>
        <v>252.88</v>
      </c>
    </row>
    <row r="124" spans="1:239" s="36" customFormat="1">
      <c r="A124" s="5" t="s">
        <v>28</v>
      </c>
      <c r="B124" s="28" t="s">
        <v>29</v>
      </c>
      <c r="C124" s="10" t="s">
        <v>268</v>
      </c>
      <c r="D124" s="8" t="s">
        <v>269</v>
      </c>
      <c r="E124" s="8">
        <v>2</v>
      </c>
      <c r="F124" s="9" t="s">
        <v>31</v>
      </c>
      <c r="G124" s="10" t="s">
        <v>32</v>
      </c>
      <c r="H124" s="11">
        <v>0</v>
      </c>
      <c r="I124" s="35">
        <f>113.71+12.12</f>
        <v>125.83</v>
      </c>
      <c r="J124" s="13">
        <v>0</v>
      </c>
      <c r="K124" s="12">
        <v>156.06</v>
      </c>
      <c r="L124" s="14">
        <v>24.25</v>
      </c>
      <c r="M124" s="11">
        <f t="shared" si="12"/>
        <v>131.81</v>
      </c>
      <c r="N124" s="11">
        <v>2.68</v>
      </c>
      <c r="O124" s="12">
        <v>0</v>
      </c>
      <c r="P124" s="12">
        <v>2.68</v>
      </c>
      <c r="Q124" s="12">
        <v>207</v>
      </c>
      <c r="R124" s="12">
        <v>72.739999999999995</v>
      </c>
      <c r="S124" s="12">
        <f t="shared" si="8"/>
        <v>134.26</v>
      </c>
      <c r="T124" s="12">
        <v>0</v>
      </c>
      <c r="U124" s="12">
        <v>0</v>
      </c>
      <c r="V124" s="12">
        <f t="shared" si="9"/>
        <v>0</v>
      </c>
      <c r="W124" s="15"/>
      <c r="X124" s="16">
        <v>0</v>
      </c>
      <c r="Y124" s="16">
        <v>0</v>
      </c>
      <c r="Z124" s="16">
        <f t="shared" si="10"/>
        <v>0</v>
      </c>
      <c r="AA124" s="15"/>
      <c r="AB124" s="11">
        <f t="shared" si="11"/>
        <v>394.58</v>
      </c>
    </row>
    <row r="125" spans="1:239" s="36" customFormat="1">
      <c r="A125" s="5" t="s">
        <v>28</v>
      </c>
      <c r="B125" s="28" t="s">
        <v>29</v>
      </c>
      <c r="C125" s="7">
        <v>82203210400</v>
      </c>
      <c r="D125" s="8" t="s">
        <v>270</v>
      </c>
      <c r="E125" s="41">
        <v>3</v>
      </c>
      <c r="F125" s="31" t="s">
        <v>46</v>
      </c>
      <c r="G125" s="10" t="s">
        <v>32</v>
      </c>
      <c r="H125" s="11">
        <v>0</v>
      </c>
      <c r="I125" s="35">
        <f>182.32+82.8</f>
        <v>265.12</v>
      </c>
      <c r="J125" s="13" t="s">
        <v>33</v>
      </c>
      <c r="K125" s="12">
        <v>156.06</v>
      </c>
      <c r="L125" s="14">
        <v>41.4</v>
      </c>
      <c r="M125" s="11">
        <f t="shared" si="12"/>
        <v>114.66</v>
      </c>
      <c r="N125" s="11">
        <v>2.68</v>
      </c>
      <c r="O125" s="12">
        <v>0</v>
      </c>
      <c r="P125" s="12">
        <f t="shared" ref="P125:P141" si="13">N125-O125</f>
        <v>2.68</v>
      </c>
      <c r="Q125" s="12">
        <v>0</v>
      </c>
      <c r="R125" s="12">
        <v>0</v>
      </c>
      <c r="S125" s="12">
        <f t="shared" si="8"/>
        <v>0</v>
      </c>
      <c r="T125" s="12">
        <v>0</v>
      </c>
      <c r="U125" s="12">
        <v>0</v>
      </c>
      <c r="V125" s="12">
        <f t="shared" si="9"/>
        <v>0</v>
      </c>
      <c r="W125" s="15"/>
      <c r="X125" s="16">
        <v>0</v>
      </c>
      <c r="Y125" s="16">
        <v>0</v>
      </c>
      <c r="Z125" s="16">
        <f t="shared" si="10"/>
        <v>0</v>
      </c>
      <c r="AA125" s="15"/>
      <c r="AB125" s="12">
        <f t="shared" si="11"/>
        <v>382.46</v>
      </c>
    </row>
    <row r="126" spans="1:239" s="36" customFormat="1">
      <c r="A126" s="5" t="s">
        <v>28</v>
      </c>
      <c r="B126" s="28" t="s">
        <v>29</v>
      </c>
      <c r="C126" s="7" t="s">
        <v>271</v>
      </c>
      <c r="D126" s="8" t="s">
        <v>272</v>
      </c>
      <c r="E126" s="41">
        <v>2</v>
      </c>
      <c r="F126" s="31" t="s">
        <v>70</v>
      </c>
      <c r="G126" s="10" t="s">
        <v>32</v>
      </c>
      <c r="H126" s="11">
        <v>0</v>
      </c>
      <c r="I126" s="35">
        <f>314.42</f>
        <v>314.42</v>
      </c>
      <c r="J126" s="13" t="s">
        <v>33</v>
      </c>
      <c r="K126" s="12">
        <v>156.06</v>
      </c>
      <c r="L126" s="14">
        <v>0</v>
      </c>
      <c r="M126" s="11">
        <f t="shared" si="12"/>
        <v>156.06</v>
      </c>
      <c r="N126" s="11">
        <v>4.3600000000000003</v>
      </c>
      <c r="O126" s="12">
        <v>0</v>
      </c>
      <c r="P126" s="12">
        <f t="shared" si="13"/>
        <v>4.3600000000000003</v>
      </c>
      <c r="Q126" s="12">
        <v>282</v>
      </c>
      <c r="R126" s="12">
        <v>81.22</v>
      </c>
      <c r="S126" s="12">
        <f t="shared" si="8"/>
        <v>200.78</v>
      </c>
      <c r="T126" s="12">
        <v>0</v>
      </c>
      <c r="U126" s="12">
        <v>0</v>
      </c>
      <c r="V126" s="12">
        <f t="shared" si="9"/>
        <v>0</v>
      </c>
      <c r="W126" s="15"/>
      <c r="X126" s="16">
        <v>0</v>
      </c>
      <c r="Y126" s="16">
        <v>0</v>
      </c>
      <c r="Z126" s="16">
        <f t="shared" si="10"/>
        <v>0</v>
      </c>
      <c r="AA126" s="15"/>
      <c r="AB126" s="12">
        <f t="shared" si="11"/>
        <v>675.62</v>
      </c>
    </row>
    <row r="127" spans="1:239" s="36" customFormat="1">
      <c r="A127" s="5" t="s">
        <v>28</v>
      </c>
      <c r="B127" s="28" t="s">
        <v>29</v>
      </c>
      <c r="C127" s="10" t="s">
        <v>273</v>
      </c>
      <c r="D127" s="8" t="s">
        <v>274</v>
      </c>
      <c r="E127" s="41">
        <v>2</v>
      </c>
      <c r="F127" s="45" t="s">
        <v>61</v>
      </c>
      <c r="G127" s="10" t="s">
        <v>32</v>
      </c>
      <c r="H127" s="11">
        <v>0</v>
      </c>
      <c r="I127" s="35">
        <v>0</v>
      </c>
      <c r="J127" s="13">
        <v>79.78</v>
      </c>
      <c r="K127" s="12">
        <v>156.06</v>
      </c>
      <c r="L127" s="14">
        <v>0</v>
      </c>
      <c r="M127" s="11">
        <f t="shared" si="12"/>
        <v>156.06</v>
      </c>
      <c r="N127" s="11">
        <v>2.68</v>
      </c>
      <c r="O127" s="12">
        <v>0</v>
      </c>
      <c r="P127" s="12">
        <f t="shared" si="13"/>
        <v>2.68</v>
      </c>
      <c r="Q127" s="12">
        <v>0</v>
      </c>
      <c r="R127" s="12">
        <v>0</v>
      </c>
      <c r="S127" s="12">
        <f t="shared" si="8"/>
        <v>0</v>
      </c>
      <c r="T127" s="12">
        <v>0</v>
      </c>
      <c r="U127" s="12">
        <v>0</v>
      </c>
      <c r="V127" s="12">
        <f t="shared" si="9"/>
        <v>0</v>
      </c>
      <c r="W127" s="15"/>
      <c r="X127" s="16">
        <v>0</v>
      </c>
      <c r="Y127" s="16">
        <v>0</v>
      </c>
      <c r="Z127" s="16">
        <f t="shared" si="10"/>
        <v>0</v>
      </c>
      <c r="AA127" s="15"/>
      <c r="AB127" s="12">
        <v>0</v>
      </c>
    </row>
    <row r="128" spans="1:239" s="36" customFormat="1">
      <c r="A128" s="5" t="s">
        <v>28</v>
      </c>
      <c r="B128" s="28" t="s">
        <v>29</v>
      </c>
      <c r="C128" s="7" t="s">
        <v>275</v>
      </c>
      <c r="D128" s="8" t="s">
        <v>276</v>
      </c>
      <c r="E128" s="41">
        <v>2</v>
      </c>
      <c r="F128" s="39" t="s">
        <v>109</v>
      </c>
      <c r="G128" s="10" t="s">
        <v>32</v>
      </c>
      <c r="H128" s="11">
        <v>0</v>
      </c>
      <c r="I128" s="35">
        <f>119.82+41.8</f>
        <v>161.62</v>
      </c>
      <c r="J128" s="13" t="s">
        <v>33</v>
      </c>
      <c r="K128" s="12">
        <v>156.06</v>
      </c>
      <c r="L128" s="14">
        <v>20.9</v>
      </c>
      <c r="M128" s="11">
        <f t="shared" si="12"/>
        <v>135.16</v>
      </c>
      <c r="N128" s="11">
        <v>2.68</v>
      </c>
      <c r="O128" s="12">
        <v>0</v>
      </c>
      <c r="P128" s="12">
        <f t="shared" si="13"/>
        <v>2.68</v>
      </c>
      <c r="Q128" s="12">
        <v>0</v>
      </c>
      <c r="R128" s="12">
        <v>0</v>
      </c>
      <c r="S128" s="12">
        <f t="shared" si="8"/>
        <v>0</v>
      </c>
      <c r="T128" s="12">
        <v>64</v>
      </c>
      <c r="U128" s="12">
        <v>0</v>
      </c>
      <c r="V128" s="12">
        <f t="shared" si="9"/>
        <v>64</v>
      </c>
      <c r="W128" s="15" t="s">
        <v>71</v>
      </c>
      <c r="X128" s="16">
        <v>0</v>
      </c>
      <c r="Y128" s="16">
        <v>0</v>
      </c>
      <c r="Z128" s="16">
        <f t="shared" si="10"/>
        <v>0</v>
      </c>
      <c r="AA128" s="15"/>
      <c r="AB128" s="12">
        <f t="shared" si="11"/>
        <v>363.46</v>
      </c>
    </row>
    <row r="129" spans="1:28" s="36" customFormat="1">
      <c r="A129" s="5" t="s">
        <v>28</v>
      </c>
      <c r="B129" s="28" t="s">
        <v>29</v>
      </c>
      <c r="C129" s="7">
        <v>50934384487</v>
      </c>
      <c r="D129" s="22" t="s">
        <v>277</v>
      </c>
      <c r="E129" s="41">
        <v>2</v>
      </c>
      <c r="F129" s="31" t="s">
        <v>58</v>
      </c>
      <c r="G129" s="10" t="s">
        <v>32</v>
      </c>
      <c r="H129" s="11">
        <v>0</v>
      </c>
      <c r="I129" s="35">
        <f>121.22+41.8</f>
        <v>163.01999999999998</v>
      </c>
      <c r="J129" s="13" t="s">
        <v>33</v>
      </c>
      <c r="K129" s="12">
        <v>156.06</v>
      </c>
      <c r="L129" s="14">
        <v>20.9</v>
      </c>
      <c r="M129" s="11">
        <f t="shared" si="12"/>
        <v>135.16</v>
      </c>
      <c r="N129" s="11">
        <v>2.68</v>
      </c>
      <c r="O129" s="12">
        <v>0</v>
      </c>
      <c r="P129" s="12">
        <f t="shared" si="13"/>
        <v>2.68</v>
      </c>
      <c r="Q129" s="12">
        <v>141</v>
      </c>
      <c r="R129" s="12">
        <v>62.7</v>
      </c>
      <c r="S129" s="12">
        <f t="shared" si="8"/>
        <v>78.3</v>
      </c>
      <c r="T129" s="12">
        <v>0</v>
      </c>
      <c r="U129" s="12">
        <v>0</v>
      </c>
      <c r="V129" s="12">
        <f t="shared" si="9"/>
        <v>0</v>
      </c>
      <c r="W129" s="15"/>
      <c r="X129" s="16">
        <v>0</v>
      </c>
      <c r="Y129" s="16">
        <v>0</v>
      </c>
      <c r="Z129" s="16">
        <f t="shared" si="10"/>
        <v>0</v>
      </c>
      <c r="AA129" s="15"/>
      <c r="AB129" s="12">
        <f t="shared" si="11"/>
        <v>379.15999999999997</v>
      </c>
    </row>
    <row r="130" spans="1:28" s="36" customFormat="1">
      <c r="A130" s="5" t="s">
        <v>28</v>
      </c>
      <c r="B130" s="46" t="s">
        <v>29</v>
      </c>
      <c r="C130" s="7" t="s">
        <v>278</v>
      </c>
      <c r="D130" s="8" t="s">
        <v>279</v>
      </c>
      <c r="E130" s="41">
        <v>2</v>
      </c>
      <c r="F130" s="31" t="s">
        <v>31</v>
      </c>
      <c r="G130" s="10" t="s">
        <v>32</v>
      </c>
      <c r="H130" s="11">
        <v>0</v>
      </c>
      <c r="I130" s="35">
        <f>186.34</f>
        <v>186.34</v>
      </c>
      <c r="J130" s="13" t="s">
        <v>33</v>
      </c>
      <c r="K130" s="12">
        <v>156.06</v>
      </c>
      <c r="L130" s="14">
        <v>0</v>
      </c>
      <c r="M130" s="11">
        <f t="shared" si="12"/>
        <v>156.06</v>
      </c>
      <c r="N130" s="11">
        <v>5.36</v>
      </c>
      <c r="O130" s="12">
        <v>0</v>
      </c>
      <c r="P130" s="12">
        <f t="shared" si="13"/>
        <v>5.36</v>
      </c>
      <c r="Q130" s="12">
        <v>0</v>
      </c>
      <c r="R130" s="12">
        <v>0</v>
      </c>
      <c r="S130" s="12">
        <f t="shared" si="8"/>
        <v>0</v>
      </c>
      <c r="T130" s="12">
        <v>445.22</v>
      </c>
      <c r="U130" s="12">
        <v>0</v>
      </c>
      <c r="V130" s="12">
        <f t="shared" si="9"/>
        <v>445.22</v>
      </c>
      <c r="W130" s="15"/>
      <c r="X130" s="16">
        <v>479.72</v>
      </c>
      <c r="Y130" s="16">
        <v>0</v>
      </c>
      <c r="Z130" s="16">
        <f t="shared" si="10"/>
        <v>479.72</v>
      </c>
      <c r="AA130" s="15" t="s">
        <v>83</v>
      </c>
      <c r="AB130" s="12">
        <f t="shared" si="11"/>
        <v>1272.7</v>
      </c>
    </row>
    <row r="131" spans="1:28" s="36" customFormat="1">
      <c r="A131" s="5" t="s">
        <v>28</v>
      </c>
      <c r="B131" s="28" t="s">
        <v>29</v>
      </c>
      <c r="C131" s="7" t="s">
        <v>280</v>
      </c>
      <c r="D131" s="8" t="s">
        <v>281</v>
      </c>
      <c r="E131" s="41">
        <v>2</v>
      </c>
      <c r="F131" s="39" t="s">
        <v>64</v>
      </c>
      <c r="G131" s="10" t="s">
        <v>32</v>
      </c>
      <c r="H131" s="11">
        <v>0</v>
      </c>
      <c r="I131" s="35">
        <f>127.51+48.49</f>
        <v>176</v>
      </c>
      <c r="J131" s="13" t="s">
        <v>33</v>
      </c>
      <c r="K131" s="12">
        <v>156.06</v>
      </c>
      <c r="L131" s="14">
        <v>24.25</v>
      </c>
      <c r="M131" s="11">
        <f t="shared" si="12"/>
        <v>131.81</v>
      </c>
      <c r="N131" s="11">
        <v>2.68</v>
      </c>
      <c r="O131" s="12">
        <v>0</v>
      </c>
      <c r="P131" s="12">
        <f t="shared" si="13"/>
        <v>2.68</v>
      </c>
      <c r="Q131" s="12">
        <v>0</v>
      </c>
      <c r="R131" s="12">
        <v>0</v>
      </c>
      <c r="S131" s="12">
        <f t="shared" ref="S131:S141" si="14">Q131-R131</f>
        <v>0</v>
      </c>
      <c r="T131" s="12">
        <v>0</v>
      </c>
      <c r="U131" s="12">
        <v>0</v>
      </c>
      <c r="V131" s="12">
        <f t="shared" ref="V131:V141" si="15">T131-U131</f>
        <v>0</v>
      </c>
      <c r="W131" s="15"/>
      <c r="X131" s="16">
        <v>0</v>
      </c>
      <c r="Y131" s="16">
        <v>0</v>
      </c>
      <c r="Z131" s="16">
        <f t="shared" ref="Z131:Z141" si="16">X131-Y131</f>
        <v>0</v>
      </c>
      <c r="AA131" s="15"/>
      <c r="AB131" s="12">
        <f t="shared" ref="AB131:AB141" si="17">H131+I131+J131+M131+P131+S131+V131+Z131</f>
        <v>310.49</v>
      </c>
    </row>
    <row r="132" spans="1:28" s="36" customFormat="1">
      <c r="A132" s="5" t="s">
        <v>28</v>
      </c>
      <c r="B132" s="28" t="s">
        <v>29</v>
      </c>
      <c r="C132" s="7" t="s">
        <v>282</v>
      </c>
      <c r="D132" s="8" t="s">
        <v>283</v>
      </c>
      <c r="E132" s="41">
        <v>2</v>
      </c>
      <c r="F132" s="31" t="s">
        <v>58</v>
      </c>
      <c r="G132" s="10" t="s">
        <v>32</v>
      </c>
      <c r="H132" s="11">
        <v>0</v>
      </c>
      <c r="I132" s="35">
        <f>135.48+48.35</f>
        <v>183.82999999999998</v>
      </c>
      <c r="J132" s="13" t="s">
        <v>33</v>
      </c>
      <c r="K132" s="12">
        <v>156.06</v>
      </c>
      <c r="L132" s="14">
        <v>24.18</v>
      </c>
      <c r="M132" s="11">
        <f t="shared" si="12"/>
        <v>131.88</v>
      </c>
      <c r="N132" s="11">
        <v>2.68</v>
      </c>
      <c r="O132" s="12">
        <v>0</v>
      </c>
      <c r="P132" s="12">
        <f t="shared" si="13"/>
        <v>2.68</v>
      </c>
      <c r="Q132" s="12">
        <v>0</v>
      </c>
      <c r="R132" s="12">
        <v>0</v>
      </c>
      <c r="S132" s="12">
        <f t="shared" si="14"/>
        <v>0</v>
      </c>
      <c r="T132" s="12">
        <v>0</v>
      </c>
      <c r="U132" s="12">
        <v>0</v>
      </c>
      <c r="V132" s="12">
        <f t="shared" si="15"/>
        <v>0</v>
      </c>
      <c r="W132" s="15"/>
      <c r="X132" s="16">
        <v>0</v>
      </c>
      <c r="Y132" s="16">
        <v>0</v>
      </c>
      <c r="Z132" s="16">
        <f t="shared" si="16"/>
        <v>0</v>
      </c>
      <c r="AA132" s="15"/>
      <c r="AB132" s="12">
        <f t="shared" si="17"/>
        <v>318.39</v>
      </c>
    </row>
    <row r="133" spans="1:28" s="36" customFormat="1">
      <c r="A133" s="5" t="s">
        <v>28</v>
      </c>
      <c r="B133" s="28" t="s">
        <v>29</v>
      </c>
      <c r="C133" s="7" t="s">
        <v>284</v>
      </c>
      <c r="D133" s="22" t="s">
        <v>285</v>
      </c>
      <c r="E133" s="41">
        <v>2</v>
      </c>
      <c r="F133" s="39" t="s">
        <v>86</v>
      </c>
      <c r="G133" s="10" t="s">
        <v>32</v>
      </c>
      <c r="H133" s="11">
        <v>0</v>
      </c>
      <c r="I133" s="35">
        <f>204.11</f>
        <v>204.11</v>
      </c>
      <c r="J133" s="13" t="s">
        <v>33</v>
      </c>
      <c r="K133" s="12">
        <v>156.06</v>
      </c>
      <c r="L133" s="14">
        <v>2.4300000000000002</v>
      </c>
      <c r="M133" s="11">
        <f t="shared" si="12"/>
        <v>153.63</v>
      </c>
      <c r="N133" s="11">
        <v>5.36</v>
      </c>
      <c r="O133" s="12">
        <v>0</v>
      </c>
      <c r="P133" s="12">
        <f t="shared" si="13"/>
        <v>5.36</v>
      </c>
      <c r="Q133" s="12">
        <v>0</v>
      </c>
      <c r="R133" s="12">
        <v>0</v>
      </c>
      <c r="S133" s="12">
        <f t="shared" si="14"/>
        <v>0</v>
      </c>
      <c r="T133" s="12">
        <v>0</v>
      </c>
      <c r="U133" s="12">
        <v>0</v>
      </c>
      <c r="V133" s="12">
        <f t="shared" si="15"/>
        <v>0</v>
      </c>
      <c r="W133" s="15"/>
      <c r="X133" s="16">
        <v>0</v>
      </c>
      <c r="Y133" s="16">
        <v>0</v>
      </c>
      <c r="Z133" s="16">
        <f t="shared" si="16"/>
        <v>0</v>
      </c>
      <c r="AA133" s="15"/>
      <c r="AB133" s="12">
        <f t="shared" si="17"/>
        <v>363.1</v>
      </c>
    </row>
    <row r="134" spans="1:28" s="36" customFormat="1">
      <c r="A134" s="5" t="s">
        <v>28</v>
      </c>
      <c r="B134" s="28" t="s">
        <v>29</v>
      </c>
      <c r="C134" s="7" t="s">
        <v>286</v>
      </c>
      <c r="D134" s="8" t="s">
        <v>287</v>
      </c>
      <c r="E134" s="41">
        <v>2</v>
      </c>
      <c r="F134" s="31" t="s">
        <v>31</v>
      </c>
      <c r="G134" s="10" t="s">
        <v>32</v>
      </c>
      <c r="H134" s="11">
        <v>0</v>
      </c>
      <c r="I134" s="35">
        <f>267.32</f>
        <v>267.32</v>
      </c>
      <c r="J134" s="13" t="s">
        <v>33</v>
      </c>
      <c r="K134" s="12">
        <v>156.06</v>
      </c>
      <c r="L134" s="14">
        <v>13.38</v>
      </c>
      <c r="M134" s="11">
        <f t="shared" si="12"/>
        <v>142.68</v>
      </c>
      <c r="N134" s="11">
        <v>2.68</v>
      </c>
      <c r="O134" s="12">
        <v>0</v>
      </c>
      <c r="P134" s="12">
        <f t="shared" si="13"/>
        <v>2.68</v>
      </c>
      <c r="Q134" s="12">
        <v>0</v>
      </c>
      <c r="R134" s="12">
        <v>0</v>
      </c>
      <c r="S134" s="12">
        <f t="shared" si="14"/>
        <v>0</v>
      </c>
      <c r="T134" s="12">
        <v>0</v>
      </c>
      <c r="U134" s="12">
        <v>0</v>
      </c>
      <c r="V134" s="12">
        <f t="shared" si="15"/>
        <v>0</v>
      </c>
      <c r="W134" s="15"/>
      <c r="X134" s="16">
        <v>0</v>
      </c>
      <c r="Y134" s="16">
        <v>0</v>
      </c>
      <c r="Z134" s="16">
        <f t="shared" si="16"/>
        <v>0</v>
      </c>
      <c r="AA134" s="15"/>
      <c r="AB134" s="12">
        <f t="shared" si="17"/>
        <v>412.68</v>
      </c>
    </row>
    <row r="135" spans="1:28" s="36" customFormat="1">
      <c r="A135" s="5" t="s">
        <v>28</v>
      </c>
      <c r="B135" s="28" t="s">
        <v>29</v>
      </c>
      <c r="C135" s="7" t="s">
        <v>288</v>
      </c>
      <c r="D135" s="8" t="s">
        <v>289</v>
      </c>
      <c r="E135" s="41">
        <v>2</v>
      </c>
      <c r="F135" s="31" t="s">
        <v>70</v>
      </c>
      <c r="G135" s="10" t="s">
        <v>32</v>
      </c>
      <c r="H135" s="11">
        <v>0</v>
      </c>
      <c r="I135" s="35">
        <f>96.05+48.49</f>
        <v>144.54</v>
      </c>
      <c r="J135" s="13" t="s">
        <v>33</v>
      </c>
      <c r="K135" s="12">
        <v>156.06</v>
      </c>
      <c r="L135" s="14">
        <v>24.25</v>
      </c>
      <c r="M135" s="11">
        <f t="shared" si="12"/>
        <v>131.81</v>
      </c>
      <c r="N135" s="11">
        <v>2.68</v>
      </c>
      <c r="O135" s="12">
        <v>0</v>
      </c>
      <c r="P135" s="12">
        <f t="shared" si="13"/>
        <v>2.68</v>
      </c>
      <c r="Q135" s="12">
        <v>174</v>
      </c>
      <c r="R135" s="12">
        <v>72.739999999999995</v>
      </c>
      <c r="S135" s="12">
        <f t="shared" si="14"/>
        <v>101.26</v>
      </c>
      <c r="T135" s="12">
        <f>64+282.89</f>
        <v>346.89</v>
      </c>
      <c r="U135" s="12">
        <v>0</v>
      </c>
      <c r="V135" s="12">
        <f t="shared" si="15"/>
        <v>346.89</v>
      </c>
      <c r="W135" s="15" t="s">
        <v>71</v>
      </c>
      <c r="X135" s="16">
        <v>0</v>
      </c>
      <c r="Y135" s="16">
        <v>0</v>
      </c>
      <c r="Z135" s="16">
        <f t="shared" si="16"/>
        <v>0</v>
      </c>
      <c r="AA135" s="15"/>
      <c r="AB135" s="12">
        <f t="shared" si="17"/>
        <v>727.18000000000006</v>
      </c>
    </row>
    <row r="136" spans="1:28" s="36" customFormat="1">
      <c r="A136" s="5" t="s">
        <v>28</v>
      </c>
      <c r="B136" s="28" t="s">
        <v>29</v>
      </c>
      <c r="C136" s="7" t="s">
        <v>290</v>
      </c>
      <c r="D136" s="8" t="s">
        <v>291</v>
      </c>
      <c r="E136" s="41">
        <v>3</v>
      </c>
      <c r="F136" s="39" t="s">
        <v>38</v>
      </c>
      <c r="G136" s="10" t="s">
        <v>32</v>
      </c>
      <c r="H136" s="11">
        <v>0</v>
      </c>
      <c r="I136" s="35">
        <f>100.32+41.8</f>
        <v>142.12</v>
      </c>
      <c r="J136" s="13" t="s">
        <v>33</v>
      </c>
      <c r="K136" s="12">
        <v>156.06</v>
      </c>
      <c r="L136" s="14">
        <v>20.9</v>
      </c>
      <c r="M136" s="11">
        <f t="shared" si="12"/>
        <v>135.16</v>
      </c>
      <c r="N136" s="11">
        <v>2.68</v>
      </c>
      <c r="O136" s="12">
        <v>0</v>
      </c>
      <c r="P136" s="12">
        <f t="shared" si="13"/>
        <v>2.68</v>
      </c>
      <c r="Q136" s="12">
        <v>0</v>
      </c>
      <c r="R136" s="12">
        <v>0</v>
      </c>
      <c r="S136" s="12">
        <f t="shared" si="14"/>
        <v>0</v>
      </c>
      <c r="T136" s="12">
        <v>64</v>
      </c>
      <c r="U136" s="12">
        <v>0</v>
      </c>
      <c r="V136" s="12">
        <f t="shared" si="15"/>
        <v>64</v>
      </c>
      <c r="W136" s="15" t="s">
        <v>71</v>
      </c>
      <c r="X136" s="16">
        <v>0</v>
      </c>
      <c r="Y136" s="16">
        <v>0</v>
      </c>
      <c r="Z136" s="16">
        <f t="shared" si="16"/>
        <v>0</v>
      </c>
      <c r="AA136" s="15"/>
      <c r="AB136" s="12">
        <f t="shared" si="17"/>
        <v>343.96</v>
      </c>
    </row>
    <row r="137" spans="1:28" s="36" customFormat="1">
      <c r="A137" s="5" t="s">
        <v>28</v>
      </c>
      <c r="B137" s="28" t="s">
        <v>29</v>
      </c>
      <c r="C137" s="7" t="s">
        <v>292</v>
      </c>
      <c r="D137" s="8" t="s">
        <v>293</v>
      </c>
      <c r="E137" s="30">
        <v>3</v>
      </c>
      <c r="F137" s="31" t="s">
        <v>31</v>
      </c>
      <c r="G137" s="10" t="s">
        <v>32</v>
      </c>
      <c r="H137" s="11">
        <v>0</v>
      </c>
      <c r="I137" s="35">
        <f>100.32+38.31</f>
        <v>138.63</v>
      </c>
      <c r="J137" s="13" t="s">
        <v>33</v>
      </c>
      <c r="K137" s="12">
        <v>156.06</v>
      </c>
      <c r="L137" s="14">
        <v>20.9</v>
      </c>
      <c r="M137" s="11">
        <f t="shared" si="12"/>
        <v>135.16</v>
      </c>
      <c r="N137" s="11">
        <v>2.68</v>
      </c>
      <c r="O137" s="12">
        <v>0</v>
      </c>
      <c r="P137" s="12">
        <f t="shared" si="13"/>
        <v>2.68</v>
      </c>
      <c r="Q137" s="12">
        <v>0</v>
      </c>
      <c r="R137" s="12">
        <v>0</v>
      </c>
      <c r="S137" s="12">
        <f t="shared" si="14"/>
        <v>0</v>
      </c>
      <c r="T137" s="12">
        <v>64</v>
      </c>
      <c r="U137" s="12">
        <v>0</v>
      </c>
      <c r="V137" s="12">
        <f t="shared" si="15"/>
        <v>64</v>
      </c>
      <c r="W137" s="15" t="s">
        <v>71</v>
      </c>
      <c r="X137" s="16">
        <v>0</v>
      </c>
      <c r="Y137" s="16">
        <v>0</v>
      </c>
      <c r="Z137" s="16">
        <f t="shared" si="16"/>
        <v>0</v>
      </c>
      <c r="AA137" s="15"/>
      <c r="AB137" s="12">
        <f t="shared" si="17"/>
        <v>340.46999999999997</v>
      </c>
    </row>
    <row r="138" spans="1:28" s="36" customFormat="1">
      <c r="A138" s="5" t="s">
        <v>28</v>
      </c>
      <c r="B138" s="28" t="s">
        <v>29</v>
      </c>
      <c r="C138" s="7">
        <v>76931382420</v>
      </c>
      <c r="D138" s="8" t="s">
        <v>294</v>
      </c>
      <c r="E138" s="30">
        <v>2</v>
      </c>
      <c r="F138" s="31" t="s">
        <v>58</v>
      </c>
      <c r="G138" s="10" t="s">
        <v>32</v>
      </c>
      <c r="H138" s="11">
        <v>0</v>
      </c>
      <c r="I138" s="35">
        <f>115.29+48.49</f>
        <v>163.78</v>
      </c>
      <c r="J138" s="13" t="s">
        <v>33</v>
      </c>
      <c r="K138" s="12">
        <v>156.06</v>
      </c>
      <c r="L138" s="14">
        <v>24.25</v>
      </c>
      <c r="M138" s="11">
        <f t="shared" si="12"/>
        <v>131.81</v>
      </c>
      <c r="N138" s="11">
        <v>2.68</v>
      </c>
      <c r="O138" s="12">
        <v>0</v>
      </c>
      <c r="P138" s="12">
        <f t="shared" si="13"/>
        <v>2.68</v>
      </c>
      <c r="Q138" s="12">
        <v>103.5</v>
      </c>
      <c r="R138" s="12">
        <v>72.739999999999995</v>
      </c>
      <c r="S138" s="12">
        <f t="shared" si="14"/>
        <v>30.760000000000005</v>
      </c>
      <c r="T138" s="12">
        <v>0</v>
      </c>
      <c r="U138" s="12">
        <v>0</v>
      </c>
      <c r="V138" s="12">
        <f t="shared" si="15"/>
        <v>0</v>
      </c>
      <c r="W138" s="15"/>
      <c r="X138" s="16">
        <v>0</v>
      </c>
      <c r="Y138" s="16">
        <v>0</v>
      </c>
      <c r="Z138" s="16">
        <f t="shared" si="16"/>
        <v>0</v>
      </c>
      <c r="AA138" s="15"/>
      <c r="AB138" s="12">
        <f t="shared" si="17"/>
        <v>329.03000000000003</v>
      </c>
    </row>
    <row r="139" spans="1:28" s="36" customFormat="1">
      <c r="A139" s="5" t="s">
        <v>28</v>
      </c>
      <c r="B139" s="28" t="s">
        <v>29</v>
      </c>
      <c r="C139" s="7">
        <v>89866681491</v>
      </c>
      <c r="D139" s="8" t="s">
        <v>295</v>
      </c>
      <c r="E139" s="30">
        <v>2</v>
      </c>
      <c r="F139" s="31" t="s">
        <v>31</v>
      </c>
      <c r="G139" s="10" t="s">
        <v>32</v>
      </c>
      <c r="H139" s="11">
        <v>0</v>
      </c>
      <c r="I139" s="35">
        <f>177.16</f>
        <v>177.16</v>
      </c>
      <c r="J139" s="13" t="s">
        <v>33</v>
      </c>
      <c r="K139" s="12">
        <v>156.06</v>
      </c>
      <c r="L139" s="14">
        <v>2.4300000000000002</v>
      </c>
      <c r="M139" s="11">
        <f t="shared" si="12"/>
        <v>153.63</v>
      </c>
      <c r="N139" s="11">
        <v>5.36</v>
      </c>
      <c r="O139" s="12">
        <v>0</v>
      </c>
      <c r="P139" s="12">
        <f t="shared" si="13"/>
        <v>5.36</v>
      </c>
      <c r="Q139" s="12">
        <v>0</v>
      </c>
      <c r="R139" s="12">
        <v>0</v>
      </c>
      <c r="S139" s="12">
        <f t="shared" si="14"/>
        <v>0</v>
      </c>
      <c r="T139" s="12">
        <v>0</v>
      </c>
      <c r="U139" s="12">
        <v>0</v>
      </c>
      <c r="V139" s="12">
        <f t="shared" si="15"/>
        <v>0</v>
      </c>
      <c r="W139" s="15"/>
      <c r="X139" s="16">
        <v>0</v>
      </c>
      <c r="Y139" s="16">
        <v>0</v>
      </c>
      <c r="Z139" s="16">
        <f t="shared" si="16"/>
        <v>0</v>
      </c>
      <c r="AA139" s="15"/>
      <c r="AB139" s="12">
        <f t="shared" si="17"/>
        <v>336.15</v>
      </c>
    </row>
    <row r="140" spans="1:28" s="36" customFormat="1">
      <c r="A140" s="5" t="s">
        <v>28</v>
      </c>
      <c r="B140" s="28" t="s">
        <v>29</v>
      </c>
      <c r="C140" s="47" t="s">
        <v>296</v>
      </c>
      <c r="D140" s="8" t="s">
        <v>297</v>
      </c>
      <c r="E140" s="32">
        <v>2</v>
      </c>
      <c r="F140" s="31" t="s">
        <v>58</v>
      </c>
      <c r="G140" s="10" t="s">
        <v>32</v>
      </c>
      <c r="H140" s="11">
        <v>0</v>
      </c>
      <c r="I140" s="35">
        <f>118.44+24.24</f>
        <v>142.68</v>
      </c>
      <c r="J140" s="13" t="s">
        <v>33</v>
      </c>
      <c r="K140" s="12">
        <v>156.06</v>
      </c>
      <c r="L140" s="14">
        <v>24.25</v>
      </c>
      <c r="M140" s="11">
        <f t="shared" si="12"/>
        <v>131.81</v>
      </c>
      <c r="N140" s="11">
        <v>2.68</v>
      </c>
      <c r="O140" s="12">
        <v>0</v>
      </c>
      <c r="P140" s="12">
        <f t="shared" si="13"/>
        <v>2.68</v>
      </c>
      <c r="Q140" s="12">
        <v>103.5</v>
      </c>
      <c r="R140" s="12">
        <v>72.739999999999995</v>
      </c>
      <c r="S140" s="12">
        <f t="shared" si="14"/>
        <v>30.760000000000005</v>
      </c>
      <c r="T140" s="12">
        <v>0</v>
      </c>
      <c r="U140" s="12">
        <v>0</v>
      </c>
      <c r="V140" s="12">
        <f t="shared" si="15"/>
        <v>0</v>
      </c>
      <c r="W140" s="15"/>
      <c r="X140" s="16">
        <v>0</v>
      </c>
      <c r="Y140" s="16">
        <v>0</v>
      </c>
      <c r="Z140" s="16">
        <f t="shared" si="16"/>
        <v>0</v>
      </c>
      <c r="AA140" s="15"/>
      <c r="AB140" s="12">
        <f t="shared" si="17"/>
        <v>307.93</v>
      </c>
    </row>
    <row r="141" spans="1:28" s="36" customFormat="1">
      <c r="A141" s="5" t="s">
        <v>28</v>
      </c>
      <c r="B141" s="28" t="s">
        <v>29</v>
      </c>
      <c r="C141" s="7">
        <v>89866681491</v>
      </c>
      <c r="D141" s="30" t="s">
        <v>298</v>
      </c>
      <c r="E141" s="48">
        <v>2</v>
      </c>
      <c r="F141" s="31" t="s">
        <v>58</v>
      </c>
      <c r="G141" s="10" t="s">
        <v>32</v>
      </c>
      <c r="H141" s="11">
        <v>0</v>
      </c>
      <c r="I141" s="35">
        <f>113.71+48.49</f>
        <v>162.19999999999999</v>
      </c>
      <c r="J141" s="13" t="s">
        <v>33</v>
      </c>
      <c r="K141" s="12">
        <v>156.06</v>
      </c>
      <c r="L141" s="14">
        <v>24.25</v>
      </c>
      <c r="M141" s="11">
        <f t="shared" si="12"/>
        <v>131.81</v>
      </c>
      <c r="N141" s="11">
        <v>2.68</v>
      </c>
      <c r="O141" s="12">
        <v>0</v>
      </c>
      <c r="P141" s="12">
        <f t="shared" si="13"/>
        <v>2.68</v>
      </c>
      <c r="Q141" s="12">
        <v>174</v>
      </c>
      <c r="R141" s="12">
        <v>47.97</v>
      </c>
      <c r="S141" s="12">
        <f t="shared" si="14"/>
        <v>126.03</v>
      </c>
      <c r="T141" s="12">
        <v>0</v>
      </c>
      <c r="U141" s="12">
        <v>0</v>
      </c>
      <c r="V141" s="12">
        <f t="shared" si="15"/>
        <v>0</v>
      </c>
      <c r="W141" s="15"/>
      <c r="X141" s="16">
        <v>0</v>
      </c>
      <c r="Y141" s="16">
        <v>0</v>
      </c>
      <c r="Z141" s="16">
        <f t="shared" si="16"/>
        <v>0</v>
      </c>
      <c r="AA141" s="15"/>
      <c r="AB141" s="12">
        <f t="shared" si="17"/>
        <v>422.72</v>
      </c>
    </row>
    <row r="142" spans="1:28" s="37" customFormat="1">
      <c r="A142" s="49"/>
      <c r="B142" s="50"/>
      <c r="C142" s="51"/>
      <c r="D142" s="52"/>
      <c r="E142" s="53"/>
      <c r="F142" s="51"/>
      <c r="G142" s="51"/>
      <c r="H142" s="51"/>
      <c r="I142" s="51"/>
      <c r="J142" s="51"/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/>
      <c r="X142" s="54">
        <v>0</v>
      </c>
      <c r="Y142" s="54">
        <v>0</v>
      </c>
      <c r="Z142" s="54">
        <v>0</v>
      </c>
      <c r="AA142" s="54"/>
      <c r="AB142" s="54">
        <v>0</v>
      </c>
    </row>
    <row r="143" spans="1:28" s="36" customFormat="1">
      <c r="A143" s="49"/>
      <c r="B143" s="50"/>
      <c r="C143" s="51"/>
      <c r="D143" s="52"/>
      <c r="E143" s="53"/>
      <c r="F143" s="51"/>
      <c r="G143" s="51"/>
      <c r="H143" s="51"/>
      <c r="I143" s="51"/>
      <c r="J143" s="51"/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/>
      <c r="X143" s="54">
        <v>0</v>
      </c>
      <c r="Y143" s="54">
        <v>0</v>
      </c>
      <c r="Z143" s="54">
        <v>0</v>
      </c>
      <c r="AA143" s="54"/>
      <c r="AB143" s="54">
        <v>0</v>
      </c>
    </row>
    <row r="144" spans="1:28" s="36" customFormat="1">
      <c r="A144" s="49"/>
      <c r="B144" s="50"/>
      <c r="C144" s="51"/>
      <c r="D144" s="52"/>
      <c r="E144" s="55"/>
      <c r="F144" s="51"/>
      <c r="G144" s="51"/>
      <c r="H144" s="51"/>
      <c r="I144" s="51"/>
      <c r="J144" s="51"/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/>
      <c r="X144" s="54">
        <v>0</v>
      </c>
      <c r="Y144" s="54">
        <v>0</v>
      </c>
      <c r="Z144" s="54">
        <v>0</v>
      </c>
      <c r="AA144" s="54"/>
      <c r="AB144" s="54">
        <v>0</v>
      </c>
    </row>
    <row r="145" spans="1:28" s="36" customFormat="1">
      <c r="A145" s="49"/>
      <c r="B145" s="50"/>
      <c r="C145" s="51"/>
      <c r="D145" s="52"/>
      <c r="E145" s="55"/>
      <c r="F145" s="51"/>
      <c r="G145" s="51"/>
      <c r="H145" s="51"/>
      <c r="I145" s="51"/>
      <c r="J145" s="51"/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/>
      <c r="X145" s="54">
        <v>0</v>
      </c>
      <c r="Y145" s="54">
        <v>0</v>
      </c>
      <c r="Z145" s="54">
        <v>0</v>
      </c>
      <c r="AA145" s="54"/>
      <c r="AB145" s="54">
        <v>0</v>
      </c>
    </row>
    <row r="146" spans="1:28" s="36" customFormat="1">
      <c r="A146" s="49"/>
      <c r="B146" s="50"/>
      <c r="C146" s="51"/>
      <c r="D146" s="52"/>
      <c r="E146" s="53"/>
      <c r="F146" s="51"/>
      <c r="G146" s="51"/>
      <c r="H146" s="51"/>
      <c r="I146" s="51"/>
      <c r="J146" s="51"/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/>
      <c r="X146" s="54">
        <v>0</v>
      </c>
      <c r="Y146" s="54">
        <v>0</v>
      </c>
      <c r="Z146" s="54">
        <v>0</v>
      </c>
      <c r="AA146" s="54"/>
      <c r="AB146" s="54">
        <v>0</v>
      </c>
    </row>
    <row r="147" spans="1:28" s="36" customFormat="1">
      <c r="A147" s="49"/>
      <c r="B147" s="50"/>
      <c r="C147" s="51"/>
      <c r="D147" s="52"/>
      <c r="E147" s="56"/>
      <c r="F147" s="51"/>
      <c r="G147" s="51"/>
      <c r="H147" s="51"/>
      <c r="I147" s="51"/>
      <c r="J147" s="51"/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/>
      <c r="X147" s="54">
        <v>0</v>
      </c>
      <c r="Y147" s="54">
        <v>0</v>
      </c>
      <c r="Z147" s="54">
        <v>0</v>
      </c>
      <c r="AA147" s="54"/>
      <c r="AB147" s="54">
        <v>0</v>
      </c>
    </row>
    <row r="148" spans="1:28" s="36" customFormat="1">
      <c r="A148" s="49"/>
      <c r="B148" s="50"/>
      <c r="C148" s="51"/>
      <c r="D148" s="52"/>
      <c r="E148" s="56"/>
      <c r="F148" s="51"/>
      <c r="G148" s="51"/>
      <c r="H148" s="51"/>
      <c r="I148" s="51"/>
      <c r="J148" s="51"/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/>
      <c r="X148" s="54">
        <v>0</v>
      </c>
      <c r="Y148" s="54">
        <v>0</v>
      </c>
      <c r="Z148" s="54">
        <v>0</v>
      </c>
      <c r="AA148" s="54"/>
      <c r="AB148" s="54">
        <v>0</v>
      </c>
    </row>
    <row r="149" spans="1:28" s="36" customFormat="1">
      <c r="A149" s="49"/>
      <c r="B149" s="50"/>
      <c r="C149" s="51"/>
      <c r="D149" s="52"/>
      <c r="E149" s="53"/>
      <c r="F149" s="51"/>
      <c r="G149" s="51"/>
      <c r="H149" s="51"/>
      <c r="I149" s="51"/>
      <c r="J149" s="51"/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/>
      <c r="X149" s="54">
        <v>0</v>
      </c>
      <c r="Y149" s="54">
        <v>0</v>
      </c>
      <c r="Z149" s="54">
        <v>0</v>
      </c>
      <c r="AA149" s="54"/>
      <c r="AB149" s="54">
        <v>0</v>
      </c>
    </row>
    <row r="150" spans="1:28" s="36" customFormat="1">
      <c r="A150" s="49"/>
      <c r="B150" s="50"/>
      <c r="C150" s="51"/>
      <c r="D150" s="52"/>
      <c r="E150" s="53"/>
      <c r="F150" s="51"/>
      <c r="G150" s="51"/>
      <c r="H150" s="51"/>
      <c r="I150" s="51"/>
      <c r="J150" s="51"/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/>
      <c r="X150" s="54">
        <v>0</v>
      </c>
      <c r="Y150" s="54">
        <v>0</v>
      </c>
      <c r="Z150" s="54">
        <v>0</v>
      </c>
      <c r="AA150" s="54"/>
      <c r="AB150" s="54">
        <v>0</v>
      </c>
    </row>
    <row r="151" spans="1:28" s="36" customFormat="1">
      <c r="A151" s="49"/>
      <c r="B151" s="50"/>
      <c r="C151" s="51"/>
      <c r="D151" s="52"/>
      <c r="E151" s="53"/>
      <c r="F151" s="51"/>
      <c r="G151" s="51"/>
      <c r="H151" s="51"/>
      <c r="I151" s="51"/>
      <c r="J151" s="51"/>
      <c r="K151" s="54">
        <v>0</v>
      </c>
      <c r="L151" s="54">
        <v>0</v>
      </c>
      <c r="M151" s="54">
        <v>0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/>
      <c r="X151" s="54">
        <v>0</v>
      </c>
      <c r="Y151" s="54">
        <v>0</v>
      </c>
      <c r="Z151" s="54">
        <v>0</v>
      </c>
      <c r="AA151" s="54"/>
      <c r="AB151" s="54">
        <v>0</v>
      </c>
    </row>
    <row r="152" spans="1:28" s="36" customFormat="1">
      <c r="A152" s="49"/>
      <c r="B152" s="50"/>
      <c r="C152" s="51"/>
      <c r="D152" s="52"/>
      <c r="E152" s="53"/>
      <c r="F152" s="51"/>
      <c r="G152" s="51"/>
      <c r="H152" s="51"/>
      <c r="I152" s="51"/>
      <c r="J152" s="51"/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/>
      <c r="X152" s="54">
        <v>0</v>
      </c>
      <c r="Y152" s="54">
        <v>0</v>
      </c>
      <c r="Z152" s="54">
        <v>0</v>
      </c>
      <c r="AA152" s="54"/>
      <c r="AB152" s="54">
        <v>0</v>
      </c>
    </row>
    <row r="153" spans="1:28" s="36" customFormat="1">
      <c r="A153" s="49"/>
      <c r="B153" s="50"/>
      <c r="C153" s="51"/>
      <c r="D153" s="52"/>
      <c r="E153" s="53"/>
      <c r="F153" s="51"/>
      <c r="G153" s="51"/>
      <c r="H153" s="51"/>
      <c r="I153" s="51"/>
      <c r="J153" s="51"/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/>
      <c r="X153" s="54">
        <v>0</v>
      </c>
      <c r="Y153" s="54">
        <v>0</v>
      </c>
      <c r="Z153" s="54">
        <v>0</v>
      </c>
      <c r="AA153" s="54"/>
      <c r="AB153" s="54">
        <v>0</v>
      </c>
    </row>
    <row r="154" spans="1:28" s="36" customFormat="1">
      <c r="A154" s="49"/>
      <c r="B154" s="50"/>
      <c r="C154" s="51"/>
      <c r="D154" s="52"/>
      <c r="E154" s="53"/>
      <c r="F154" s="51"/>
      <c r="G154" s="51"/>
      <c r="H154" s="51"/>
      <c r="I154" s="51"/>
      <c r="J154" s="51"/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/>
      <c r="X154" s="54">
        <v>0</v>
      </c>
      <c r="Y154" s="54">
        <v>0</v>
      </c>
      <c r="Z154" s="54">
        <v>0</v>
      </c>
      <c r="AA154" s="54"/>
      <c r="AB154" s="54">
        <v>0</v>
      </c>
    </row>
    <row r="155" spans="1:28" s="36" customFormat="1">
      <c r="A155" s="49"/>
      <c r="B155" s="50"/>
      <c r="C155" s="51"/>
      <c r="D155" s="52"/>
      <c r="E155" s="53"/>
      <c r="F155" s="51"/>
      <c r="G155" s="51"/>
      <c r="H155" s="51"/>
      <c r="I155" s="51"/>
      <c r="J155" s="51"/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/>
      <c r="X155" s="54">
        <v>0</v>
      </c>
      <c r="Y155" s="54">
        <v>0</v>
      </c>
      <c r="Z155" s="54">
        <v>0</v>
      </c>
      <c r="AA155" s="54"/>
      <c r="AB155" s="54">
        <v>0</v>
      </c>
    </row>
    <row r="156" spans="1:28" s="36" customFormat="1">
      <c r="A156" s="49"/>
      <c r="B156" s="50"/>
      <c r="C156" s="51"/>
      <c r="D156" s="52"/>
      <c r="E156" s="53"/>
      <c r="F156" s="51"/>
      <c r="G156" s="51"/>
      <c r="H156" s="51"/>
      <c r="I156" s="51"/>
      <c r="J156" s="51"/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/>
      <c r="X156" s="54">
        <v>0</v>
      </c>
      <c r="Y156" s="54">
        <v>0</v>
      </c>
      <c r="Z156" s="54">
        <v>0</v>
      </c>
      <c r="AA156" s="54"/>
      <c r="AB156" s="54">
        <v>0</v>
      </c>
    </row>
    <row r="157" spans="1:28" s="36" customFormat="1">
      <c r="A157" s="49"/>
      <c r="B157" s="50"/>
      <c r="C157" s="51"/>
      <c r="D157" s="52"/>
      <c r="E157" s="53"/>
      <c r="F157" s="51"/>
      <c r="G157" s="51"/>
      <c r="H157" s="51"/>
      <c r="I157" s="51"/>
      <c r="J157" s="51"/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/>
      <c r="X157" s="54">
        <v>0</v>
      </c>
      <c r="Y157" s="54">
        <v>0</v>
      </c>
      <c r="Z157" s="54">
        <v>0</v>
      </c>
      <c r="AA157" s="54"/>
      <c r="AB157" s="54">
        <v>0</v>
      </c>
    </row>
    <row r="158" spans="1:28" s="36" customFormat="1">
      <c r="A158" s="49"/>
      <c r="B158" s="50"/>
      <c r="C158" s="51"/>
      <c r="D158" s="52"/>
      <c r="E158" s="53"/>
      <c r="F158" s="51"/>
      <c r="G158" s="51"/>
      <c r="H158" s="51"/>
      <c r="I158" s="51"/>
      <c r="J158" s="51"/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/>
      <c r="X158" s="54">
        <v>0</v>
      </c>
      <c r="Y158" s="54">
        <v>0</v>
      </c>
      <c r="Z158" s="54">
        <v>0</v>
      </c>
      <c r="AA158" s="54"/>
      <c r="AB158" s="54">
        <v>0</v>
      </c>
    </row>
    <row r="159" spans="1:28" s="36" customFormat="1">
      <c r="A159" s="49"/>
      <c r="B159" s="50"/>
      <c r="C159" s="51"/>
      <c r="D159" s="52"/>
      <c r="E159" s="56"/>
      <c r="F159" s="51"/>
      <c r="G159" s="51"/>
      <c r="H159" s="51"/>
      <c r="I159" s="51"/>
      <c r="J159" s="51"/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/>
      <c r="X159" s="54">
        <v>0</v>
      </c>
      <c r="Y159" s="54">
        <v>0</v>
      </c>
      <c r="Z159" s="54">
        <v>0</v>
      </c>
      <c r="AA159" s="54"/>
      <c r="AB159" s="54">
        <v>0</v>
      </c>
    </row>
    <row r="160" spans="1:28" s="36" customFormat="1">
      <c r="A160" s="49"/>
      <c r="B160" s="50"/>
      <c r="C160" s="51"/>
      <c r="D160" s="52"/>
      <c r="E160" s="53"/>
      <c r="F160" s="51"/>
      <c r="G160" s="51"/>
      <c r="H160" s="51"/>
      <c r="I160" s="51"/>
      <c r="J160" s="51"/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/>
      <c r="X160" s="54">
        <v>0</v>
      </c>
      <c r="Y160" s="54">
        <v>0</v>
      </c>
      <c r="Z160" s="54">
        <v>0</v>
      </c>
      <c r="AA160" s="54"/>
      <c r="AB160" s="54">
        <v>0</v>
      </c>
    </row>
    <row r="161" spans="1:28" s="36" customFormat="1">
      <c r="A161" s="49"/>
      <c r="B161" s="50"/>
      <c r="C161" s="51"/>
      <c r="D161" s="52"/>
      <c r="E161" s="53"/>
      <c r="F161" s="51"/>
      <c r="G161" s="51"/>
      <c r="H161" s="51"/>
      <c r="I161" s="51"/>
      <c r="J161" s="51"/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/>
      <c r="X161" s="54">
        <v>0</v>
      </c>
      <c r="Y161" s="54">
        <v>0</v>
      </c>
      <c r="Z161" s="54">
        <v>0</v>
      </c>
      <c r="AA161" s="54"/>
      <c r="AB161" s="54">
        <v>0</v>
      </c>
    </row>
    <row r="162" spans="1:28" s="36" customFormat="1">
      <c r="A162" s="49"/>
      <c r="B162" s="50"/>
      <c r="C162" s="51"/>
      <c r="D162" s="52"/>
      <c r="E162" s="53"/>
      <c r="F162" s="51"/>
      <c r="G162" s="51"/>
      <c r="H162" s="51"/>
      <c r="I162" s="51"/>
      <c r="J162" s="51"/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/>
      <c r="X162" s="54">
        <v>0</v>
      </c>
      <c r="Y162" s="54">
        <v>0</v>
      </c>
      <c r="Z162" s="54">
        <v>0</v>
      </c>
      <c r="AA162" s="54"/>
      <c r="AB162" s="54">
        <v>0</v>
      </c>
    </row>
    <row r="163" spans="1:28" s="36" customFormat="1">
      <c r="A163" s="49"/>
      <c r="B163" s="50"/>
      <c r="C163" s="51"/>
      <c r="D163" s="52"/>
      <c r="E163" s="53"/>
      <c r="F163" s="51"/>
      <c r="G163" s="51"/>
      <c r="H163" s="51"/>
      <c r="I163" s="51"/>
      <c r="J163" s="51"/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/>
      <c r="X163" s="54">
        <v>0</v>
      </c>
      <c r="Y163" s="54">
        <v>0</v>
      </c>
      <c r="Z163" s="54">
        <v>0</v>
      </c>
      <c r="AA163" s="54"/>
      <c r="AB163" s="54">
        <v>0</v>
      </c>
    </row>
    <row r="164" spans="1:28" s="36" customFormat="1">
      <c r="A164" s="49"/>
      <c r="B164" s="50"/>
      <c r="C164" s="51"/>
      <c r="D164" s="52"/>
      <c r="E164" s="55"/>
      <c r="F164" s="51"/>
      <c r="G164" s="51"/>
      <c r="H164" s="51"/>
      <c r="I164" s="51"/>
      <c r="J164" s="51"/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/>
      <c r="X164" s="54">
        <v>0</v>
      </c>
      <c r="Y164" s="54">
        <v>0</v>
      </c>
      <c r="Z164" s="54">
        <v>0</v>
      </c>
      <c r="AA164" s="54"/>
      <c r="AB164" s="54">
        <v>0</v>
      </c>
    </row>
    <row r="165" spans="1:28" s="36" customFormat="1">
      <c r="A165" s="49"/>
      <c r="B165" s="50"/>
      <c r="C165" s="51"/>
      <c r="D165" s="52"/>
      <c r="E165" s="55"/>
      <c r="F165" s="51"/>
      <c r="G165" s="51"/>
      <c r="H165" s="51"/>
      <c r="I165" s="51"/>
      <c r="J165" s="51"/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/>
      <c r="X165" s="54">
        <v>0</v>
      </c>
      <c r="Y165" s="54">
        <v>0</v>
      </c>
      <c r="Z165" s="54">
        <v>0</v>
      </c>
      <c r="AA165" s="54"/>
      <c r="AB165" s="54">
        <v>0</v>
      </c>
    </row>
    <row r="166" spans="1:28" s="36" customFormat="1">
      <c r="A166" s="49"/>
      <c r="B166" s="50"/>
      <c r="C166" s="51"/>
      <c r="D166" s="52"/>
      <c r="E166" s="53"/>
      <c r="F166" s="51"/>
      <c r="G166" s="51"/>
      <c r="H166" s="51"/>
      <c r="I166" s="51"/>
      <c r="J166" s="51"/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/>
      <c r="X166" s="54">
        <v>0</v>
      </c>
      <c r="Y166" s="54">
        <v>0</v>
      </c>
      <c r="Z166" s="54">
        <v>0</v>
      </c>
      <c r="AA166" s="54"/>
      <c r="AB166" s="54">
        <v>0</v>
      </c>
    </row>
    <row r="167" spans="1:28" s="36" customFormat="1">
      <c r="A167" s="49"/>
      <c r="B167" s="50"/>
      <c r="C167" s="51"/>
      <c r="D167" s="52"/>
      <c r="E167" s="56"/>
      <c r="F167" s="51"/>
      <c r="G167" s="51"/>
      <c r="H167" s="51"/>
      <c r="I167" s="51"/>
      <c r="J167" s="51"/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/>
      <c r="X167" s="54">
        <v>0</v>
      </c>
      <c r="Y167" s="54">
        <v>0</v>
      </c>
      <c r="Z167" s="54">
        <v>0</v>
      </c>
      <c r="AA167" s="54"/>
      <c r="AB167" s="54">
        <v>0</v>
      </c>
    </row>
    <row r="168" spans="1:28" s="36" customFormat="1">
      <c r="A168" s="49"/>
      <c r="B168" s="50"/>
      <c r="C168" s="51"/>
      <c r="D168" s="52"/>
      <c r="E168" s="53"/>
      <c r="F168" s="51"/>
      <c r="G168" s="51"/>
      <c r="H168" s="51"/>
      <c r="I168" s="51"/>
      <c r="J168" s="51"/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/>
      <c r="X168" s="54">
        <v>0</v>
      </c>
      <c r="Y168" s="54">
        <v>0</v>
      </c>
      <c r="Z168" s="54">
        <v>0</v>
      </c>
      <c r="AA168" s="54"/>
      <c r="AB168" s="54">
        <v>0</v>
      </c>
    </row>
    <row r="169" spans="1:28" s="36" customFormat="1">
      <c r="A169" s="49"/>
      <c r="B169" s="50"/>
      <c r="C169" s="51"/>
      <c r="D169" s="52"/>
      <c r="E169" s="53"/>
      <c r="F169" s="51"/>
      <c r="G169" s="51"/>
      <c r="H169" s="51"/>
      <c r="I169" s="51"/>
      <c r="J169" s="51"/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/>
      <c r="X169" s="54">
        <v>0</v>
      </c>
      <c r="Y169" s="54">
        <v>0</v>
      </c>
      <c r="Z169" s="54">
        <v>0</v>
      </c>
      <c r="AA169" s="54"/>
      <c r="AB169" s="54">
        <v>0</v>
      </c>
    </row>
    <row r="170" spans="1:28" s="36" customFormat="1">
      <c r="A170" s="49"/>
      <c r="B170" s="50"/>
      <c r="C170" s="51"/>
      <c r="D170" s="52"/>
      <c r="E170" s="53"/>
      <c r="F170" s="51"/>
      <c r="G170" s="51"/>
      <c r="H170" s="51"/>
      <c r="I170" s="51"/>
      <c r="J170" s="51"/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/>
      <c r="X170" s="54">
        <v>0</v>
      </c>
      <c r="Y170" s="54">
        <v>0</v>
      </c>
      <c r="Z170" s="54">
        <v>0</v>
      </c>
      <c r="AA170" s="54"/>
      <c r="AB170" s="54">
        <v>0</v>
      </c>
    </row>
    <row r="171" spans="1:28" s="36" customFormat="1">
      <c r="A171" s="49"/>
      <c r="B171" s="50"/>
      <c r="C171" s="51"/>
      <c r="D171" s="52"/>
      <c r="E171" s="53"/>
      <c r="F171" s="51"/>
      <c r="G171" s="51"/>
      <c r="H171" s="51"/>
      <c r="I171" s="51"/>
      <c r="J171" s="51"/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/>
      <c r="X171" s="54">
        <v>0</v>
      </c>
      <c r="Y171" s="54">
        <v>0</v>
      </c>
      <c r="Z171" s="54">
        <v>0</v>
      </c>
      <c r="AA171" s="54"/>
      <c r="AB171" s="54">
        <v>0</v>
      </c>
    </row>
    <row r="172" spans="1:28" s="36" customFormat="1">
      <c r="A172" s="49"/>
      <c r="B172" s="50"/>
      <c r="C172" s="51"/>
      <c r="D172" s="52"/>
      <c r="E172" s="53"/>
      <c r="F172" s="51"/>
      <c r="G172" s="51"/>
      <c r="H172" s="51"/>
      <c r="I172" s="51"/>
      <c r="J172" s="51"/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/>
      <c r="X172" s="54">
        <v>0</v>
      </c>
      <c r="Y172" s="54">
        <v>0</v>
      </c>
      <c r="Z172" s="54">
        <v>0</v>
      </c>
      <c r="AA172" s="54"/>
      <c r="AB172" s="54">
        <v>0</v>
      </c>
    </row>
    <row r="173" spans="1:28" s="36" customFormat="1">
      <c r="A173" s="49"/>
      <c r="B173" s="50"/>
      <c r="C173" s="51"/>
      <c r="D173" s="52"/>
      <c r="E173" s="55"/>
      <c r="F173" s="51"/>
      <c r="G173" s="51"/>
      <c r="H173" s="51"/>
      <c r="I173" s="51"/>
      <c r="J173" s="51"/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/>
      <c r="X173" s="54">
        <v>0</v>
      </c>
      <c r="Y173" s="54">
        <v>0</v>
      </c>
      <c r="Z173" s="54">
        <v>0</v>
      </c>
      <c r="AA173" s="54"/>
      <c r="AB173" s="54">
        <v>0</v>
      </c>
    </row>
    <row r="174" spans="1:28" s="36" customFormat="1">
      <c r="A174" s="49"/>
      <c r="B174" s="50"/>
      <c r="C174" s="51"/>
      <c r="D174" s="52"/>
      <c r="E174" s="53"/>
      <c r="F174" s="51"/>
      <c r="G174" s="51"/>
      <c r="H174" s="51"/>
      <c r="I174" s="51"/>
      <c r="J174" s="51"/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/>
      <c r="X174" s="54">
        <v>0</v>
      </c>
      <c r="Y174" s="54">
        <v>0</v>
      </c>
      <c r="Z174" s="54">
        <v>0</v>
      </c>
      <c r="AA174" s="54"/>
      <c r="AB174" s="54">
        <v>0</v>
      </c>
    </row>
    <row r="175" spans="1:28" s="36" customFormat="1">
      <c r="A175" s="49"/>
      <c r="B175" s="50"/>
      <c r="C175" s="51"/>
      <c r="D175" s="52"/>
      <c r="E175" s="53"/>
      <c r="F175" s="51"/>
      <c r="G175" s="51"/>
      <c r="H175" s="51"/>
      <c r="I175" s="51"/>
      <c r="J175" s="51"/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/>
      <c r="X175" s="54">
        <v>0</v>
      </c>
      <c r="Y175" s="54">
        <v>0</v>
      </c>
      <c r="Z175" s="54">
        <v>0</v>
      </c>
      <c r="AA175" s="54"/>
      <c r="AB175" s="54">
        <v>0</v>
      </c>
    </row>
    <row r="176" spans="1:28" s="36" customFormat="1">
      <c r="A176" s="49"/>
      <c r="B176" s="50"/>
      <c r="C176" s="51"/>
      <c r="D176" s="52"/>
      <c r="E176" s="53"/>
      <c r="F176" s="51"/>
      <c r="G176" s="51"/>
      <c r="H176" s="51"/>
      <c r="I176" s="51"/>
      <c r="J176" s="51"/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/>
      <c r="X176" s="54">
        <v>0</v>
      </c>
      <c r="Y176" s="54">
        <v>0</v>
      </c>
      <c r="Z176" s="54">
        <v>0</v>
      </c>
      <c r="AA176" s="54"/>
      <c r="AB176" s="54">
        <v>0</v>
      </c>
    </row>
    <row r="177" spans="1:28" s="36" customFormat="1">
      <c r="A177" s="49"/>
      <c r="B177" s="50"/>
      <c r="C177" s="51"/>
      <c r="D177" s="52"/>
      <c r="E177" s="53"/>
      <c r="F177" s="51"/>
      <c r="G177" s="51"/>
      <c r="H177" s="51"/>
      <c r="I177" s="51"/>
      <c r="J177" s="51"/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0</v>
      </c>
      <c r="R177" s="54">
        <v>0</v>
      </c>
      <c r="S177" s="54">
        <v>0</v>
      </c>
      <c r="T177" s="54">
        <v>0</v>
      </c>
      <c r="U177" s="54">
        <v>0</v>
      </c>
      <c r="V177" s="54">
        <v>0</v>
      </c>
      <c r="W177" s="54"/>
      <c r="X177" s="54">
        <v>0</v>
      </c>
      <c r="Y177" s="54">
        <v>0</v>
      </c>
      <c r="Z177" s="54">
        <v>0</v>
      </c>
      <c r="AA177" s="54"/>
      <c r="AB177" s="54">
        <v>0</v>
      </c>
    </row>
    <row r="178" spans="1:28" s="36" customFormat="1">
      <c r="A178" s="49"/>
      <c r="B178" s="50"/>
      <c r="C178" s="51"/>
      <c r="D178" s="52"/>
      <c r="E178" s="53"/>
      <c r="F178" s="51"/>
      <c r="G178" s="51"/>
      <c r="H178" s="51"/>
      <c r="I178" s="51"/>
      <c r="J178" s="51"/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/>
      <c r="X178" s="54">
        <v>0</v>
      </c>
      <c r="Y178" s="54">
        <v>0</v>
      </c>
      <c r="Z178" s="54">
        <v>0</v>
      </c>
      <c r="AA178" s="54"/>
      <c r="AB178" s="54">
        <v>0</v>
      </c>
    </row>
    <row r="179" spans="1:28" s="36" customFormat="1">
      <c r="A179" s="49"/>
      <c r="B179" s="50"/>
      <c r="C179" s="51"/>
      <c r="D179" s="52"/>
      <c r="E179" s="53"/>
      <c r="F179" s="51"/>
      <c r="G179" s="51"/>
      <c r="H179" s="51"/>
      <c r="I179" s="51"/>
      <c r="J179" s="51"/>
      <c r="K179" s="54">
        <v>0</v>
      </c>
      <c r="L179" s="54">
        <v>0</v>
      </c>
      <c r="M179" s="54">
        <v>0</v>
      </c>
      <c r="N179" s="54">
        <v>0</v>
      </c>
      <c r="O179" s="54">
        <v>0</v>
      </c>
      <c r="P179" s="54">
        <v>0</v>
      </c>
      <c r="Q179" s="54">
        <v>0</v>
      </c>
      <c r="R179" s="54">
        <v>0</v>
      </c>
      <c r="S179" s="54">
        <v>0</v>
      </c>
      <c r="T179" s="54">
        <v>0</v>
      </c>
      <c r="U179" s="54">
        <v>0</v>
      </c>
      <c r="V179" s="54">
        <v>0</v>
      </c>
      <c r="W179" s="54"/>
      <c r="X179" s="54">
        <v>0</v>
      </c>
      <c r="Y179" s="54">
        <v>0</v>
      </c>
      <c r="Z179" s="54">
        <v>0</v>
      </c>
      <c r="AA179" s="54"/>
      <c r="AB179" s="54">
        <v>0</v>
      </c>
    </row>
    <row r="180" spans="1:28" ht="15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</row>
    <row r="201" spans="1:28" ht="1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</row>
  </sheetData>
  <protectedRanges>
    <protectedRange sqref="B11" name="Intervalo1_2"/>
    <protectedRange sqref="D5" name="Intervalo1_2_1_2_2"/>
    <protectedRange sqref="E58" name="Intervalo1_2_1_4_1"/>
    <protectedRange sqref="I5" name="Intervalo1_2_1_1_1_1"/>
  </protectedRanges>
  <pageMargins left="0.51181102362204722" right="0.51181102362204722" top="0.78740157480314965" bottom="0.78740157480314965" header="0.31496062992125984" footer="0.31496062992125984"/>
  <pageSetup paperSize="9" scale="25" orientation="landscape" horizontalDpi="4294967294" verticalDpi="4294967294" r:id="rId1"/>
  <rowBreaks count="1" manualBreakCount="1">
    <brk id="119" max="238" man="1"/>
  </rowBreaks>
  <colBreaks count="1" manualBreakCount="1">
    <brk id="28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2020-12-14T20:00:02Z</dcterms:created>
  <dcterms:modified xsi:type="dcterms:W3CDTF">2020-12-14T20:00:27Z</dcterms:modified>
</cp:coreProperties>
</file>