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Despesa pessoal ANEXO II " sheetId="1" r:id="rId1"/>
  </sheets>
  <externalReferences>
    <externalReference r:id="rId2"/>
  </externalReferences>
  <definedNames>
    <definedName name="_xlnm.Print_Area" localSheetId="0">'Despesa pessoal ANEXO II '!$A$1:$IG$144</definedName>
    <definedName name="FORNECEDORES">#REF!</definedName>
  </definedNames>
  <calcPr calcId="145621"/>
</workbook>
</file>

<file path=xl/calcChain.xml><?xml version="1.0" encoding="utf-8"?>
<calcChain xmlns="http://schemas.openxmlformats.org/spreadsheetml/2006/main">
  <c r="O144" i="1" l="1"/>
  <c r="M144" i="1"/>
  <c r="P144" i="1" s="1"/>
  <c r="P143" i="1"/>
  <c r="O143" i="1"/>
  <c r="M143" i="1"/>
  <c r="O142" i="1"/>
  <c r="P142" i="1" s="1"/>
  <c r="M142" i="1"/>
  <c r="M141" i="1"/>
  <c r="P141" i="1" s="1"/>
  <c r="P140" i="1"/>
  <c r="O140" i="1"/>
  <c r="M140" i="1"/>
  <c r="O139" i="1"/>
  <c r="P139" i="1" s="1"/>
  <c r="M139" i="1"/>
  <c r="O138" i="1"/>
  <c r="P138" i="1" s="1"/>
  <c r="M138" i="1"/>
  <c r="P137" i="1"/>
  <c r="O137" i="1"/>
  <c r="O136" i="1"/>
  <c r="P136" i="1" s="1"/>
  <c r="M136" i="1"/>
  <c r="O135" i="1"/>
  <c r="P135" i="1" s="1"/>
  <c r="M135" i="1"/>
  <c r="O134" i="1"/>
  <c r="M134" i="1"/>
  <c r="P134" i="1" s="1"/>
  <c r="P133" i="1"/>
  <c r="O132" i="1"/>
  <c r="M132" i="1"/>
  <c r="P132" i="1" s="1"/>
  <c r="P131" i="1"/>
  <c r="O131" i="1"/>
  <c r="M131" i="1"/>
  <c r="O130" i="1"/>
  <c r="P130" i="1" s="1"/>
  <c r="M130" i="1"/>
  <c r="O129" i="1"/>
  <c r="P129" i="1" s="1"/>
  <c r="M129" i="1"/>
  <c r="O128" i="1"/>
  <c r="M128" i="1"/>
  <c r="P128" i="1" s="1"/>
  <c r="P127" i="1"/>
  <c r="O127" i="1"/>
  <c r="M127" i="1"/>
  <c r="O126" i="1"/>
  <c r="P126" i="1" s="1"/>
  <c r="M126" i="1"/>
  <c r="O125" i="1"/>
  <c r="P125" i="1" s="1"/>
  <c r="M125" i="1"/>
  <c r="O124" i="1"/>
  <c r="M124" i="1"/>
  <c r="P124" i="1" s="1"/>
  <c r="P123" i="1"/>
  <c r="O123" i="1"/>
  <c r="M123" i="1"/>
  <c r="O122" i="1"/>
  <c r="P122" i="1" s="1"/>
  <c r="M122" i="1"/>
  <c r="O121" i="1"/>
  <c r="P121" i="1" s="1"/>
  <c r="M121" i="1"/>
  <c r="O120" i="1"/>
  <c r="M120" i="1"/>
  <c r="P120" i="1" s="1"/>
  <c r="P119" i="1"/>
  <c r="O119" i="1"/>
  <c r="O118" i="1"/>
  <c r="P118" i="1" s="1"/>
  <c r="M118" i="1"/>
  <c r="O117" i="1"/>
  <c r="M117" i="1"/>
  <c r="P117" i="1" s="1"/>
  <c r="P116" i="1"/>
  <c r="O116" i="1"/>
  <c r="M116" i="1"/>
  <c r="O115" i="1"/>
  <c r="P115" i="1" s="1"/>
  <c r="O114" i="1"/>
  <c r="M114" i="1"/>
  <c r="P114" i="1" s="1"/>
  <c r="P113" i="1"/>
  <c r="O113" i="1"/>
  <c r="M113" i="1"/>
  <c r="O112" i="1"/>
  <c r="P112" i="1" s="1"/>
  <c r="M112" i="1"/>
  <c r="O111" i="1"/>
  <c r="P111" i="1" s="1"/>
  <c r="M111" i="1"/>
  <c r="P110" i="1"/>
  <c r="M110" i="1"/>
  <c r="O109" i="1"/>
  <c r="P109" i="1" s="1"/>
  <c r="M109" i="1"/>
  <c r="O108" i="1"/>
  <c r="P108" i="1" s="1"/>
  <c r="M108" i="1"/>
  <c r="O107" i="1"/>
  <c r="M107" i="1"/>
  <c r="P107" i="1" s="1"/>
  <c r="P106" i="1"/>
  <c r="O106" i="1"/>
  <c r="M106" i="1"/>
  <c r="O105" i="1"/>
  <c r="P105" i="1" s="1"/>
  <c r="M105" i="1"/>
  <c r="O104" i="1"/>
  <c r="P104" i="1" s="1"/>
  <c r="M104" i="1"/>
  <c r="P103" i="1"/>
  <c r="M103" i="1"/>
  <c r="O102" i="1"/>
  <c r="P102" i="1" s="1"/>
  <c r="M102" i="1"/>
  <c r="O101" i="1"/>
  <c r="P101" i="1" s="1"/>
  <c r="M101" i="1"/>
  <c r="P100" i="1"/>
  <c r="O100" i="1"/>
  <c r="O99" i="1"/>
  <c r="P99" i="1" s="1"/>
  <c r="M99" i="1"/>
  <c r="O98" i="1"/>
  <c r="P98" i="1" s="1"/>
  <c r="M98" i="1"/>
  <c r="P97" i="1"/>
  <c r="O97" i="1"/>
  <c r="O96" i="1"/>
  <c r="P96" i="1" s="1"/>
  <c r="M96" i="1"/>
  <c r="P95" i="1"/>
  <c r="O94" i="1"/>
  <c r="P94" i="1" s="1"/>
  <c r="M94" i="1"/>
  <c r="O93" i="1"/>
  <c r="P93" i="1" s="1"/>
  <c r="M93" i="1"/>
  <c r="O92" i="1"/>
  <c r="M92" i="1"/>
  <c r="P92" i="1" s="1"/>
  <c r="P91" i="1"/>
  <c r="O90" i="1"/>
  <c r="M90" i="1"/>
  <c r="P90" i="1" s="1"/>
  <c r="P89" i="1"/>
  <c r="O88" i="1"/>
  <c r="M88" i="1"/>
  <c r="P88" i="1" s="1"/>
  <c r="P87" i="1"/>
  <c r="O87" i="1"/>
  <c r="M86" i="1"/>
  <c r="P86" i="1" s="1"/>
  <c r="P85" i="1"/>
  <c r="O85" i="1"/>
  <c r="M85" i="1"/>
  <c r="O84" i="1"/>
  <c r="P84" i="1" s="1"/>
  <c r="O83" i="1"/>
  <c r="M83" i="1"/>
  <c r="P83" i="1" s="1"/>
  <c r="P82" i="1"/>
  <c r="O82" i="1"/>
  <c r="M82" i="1"/>
  <c r="O81" i="1"/>
  <c r="P81" i="1" s="1"/>
  <c r="M81" i="1"/>
  <c r="O80" i="1"/>
  <c r="P80" i="1" s="1"/>
  <c r="M80" i="1"/>
  <c r="O79" i="1"/>
  <c r="M79" i="1"/>
  <c r="P79" i="1" s="1"/>
  <c r="P78" i="1"/>
  <c r="M78" i="1"/>
  <c r="O77" i="1"/>
  <c r="P77" i="1" s="1"/>
  <c r="M77" i="1"/>
  <c r="O76" i="1"/>
  <c r="M76" i="1"/>
  <c r="P76" i="1" s="1"/>
  <c r="P75" i="1"/>
  <c r="O75" i="1"/>
  <c r="M75" i="1"/>
  <c r="O74" i="1"/>
  <c r="P74" i="1" s="1"/>
  <c r="M74" i="1"/>
  <c r="O73" i="1"/>
  <c r="P73" i="1" s="1"/>
  <c r="P72" i="1"/>
  <c r="O71" i="1"/>
  <c r="M71" i="1"/>
  <c r="P71" i="1" s="1"/>
  <c r="P70" i="1"/>
  <c r="O70" i="1"/>
  <c r="M70" i="1"/>
  <c r="O69" i="1"/>
  <c r="P69" i="1" s="1"/>
  <c r="M69" i="1"/>
  <c r="O68" i="1"/>
  <c r="P68" i="1" s="1"/>
  <c r="M68" i="1"/>
  <c r="P67" i="1"/>
  <c r="O67" i="1"/>
  <c r="O66" i="1"/>
  <c r="P66" i="1" s="1"/>
  <c r="M66" i="1"/>
  <c r="O65" i="1"/>
  <c r="P65" i="1" s="1"/>
  <c r="M65" i="1"/>
  <c r="P64" i="1"/>
  <c r="O63" i="1"/>
  <c r="P63" i="1" s="1"/>
  <c r="P62" i="1"/>
  <c r="O62" i="1"/>
  <c r="M62" i="1"/>
  <c r="O61" i="1"/>
  <c r="P61" i="1" s="1"/>
  <c r="M61" i="1"/>
  <c r="O60" i="1"/>
  <c r="P60" i="1" s="1"/>
  <c r="M60" i="1"/>
  <c r="O59" i="1"/>
  <c r="M59" i="1"/>
  <c r="P59" i="1" s="1"/>
  <c r="P58" i="1"/>
  <c r="O58" i="1"/>
  <c r="M58" i="1"/>
  <c r="O57" i="1"/>
  <c r="P57" i="1" s="1"/>
  <c r="M57" i="1"/>
  <c r="O56" i="1"/>
  <c r="P56" i="1" s="1"/>
  <c r="M56" i="1"/>
  <c r="P55" i="1"/>
  <c r="O55" i="1"/>
  <c r="O54" i="1"/>
  <c r="P54" i="1" s="1"/>
  <c r="M54" i="1"/>
  <c r="O53" i="1"/>
  <c r="P53" i="1" s="1"/>
  <c r="M53" i="1"/>
  <c r="P52" i="1"/>
  <c r="O52" i="1"/>
  <c r="O51" i="1"/>
  <c r="P51" i="1" s="1"/>
  <c r="M51" i="1"/>
  <c r="O50" i="1"/>
  <c r="P50" i="1" s="1"/>
  <c r="P49" i="1"/>
  <c r="O49" i="1"/>
  <c r="M49" i="1"/>
  <c r="O48" i="1"/>
  <c r="P48" i="1" s="1"/>
  <c r="M48" i="1"/>
  <c r="O47" i="1"/>
  <c r="P47" i="1" s="1"/>
  <c r="M47" i="1"/>
  <c r="O46" i="1"/>
  <c r="M46" i="1"/>
  <c r="P46" i="1" s="1"/>
  <c r="P45" i="1"/>
  <c r="O45" i="1"/>
  <c r="M45" i="1"/>
  <c r="O44" i="1"/>
  <c r="P44" i="1" s="1"/>
  <c r="M44" i="1"/>
  <c r="O43" i="1"/>
  <c r="P43" i="1" s="1"/>
  <c r="M43" i="1"/>
  <c r="O42" i="1"/>
  <c r="M42" i="1"/>
  <c r="P42" i="1" s="1"/>
  <c r="P41" i="1"/>
  <c r="O41" i="1"/>
  <c r="M41" i="1"/>
  <c r="O40" i="1"/>
  <c r="P40" i="1" s="1"/>
  <c r="M40" i="1"/>
  <c r="O39" i="1"/>
  <c r="P39" i="1" s="1"/>
  <c r="M39" i="1"/>
  <c r="O38" i="1"/>
  <c r="M38" i="1"/>
  <c r="P38" i="1" s="1"/>
  <c r="P37" i="1"/>
  <c r="O37" i="1"/>
  <c r="O36" i="1"/>
  <c r="P36" i="1" s="1"/>
  <c r="M36" i="1"/>
  <c r="P35" i="1"/>
  <c r="M35" i="1"/>
  <c r="O34" i="1"/>
  <c r="P34" i="1" s="1"/>
  <c r="M34" i="1"/>
  <c r="O33" i="1"/>
  <c r="P33" i="1" s="1"/>
  <c r="M33" i="1"/>
  <c r="P32" i="1"/>
  <c r="O32" i="1"/>
  <c r="P31" i="1"/>
  <c r="P30" i="1"/>
  <c r="O30" i="1"/>
  <c r="M30" i="1"/>
  <c r="O29" i="1"/>
  <c r="P29" i="1" s="1"/>
  <c r="M29" i="1"/>
  <c r="O28" i="1"/>
  <c r="P28" i="1" s="1"/>
  <c r="P27" i="1"/>
  <c r="O27" i="1"/>
  <c r="O26" i="1"/>
  <c r="P26" i="1" s="1"/>
  <c r="M26" i="1"/>
  <c r="O25" i="1"/>
  <c r="M25" i="1"/>
  <c r="P25" i="1" s="1"/>
  <c r="P24" i="1"/>
  <c r="O24" i="1"/>
  <c r="M24" i="1"/>
  <c r="O23" i="1"/>
  <c r="P23" i="1" s="1"/>
  <c r="M23" i="1"/>
  <c r="O22" i="1"/>
  <c r="P22" i="1" s="1"/>
  <c r="M22" i="1"/>
  <c r="O21" i="1"/>
  <c r="M21" i="1"/>
  <c r="P21" i="1" s="1"/>
  <c r="P20" i="1"/>
  <c r="O20" i="1"/>
  <c r="M20" i="1"/>
  <c r="O19" i="1"/>
  <c r="P19" i="1" s="1"/>
  <c r="O18" i="1"/>
  <c r="M18" i="1"/>
  <c r="P18" i="1" s="1"/>
  <c r="P17" i="1"/>
  <c r="O16" i="1"/>
  <c r="M16" i="1"/>
  <c r="P16" i="1" s="1"/>
  <c r="P15" i="1"/>
  <c r="O15" i="1"/>
  <c r="M15" i="1"/>
  <c r="O14" i="1"/>
  <c r="P14" i="1" s="1"/>
  <c r="M14" i="1"/>
  <c r="O13" i="1"/>
  <c r="P13" i="1" s="1"/>
  <c r="M13" i="1"/>
  <c r="O12" i="1"/>
  <c r="M12" i="1"/>
  <c r="P12" i="1" s="1"/>
  <c r="P11" i="1"/>
  <c r="O11" i="1"/>
  <c r="M11" i="1"/>
  <c r="O10" i="1"/>
  <c r="P10" i="1" s="1"/>
  <c r="M10" i="1"/>
  <c r="O9" i="1"/>
  <c r="P9" i="1" s="1"/>
  <c r="M9" i="1"/>
  <c r="O8" i="1"/>
  <c r="M8" i="1"/>
  <c r="P8" i="1" s="1"/>
  <c r="P7" i="1"/>
  <c r="M7" i="1"/>
  <c r="O6" i="1"/>
  <c r="P6" i="1" s="1"/>
  <c r="M6" i="1"/>
  <c r="P5" i="1"/>
  <c r="O5" i="1"/>
  <c r="O4" i="1"/>
  <c r="P4" i="1" s="1"/>
  <c r="M4" i="1"/>
  <c r="O3" i="1"/>
  <c r="P3" i="1" s="1"/>
  <c r="M3" i="1"/>
  <c r="P2" i="1"/>
  <c r="O2" i="1"/>
</calcChain>
</file>

<file path=xl/sharedStrings.xml><?xml version="1.0" encoding="utf-8"?>
<sst xmlns="http://schemas.openxmlformats.org/spreadsheetml/2006/main" count="826" uniqueCount="282">
  <si>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</si>
  <si>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</si>
  <si>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</si>
  <si>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</si>
  <si>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</si>
  <si>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</si>
  <si>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</si>
  <si>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Trablaho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</si>
  <si>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</si>
  <si>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</si>
  <si>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</si>
  <si>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</si>
  <si>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</si>
  <si>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</si>
  <si>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</si>
  <si>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</si>
  <si>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01476404000119</t>
  </si>
  <si>
    <t>Unidade de Pronto Atendimento Eduardo Campos  UPA Sotave</t>
  </si>
  <si>
    <t xml:space="preserve">ABEL JOSE DOS SANTOS          </t>
  </si>
  <si>
    <t>3222-05</t>
  </si>
  <si>
    <t>06/2020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</si>
  <si>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</si>
  <si>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</si>
  <si>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</si>
  <si>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</si>
  <si>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</si>
  <si>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</si>
  <si>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</si>
  <si>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</si>
  <si>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 xml:space="preserve">ALEXIA GYOVANNA RODRIGUES MENEZES DE MOURA     </t>
  </si>
  <si>
    <t>2235-05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</si>
  <si>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</si>
  <si>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</si>
  <si>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</si>
  <si>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</si>
  <si>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</si>
  <si>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</si>
  <si>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</si>
  <si>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00847358488</t>
  </si>
  <si>
    <t xml:space="preserve">ALLISSON JOSE GONCALVES MOURA </t>
  </si>
  <si>
    <t xml:space="preserve">ALMIR VALENCIO DOS SANTOS     </t>
  </si>
  <si>
    <t>08178509458</t>
  </si>
  <si>
    <t xml:space="preserve">ANA MARIA FRANCISCA           </t>
  </si>
  <si>
    <t>00783509480</t>
  </si>
  <si>
    <t xml:space="preserve">ANA PAULA DE BARROS RODRIGUES </t>
  </si>
  <si>
    <t>02456744462</t>
  </si>
  <si>
    <t xml:space="preserve">ANA PAULA PEREIRA DE MENDONCA </t>
  </si>
  <si>
    <t>09601303499</t>
  </si>
  <si>
    <t xml:space="preserve">ANDERSON FREITAS              </t>
  </si>
  <si>
    <t>00830596445</t>
  </si>
  <si>
    <t xml:space="preserve">ANDRE MARIO DE SA             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</si>
  <si>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</si>
  <si>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</si>
  <si>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</si>
  <si>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</si>
  <si>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</si>
  <si>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</si>
  <si>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</si>
  <si>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</si>
  <si>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</si>
  <si>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</si>
  <si>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</si>
  <si>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</si>
  <si>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</si>
  <si>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</si>
  <si>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</si>
  <si>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02119434441</t>
  </si>
  <si>
    <t>BRUNO LEONARDO SILVA MOREIRA</t>
  </si>
  <si>
    <t>7823-20</t>
  </si>
  <si>
    <t>04974949497</t>
  </si>
  <si>
    <t>CAMILA REGINA GOMES OLIVEIRA</t>
  </si>
  <si>
    <t>2525-45</t>
  </si>
  <si>
    <t xml:space="preserve">CARLOS JOSE MOURA DA SILVA    </t>
  </si>
  <si>
    <t>CICERO SOBRINHO OLIVEIRA FILHO</t>
  </si>
  <si>
    <t>2234-05</t>
  </si>
  <si>
    <t>02587642442</t>
  </si>
  <si>
    <t>CLAUDETE CRUZ DUARTE ALENCAR</t>
  </si>
  <si>
    <t>CLAUDIA CICERA MONTEIRO MORAIS</t>
  </si>
  <si>
    <t>2516-05</t>
  </si>
  <si>
    <t>CLAUDIA REJANE OLIVEIRA SILVA LIMA</t>
  </si>
  <si>
    <t>02198547422</t>
  </si>
  <si>
    <t xml:space="preserve">CLAUDIO JOSE RODRIGUES DE OLIVEIRA       </t>
  </si>
  <si>
    <t>CLEIDSON CHARLES BARBOSA SANTO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</si>
  <si>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</si>
  <si>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</si>
  <si>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</si>
  <si>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</si>
  <si>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</si>
  <si>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05118647444</t>
  </si>
  <si>
    <t>DANIELA MARIA DA SILVA</t>
  </si>
  <si>
    <t>07767421406</t>
  </si>
  <si>
    <t xml:space="preserve">DANILO RIBEIRO DE BARROS      </t>
  </si>
  <si>
    <t xml:space="preserve">DINEIDE LUCIA RIBEIRO SANTOS  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</si>
  <si>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</si>
  <si>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</si>
  <si>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</si>
  <si>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</si>
  <si>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</si>
  <si>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</si>
  <si>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</si>
  <si>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</si>
  <si>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</si>
  <si>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</si>
  <si>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</si>
  <si>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</si>
  <si>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</si>
  <si>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</si>
  <si>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02839751488</t>
  </si>
  <si>
    <t xml:space="preserve">ELENILDO DA SILVA BEZERRA     </t>
  </si>
  <si>
    <t>4101-05</t>
  </si>
  <si>
    <t>05657043464</t>
  </si>
  <si>
    <t xml:space="preserve">ELICA GUILHERMINO DA SILVA    </t>
  </si>
  <si>
    <t>09607793455</t>
  </si>
  <si>
    <t xml:space="preserve">ELVIS DOS SANTOS SILVA        </t>
  </si>
  <si>
    <t>09630838486</t>
  </si>
  <si>
    <t xml:space="preserve">EMILIANA PRISCILA DE OLIVEIRA </t>
  </si>
  <si>
    <t>07218074456</t>
  </si>
  <si>
    <t xml:space="preserve">EVELLIN PRISCILLA OLIVEIRA DA SILVA   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</si>
  <si>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</si>
  <si>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</si>
  <si>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</si>
  <si>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</si>
  <si>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</si>
  <si>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</si>
  <si>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</si>
  <si>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</si>
  <si>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</si>
  <si>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</si>
  <si>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</si>
  <si>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</si>
  <si>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>08623239407</t>
  </si>
  <si>
    <t xml:space="preserve">GEICY KALLY FERNANDES TRAJANO DA SILVA </t>
  </si>
  <si>
    <t>07388997474</t>
  </si>
  <si>
    <t xml:space="preserve">GIRLLENE CRISTINA BARBOSA DA SILVA     </t>
  </si>
  <si>
    <t>08625628486</t>
  </si>
  <si>
    <t>GRECY KALLY FERNANDES DA  SILVA BASTOS</t>
  </si>
  <si>
    <t>4110-10</t>
  </si>
  <si>
    <t>00810359421</t>
  </si>
  <si>
    <t xml:space="preserve">HEIZY VIEIRA LIMA             </t>
  </si>
  <si>
    <t>07952391496</t>
  </si>
  <si>
    <t>HEWERTON BRENNER MENDES BASTOS</t>
  </si>
  <si>
    <t xml:space="preserve">IVANILDA SANTOS SILVA BARRETO </t>
  </si>
  <si>
    <t xml:space="preserve">IVANILDO JOSE DE SOUZA        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</si>
  <si>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</si>
  <si>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</si>
  <si>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</si>
  <si>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</si>
  <si>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</si>
  <si>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</si>
  <si>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01857191471</t>
  </si>
  <si>
    <t xml:space="preserve">JANAINA SIMAO DE SOUZA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</si>
  <si>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</si>
  <si>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</si>
  <si>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</si>
  <si>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</si>
  <si>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</si>
  <si>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</si>
  <si>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</si>
  <si>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</si>
  <si>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05060282406</t>
  </si>
  <si>
    <t xml:space="preserve">JENNIFER MARIA DE CASTRO      </t>
  </si>
  <si>
    <t>03424789402</t>
  </si>
  <si>
    <t xml:space="preserve">JEREMIAS GONCALVES REIS       </t>
  </si>
  <si>
    <t>08003968470</t>
  </si>
  <si>
    <t xml:space="preserve">JESSE GOMES PEREIRA           </t>
  </si>
  <si>
    <t>05128974413</t>
  </si>
  <si>
    <t xml:space="preserve">JOAN DA LUZ DE ARAUJO JUNIOR  </t>
  </si>
  <si>
    <t xml:space="preserve">JOAO DOS SANTOS SILVA JUNIOR  </t>
  </si>
  <si>
    <t>08493083488</t>
  </si>
  <si>
    <t xml:space="preserve">JONAS HENRIQUE RAULINO SOUSA  </t>
  </si>
  <si>
    <t>03299041401</t>
  </si>
  <si>
    <t xml:space="preserve">JOSE OTAVIO DO NASCIMENTO     </t>
  </si>
  <si>
    <t>02562493427</t>
  </si>
  <si>
    <t xml:space="preserve">JOSE RENATO ALBUQUERQUE CARRERA         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</si>
  <si>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</si>
  <si>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</si>
  <si>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</si>
  <si>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</si>
  <si>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</si>
  <si>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07596616429</t>
  </si>
  <si>
    <t>JULIANA ANTONIA DA SILVA</t>
  </si>
  <si>
    <t>06315436439</t>
  </si>
  <si>
    <t xml:space="preserve">JULLIANE TRYCIA DA SILVA      </t>
  </si>
  <si>
    <t xml:space="preserve">KARLSON BARROS TRAJANO        </t>
  </si>
  <si>
    <t>09727215416</t>
  </si>
  <si>
    <t xml:space="preserve">KATHELLEN KAROLYNNE M.SILVA   </t>
  </si>
  <si>
    <t>3516-05</t>
  </si>
  <si>
    <t xml:space="preserve">KILMA SANTOS CAVALCANTI       </t>
  </si>
  <si>
    <t xml:space="preserve">LAIS CAMILA ARAUJO LIRA OLIVEIRA </t>
  </si>
  <si>
    <t>08665264477</t>
  </si>
  <si>
    <t xml:space="preserve">LAIZA TALINE LIMA BARROS SANTANA   </t>
  </si>
  <si>
    <t>LARISSA SOUSA RANGEL</t>
  </si>
  <si>
    <t>04603393466</t>
  </si>
  <si>
    <t xml:space="preserve">LEANDRO DE OLIVEIRA PEREIRA   </t>
  </si>
  <si>
    <t xml:space="preserve">LEONARDO INACIO DE MEDEIROS   </t>
  </si>
  <si>
    <t xml:space="preserve">LEONARDO JOSE DA SILVA        </t>
  </si>
  <si>
    <t>09686768475</t>
  </si>
  <si>
    <t xml:space="preserve">LEONARDO SANTIAGO ORTIGOZA    </t>
  </si>
  <si>
    <t xml:space="preserve">LETICIA APARECIDA UTRILHA SILVA     </t>
  </si>
  <si>
    <t xml:space="preserve">LILIANE GOMES PASSOS FRANCA   </t>
  </si>
  <si>
    <t>1231-05</t>
  </si>
  <si>
    <t>MARCELO LUCAS JUSTINO DA SILVA</t>
  </si>
  <si>
    <t>02693094461</t>
  </si>
  <si>
    <t xml:space="preserve">MARCIA CRISTINA  FERREIRA DE LIMA LOBO     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</si>
  <si>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</si>
  <si>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</si>
  <si>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</si>
  <si>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</si>
  <si>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</si>
  <si>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</si>
  <si>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</si>
  <si>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>02687994405</t>
  </si>
  <si>
    <t>MARIA CONCEICAO SILVA OLIVEIRA</t>
  </si>
  <si>
    <t xml:space="preserve">MARIA DA CONCEICAO BARBOSA MACIEL </t>
  </si>
  <si>
    <t xml:space="preserve">MARIA VALDENICE DAS NEVES     </t>
  </si>
  <si>
    <t xml:space="preserve">MIRIAM ALVES DA SILVA         </t>
  </si>
  <si>
    <t xml:space="preserve">MOURACIA TORRES DANTAS FIGUEIROA   </t>
  </si>
  <si>
    <t>05149292435</t>
  </si>
  <si>
    <t xml:space="preserve">NADJA ALVES DOS SANTOS     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</si>
  <si>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</si>
  <si>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</si>
  <si>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</si>
  <si>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</si>
  <si>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</si>
  <si>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</si>
  <si>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3224-15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</si>
  <si>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</si>
  <si>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</si>
  <si>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</si>
  <si>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</si>
  <si>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</si>
  <si>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</si>
  <si>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</si>
  <si>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</si>
  <si>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</si>
  <si>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</si>
  <si>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</si>
  <si>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</si>
  <si>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</si>
  <si>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03828368476</t>
  </si>
  <si>
    <t>REINALDO LUIZ DA SILVA</t>
  </si>
  <si>
    <t>07651123450</t>
  </si>
  <si>
    <t>RENATA DE CASSIA RIBAS PEREIRA</t>
  </si>
  <si>
    <t xml:space="preserve">RILZO KELLES SANTOS BENEDITO  </t>
  </si>
  <si>
    <t>01196453438</t>
  </si>
  <si>
    <t xml:space="preserve">RITA CASSIA ALVES SANTOS VIEIRA    </t>
  </si>
  <si>
    <t>01639643435</t>
  </si>
  <si>
    <t xml:space="preserve">ROBERVAL VIANA DOS SANTOS JUNIOR   </t>
  </si>
  <si>
    <t>ROGER GUILHERME XIMENES FELIPE</t>
  </si>
  <si>
    <t>04532109450</t>
  </si>
  <si>
    <t xml:space="preserve">RONALDO COSME LIMA MADUREIRA  </t>
  </si>
  <si>
    <t>03672267406</t>
  </si>
  <si>
    <t xml:space="preserve">ROSILEIDE GALVAO LIMA NASCIMENTO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</si>
  <si>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</si>
  <si>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</si>
  <si>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</si>
  <si>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</si>
  <si>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</si>
  <si>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</si>
  <si>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</si>
  <si>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</si>
  <si>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</si>
  <si>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</si>
  <si>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</si>
  <si>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</si>
  <si>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</si>
  <si>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</si>
  <si>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</si>
  <si>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</si>
  <si>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</si>
  <si>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</si>
  <si>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</si>
  <si>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</si>
  <si>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09853742411</t>
  </si>
  <si>
    <t xml:space="preserve">UISNEY ARAUJO DOS SANTOS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</si>
  <si>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</si>
  <si>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</si>
  <si>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</si>
  <si>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</si>
  <si>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</si>
  <si>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</si>
  <si>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 xml:space="preserve">ZILANDIA RODRIGUES DE FRANCA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</si>
</sst>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[$-416]General"/>
    <numFmt numFmtId="167" formatCode="_(&quot;R$ &quot;* #,##0.00_);_(&quot;R$ &quot;* \(#,##0.00\);_(&quot;R$ &quot;* &quot;-&quot;??_);_(@_)"/>
    <numFmt numFmtId="168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1"/>
    </font>
    <font>
      <b/>
      <sz val="12"/>
      <color theme="0"/>
      <name val="Calibri"/>
      <family val="2"/>
      <scheme val="minor"/>
    </font>
    <font>
      <sz val="10"/>
      <name val="Arial"/>
      <family val="2"/>
      <charset val="1"/>
    </font>
    <font>
      <sz val="9"/>
      <color indexed="63"/>
      <name val="Calibri"/>
      <family val="2"/>
      <charset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indexed="63"/>
      <name val="Calibri"/>
      <family val="2"/>
      <charset val="1"/>
    </font>
    <font>
      <sz val="12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04">
    <xf numFmtId="0" fontId="0" fillId="0" borderId="0"/>
    <xf numFmtId="43" fontId="1" fillId="0" borderId="0" applyFont="0" applyFill="0" applyBorder="0" applyAlignment="0" applyProtection="0"/>
    <xf numFmtId="0" fontId="18" fillId="0" borderId="0" applyBorder="0" applyProtection="0"/>
    <xf numFmtId="164" fontId="20" fillId="0" borderId="0" applyBorder="0" applyProtection="0"/>
    <xf numFmtId="0" fontId="1" fillId="0" borderId="0"/>
    <xf numFmtId="0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0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0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0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31" fillId="45" borderId="0" applyNumberFormat="0" applyBorder="0" applyAlignment="0" applyProtection="0"/>
    <xf numFmtId="0" fontId="17" fillId="16" borderId="0" applyNumberFormat="0" applyBorder="0" applyAlignment="0" applyProtection="0"/>
    <xf numFmtId="0" fontId="31" fillId="42" borderId="0" applyNumberFormat="0" applyBorder="0" applyAlignment="0" applyProtection="0"/>
    <xf numFmtId="0" fontId="17" fillId="20" borderId="0" applyNumberFormat="0" applyBorder="0" applyAlignment="0" applyProtection="0"/>
    <xf numFmtId="0" fontId="31" fillId="43" borderId="0" applyNumberFormat="0" applyBorder="0" applyAlignment="0" applyProtection="0"/>
    <xf numFmtId="0" fontId="17" fillId="24" borderId="0" applyNumberFormat="0" applyBorder="0" applyAlignment="0" applyProtection="0"/>
    <xf numFmtId="0" fontId="31" fillId="46" borderId="0" applyNumberFormat="0" applyBorder="0" applyAlignment="0" applyProtection="0"/>
    <xf numFmtId="0" fontId="17" fillId="28" borderId="0" applyNumberFormat="0" applyBorder="0" applyAlignment="0" applyProtection="0"/>
    <xf numFmtId="0" fontId="31" fillId="47" borderId="0" applyNumberFormat="0" applyBorder="0" applyAlignment="0" applyProtection="0"/>
    <xf numFmtId="0" fontId="17" fillId="32" borderId="0" applyNumberFormat="0" applyBorder="0" applyAlignment="0" applyProtection="0"/>
    <xf numFmtId="0" fontId="31" fillId="48" borderId="0" applyNumberFormat="0" applyBorder="0" applyAlignment="0" applyProtection="0"/>
    <xf numFmtId="0" fontId="6" fillId="2" borderId="0" applyNumberFormat="0" applyBorder="0" applyAlignment="0" applyProtection="0"/>
    <xf numFmtId="0" fontId="32" fillId="37" borderId="0" applyNumberFormat="0" applyBorder="0" applyAlignment="0" applyProtection="0"/>
    <xf numFmtId="0" fontId="11" fillId="6" borderId="4" applyNumberFormat="0" applyAlignment="0" applyProtection="0"/>
    <xf numFmtId="0" fontId="33" fillId="49" borderId="12" applyNumberFormat="0" applyAlignment="0" applyProtection="0"/>
    <xf numFmtId="0" fontId="13" fillId="7" borderId="7" applyNumberFormat="0" applyAlignment="0" applyProtection="0"/>
    <xf numFmtId="0" fontId="34" fillId="50" borderId="13" applyNumberFormat="0" applyAlignment="0" applyProtection="0"/>
    <xf numFmtId="0" fontId="12" fillId="0" borderId="6" applyNumberFormat="0" applyFill="0" applyAlignment="0" applyProtection="0"/>
    <xf numFmtId="0" fontId="35" fillId="0" borderId="14" applyNumberFormat="0" applyFill="0" applyAlignment="0" applyProtection="0"/>
    <xf numFmtId="0" fontId="17" fillId="9" borderId="0" applyNumberFormat="0" applyBorder="0" applyAlignment="0" applyProtection="0"/>
    <xf numFmtId="0" fontId="31" fillId="51" borderId="0" applyNumberFormat="0" applyBorder="0" applyAlignment="0" applyProtection="0"/>
    <xf numFmtId="0" fontId="17" fillId="13" borderId="0" applyNumberFormat="0" applyBorder="0" applyAlignment="0" applyProtection="0"/>
    <xf numFmtId="0" fontId="31" fillId="52" borderId="0" applyNumberFormat="0" applyBorder="0" applyAlignment="0" applyProtection="0"/>
    <xf numFmtId="0" fontId="17" fillId="17" borderId="0" applyNumberFormat="0" applyBorder="0" applyAlignment="0" applyProtection="0"/>
    <xf numFmtId="0" fontId="31" fillId="53" borderId="0" applyNumberFormat="0" applyBorder="0" applyAlignment="0" applyProtection="0"/>
    <xf numFmtId="0" fontId="17" fillId="21" borderId="0" applyNumberFormat="0" applyBorder="0" applyAlignment="0" applyProtection="0"/>
    <xf numFmtId="0" fontId="31" fillId="46" borderId="0" applyNumberFormat="0" applyBorder="0" applyAlignment="0" applyProtection="0"/>
    <xf numFmtId="0" fontId="17" fillId="25" borderId="0" applyNumberFormat="0" applyBorder="0" applyAlignment="0" applyProtection="0"/>
    <xf numFmtId="0" fontId="31" fillId="47" borderId="0" applyNumberFormat="0" applyBorder="0" applyAlignment="0" applyProtection="0"/>
    <xf numFmtId="0" fontId="17" fillId="29" borderId="0" applyNumberFormat="0" applyBorder="0" applyAlignment="0" applyProtection="0"/>
    <xf numFmtId="0" fontId="31" fillId="54" borderId="0" applyNumberFormat="0" applyBorder="0" applyAlignment="0" applyProtection="0"/>
    <xf numFmtId="0" fontId="9" fillId="5" borderId="4" applyNumberFormat="0" applyAlignment="0" applyProtection="0"/>
    <xf numFmtId="0" fontId="36" fillId="40" borderId="12" applyNumberFormat="0" applyAlignment="0" applyProtection="0"/>
    <xf numFmtId="166" fontId="30" fillId="0" borderId="0" applyBorder="0" applyProtection="0"/>
    <xf numFmtId="0" fontId="20" fillId="0" borderId="0"/>
    <xf numFmtId="0" fontId="7" fillId="3" borderId="0" applyNumberFormat="0" applyBorder="0" applyAlignment="0" applyProtection="0"/>
    <xf numFmtId="0" fontId="37" fillId="36" borderId="0" applyNumberFormat="0" applyBorder="0" applyAlignment="0" applyProtection="0"/>
    <xf numFmtId="42" fontId="38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8" fillId="4" borderId="0" applyNumberFormat="0" applyBorder="0" applyAlignment="0" applyProtection="0"/>
    <xf numFmtId="0" fontId="40" fillId="5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56" borderId="1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38" fillId="0" borderId="0" applyFont="0" applyFill="0" applyBorder="0" applyAlignment="0" applyProtection="0"/>
    <xf numFmtId="0" fontId="10" fillId="6" borderId="5" applyNumberFormat="0" applyAlignment="0" applyProtection="0"/>
    <xf numFmtId="0" fontId="42" fillId="49" borderId="16" applyNumberFormat="0" applyAlignment="0" applyProtection="0"/>
    <xf numFmtId="41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5" fillId="0" borderId="17" applyNumberFormat="0" applyFill="0" applyAlignment="0" applyProtection="0"/>
    <xf numFmtId="0" fontId="4" fillId="0" borderId="2" applyNumberFormat="0" applyFill="0" applyAlignment="0" applyProtection="0"/>
    <xf numFmtId="0" fontId="46" fillId="0" borderId="18" applyNumberFormat="0" applyFill="0" applyAlignment="0" applyProtection="0"/>
    <xf numFmtId="0" fontId="5" fillId="0" borderId="3" applyNumberFormat="0" applyFill="0" applyAlignment="0" applyProtection="0"/>
    <xf numFmtId="0" fontId="47" fillId="0" borderId="19" applyNumberFormat="0" applyFill="0" applyAlignment="0" applyProtection="0"/>
    <xf numFmtId="0" fontId="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9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Border="0" applyAlignment="0" applyProtection="0"/>
    <xf numFmtId="43" fontId="39" fillId="0" borderId="0" applyBorder="0" applyAlignment="0" applyProtection="0"/>
    <xf numFmtId="43" fontId="3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</xf>
    <xf numFmtId="0" fontId="19" fillId="33" borderId="10" xfId="2" applyFont="1" applyFill="1" applyBorder="1" applyAlignment="1" applyProtection="1">
      <alignment horizontal="center" vertical="center"/>
    </xf>
    <xf numFmtId="1" fontId="19" fillId="33" borderId="10" xfId="2" applyNumberFormat="1" applyFont="1" applyFill="1" applyBorder="1" applyAlignment="1" applyProtection="1">
      <alignment horizontal="center" vertical="center" wrapText="1"/>
    </xf>
    <xf numFmtId="165" fontId="19" fillId="33" borderId="10" xfId="3" applyNumberFormat="1" applyFont="1" applyFill="1" applyBorder="1" applyAlignment="1" applyProtection="1">
      <alignment horizontal="center" vertical="center" wrapText="1"/>
    </xf>
    <xf numFmtId="0" fontId="21" fillId="0" borderId="0" xfId="2" applyFont="1" applyBorder="1" applyAlignment="1" applyProtection="1">
      <alignment horizontal="center" vertical="center"/>
      <protection locked="0"/>
    </xf>
    <xf numFmtId="49" fontId="22" fillId="0" borderId="10" xfId="1" applyNumberFormat="1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49" fontId="22" fillId="34" borderId="10" xfId="0" applyNumberFormat="1" applyFont="1" applyFill="1" applyBorder="1" applyAlignment="1" applyProtection="1">
      <alignment horizontal="center"/>
      <protection locked="0"/>
    </xf>
    <xf numFmtId="0" fontId="22" fillId="34" borderId="10" xfId="0" applyFont="1" applyFill="1" applyBorder="1" applyAlignment="1" applyProtection="1">
      <alignment horizontal="center"/>
      <protection locked="0"/>
    </xf>
    <xf numFmtId="0" fontId="22" fillId="0" borderId="10" xfId="0" applyFont="1" applyFill="1" applyBorder="1" applyAlignment="1" applyProtection="1">
      <alignment horizontal="center"/>
      <protection locked="0"/>
    </xf>
    <xf numFmtId="0" fontId="23" fillId="34" borderId="10" xfId="4" applyNumberFormat="1" applyFont="1" applyFill="1" applyBorder="1" applyAlignment="1" applyProtection="1">
      <alignment horizontal="center"/>
      <protection locked="0"/>
    </xf>
    <xf numFmtId="49" fontId="24" fillId="34" borderId="10" xfId="2" applyNumberFormat="1" applyFont="1" applyFill="1" applyBorder="1" applyAlignment="1" applyProtection="1">
      <alignment horizontal="center" vertical="center"/>
      <protection locked="0"/>
    </xf>
    <xf numFmtId="1" fontId="25" fillId="34" borderId="11" xfId="2" applyNumberFormat="1" applyFont="1" applyFill="1" applyBorder="1" applyAlignment="1" applyProtection="1">
      <alignment horizontal="center" vertical="center"/>
      <protection locked="0"/>
    </xf>
    <xf numFmtId="1" fontId="25" fillId="34" borderId="10" xfId="2" applyNumberFormat="1" applyFont="1" applyFill="1" applyBorder="1" applyAlignment="1" applyProtection="1">
      <alignment horizontal="center" vertical="center"/>
      <protection locked="0"/>
    </xf>
    <xf numFmtId="2" fontId="24" fillId="34" borderId="10" xfId="3" applyNumberFormat="1" applyFont="1" applyFill="1" applyBorder="1" applyAlignment="1" applyProtection="1">
      <alignment horizontal="right" vertical="center"/>
      <protection locked="0"/>
    </xf>
    <xf numFmtId="2" fontId="24" fillId="34" borderId="10" xfId="3" applyNumberFormat="1" applyFont="1" applyFill="1" applyBorder="1" applyAlignment="1" applyProtection="1">
      <alignment horizontal="right" vertical="center"/>
    </xf>
    <xf numFmtId="0" fontId="24" fillId="34" borderId="0" xfId="2" applyFont="1" applyFill="1" applyBorder="1" applyAlignment="1" applyProtection="1">
      <alignment horizontal="right" vertical="center"/>
      <protection locked="0"/>
    </xf>
    <xf numFmtId="0" fontId="24" fillId="34" borderId="0" xfId="2" applyFont="1" applyFill="1" applyBorder="1" applyAlignment="1" applyProtection="1">
      <alignment horizontal="center" vertical="center"/>
      <protection locked="0"/>
    </xf>
    <xf numFmtId="0" fontId="26" fillId="0" borderId="10" xfId="4" applyNumberFormat="1" applyFont="1" applyBorder="1" applyAlignment="1" applyProtection="1">
      <alignment horizontal="center" wrapText="1"/>
      <protection locked="0"/>
    </xf>
    <xf numFmtId="0" fontId="24" fillId="34" borderId="0" xfId="4" applyFont="1" applyFill="1" applyAlignment="1" applyProtection="1">
      <alignment horizontal="right"/>
      <protection locked="0"/>
    </xf>
    <xf numFmtId="0" fontId="24" fillId="34" borderId="0" xfId="4" applyFont="1" applyFill="1" applyAlignment="1" applyProtection="1">
      <alignment horizontal="center"/>
      <protection locked="0"/>
    </xf>
    <xf numFmtId="0" fontId="23" fillId="34" borderId="10" xfId="0" applyFont="1" applyFill="1" applyBorder="1" applyAlignment="1" applyProtection="1">
      <alignment horizontal="center"/>
      <protection locked="0"/>
    </xf>
    <xf numFmtId="0" fontId="23" fillId="34" borderId="10" xfId="2" applyNumberFormat="1" applyFont="1" applyFill="1" applyBorder="1" applyAlignment="1" applyProtection="1">
      <alignment horizontal="center" vertical="center"/>
      <protection locked="0"/>
    </xf>
    <xf numFmtId="0" fontId="23" fillId="0" borderId="10" xfId="4" applyFont="1" applyBorder="1" applyAlignment="1" applyProtection="1">
      <alignment horizontal="center"/>
      <protection locked="0"/>
    </xf>
    <xf numFmtId="0" fontId="23" fillId="0" borderId="10" xfId="5" applyFont="1" applyBorder="1" applyAlignment="1" applyProtection="1">
      <alignment horizontal="center"/>
      <protection locked="0"/>
    </xf>
    <xf numFmtId="0" fontId="23" fillId="34" borderId="10" xfId="5" applyNumberFormat="1" applyFont="1" applyFill="1" applyBorder="1" applyAlignment="1" applyProtection="1">
      <alignment horizontal="center"/>
      <protection locked="0"/>
    </xf>
    <xf numFmtId="0" fontId="26" fillId="0" borderId="10" xfId="4" applyFont="1" applyBorder="1" applyAlignment="1" applyProtection="1">
      <alignment horizontal="center" wrapText="1"/>
      <protection locked="0"/>
    </xf>
    <xf numFmtId="0" fontId="27" fillId="34" borderId="0" xfId="5" applyFont="1" applyFill="1" applyAlignment="1" applyProtection="1">
      <alignment horizontal="right"/>
      <protection locked="0"/>
    </xf>
    <xf numFmtId="0" fontId="27" fillId="34" borderId="0" xfId="5" applyFont="1" applyFill="1" applyAlignment="1" applyProtection="1">
      <alignment horizontal="center"/>
      <protection locked="0"/>
    </xf>
    <xf numFmtId="0" fontId="24" fillId="34" borderId="0" xfId="5" applyFont="1" applyFill="1" applyAlignment="1" applyProtection="1">
      <alignment horizontal="right"/>
      <protection locked="0"/>
    </xf>
    <xf numFmtId="0" fontId="24" fillId="34" borderId="0" xfId="5" applyFont="1" applyFill="1" applyAlignment="1" applyProtection="1">
      <alignment horizontal="center"/>
      <protection locked="0"/>
    </xf>
    <xf numFmtId="0" fontId="23" fillId="34" borderId="10" xfId="4" applyFont="1" applyFill="1" applyBorder="1" applyAlignment="1" applyProtection="1">
      <alignment horizontal="center"/>
      <protection locked="0"/>
    </xf>
    <xf numFmtId="0" fontId="27" fillId="34" borderId="0" xfId="5" applyFont="1" applyFill="1" applyBorder="1" applyAlignment="1" applyProtection="1">
      <alignment horizontal="right"/>
      <protection locked="0"/>
    </xf>
    <xf numFmtId="0" fontId="27" fillId="34" borderId="0" xfId="5" applyFont="1" applyFill="1" applyBorder="1" applyAlignment="1" applyProtection="1">
      <alignment horizontal="center"/>
      <protection locked="0"/>
    </xf>
    <xf numFmtId="0" fontId="27" fillId="34" borderId="10" xfId="5" applyFont="1" applyFill="1" applyBorder="1" applyAlignment="1" applyProtection="1">
      <alignment horizontal="center"/>
      <protection locked="0"/>
    </xf>
    <xf numFmtId="0" fontId="28" fillId="0" borderId="0" xfId="2" applyFont="1" applyBorder="1" applyAlignment="1" applyProtection="1">
      <alignment horizontal="center" vertical="center"/>
      <protection locked="0"/>
    </xf>
    <xf numFmtId="0" fontId="29" fillId="0" borderId="0" xfId="2" applyFont="1" applyBorder="1" applyAlignment="1" applyProtection="1">
      <alignment horizontal="center" vertical="center"/>
      <protection locked="0"/>
    </xf>
    <xf numFmtId="1" fontId="28" fillId="0" borderId="0" xfId="2" applyNumberFormat="1" applyFont="1" applyBorder="1" applyAlignment="1" applyProtection="1">
      <alignment horizontal="center" vertical="center"/>
      <protection locked="0"/>
    </xf>
    <xf numFmtId="165" fontId="28" fillId="0" borderId="0" xfId="3" applyNumberFormat="1" applyFont="1" applyBorder="1" applyAlignment="1" applyProtection="1">
      <alignment horizontal="center" vertical="center"/>
      <protection locked="0"/>
    </xf>
  </cellXfs>
  <cellStyles count="604">
    <cellStyle name="20% - Ênfase1 10" xfId="6"/>
    <cellStyle name="20% - Ênfase1 10 2" xfId="7"/>
    <cellStyle name="20% - Ênfase1 11" xfId="8"/>
    <cellStyle name="20% - Ênfase1 11 2" xfId="9"/>
    <cellStyle name="20% - Ênfase1 12" xfId="10"/>
    <cellStyle name="20% - Ênfase1 13" xfId="11"/>
    <cellStyle name="20% - Ênfase1 14" xfId="12"/>
    <cellStyle name="20% - Ênfase1 15" xfId="13"/>
    <cellStyle name="20% - Ênfase1 16" xfId="14"/>
    <cellStyle name="20% - Ênfase1 17" xfId="15"/>
    <cellStyle name="20% - Ênfase1 18" xfId="16"/>
    <cellStyle name="20% - Ênfase1 19" xfId="17"/>
    <cellStyle name="20% - Ênfase1 2" xfId="18"/>
    <cellStyle name="20% - Ênfase1 2 2" xfId="19"/>
    <cellStyle name="20% - Ênfase1 20" xfId="20"/>
    <cellStyle name="20% - Ênfase1 21" xfId="21"/>
    <cellStyle name="20% - Ênfase1 22" xfId="22"/>
    <cellStyle name="20% - Ênfase1 23" xfId="23"/>
    <cellStyle name="20% - Ênfase1 3" xfId="24"/>
    <cellStyle name="20% - Ênfase1 3 2" xfId="25"/>
    <cellStyle name="20% - Ênfase1 4" xfId="26"/>
    <cellStyle name="20% - Ênfase1 4 2" xfId="27"/>
    <cellStyle name="20% - Ênfase1 5" xfId="28"/>
    <cellStyle name="20% - Ênfase1 5 2" xfId="29"/>
    <cellStyle name="20% - Ênfase1 6" xfId="30"/>
    <cellStyle name="20% - Ênfase1 6 2" xfId="31"/>
    <cellStyle name="20% - Ênfase1 7" xfId="32"/>
    <cellStyle name="20% - Ênfase1 7 2" xfId="33"/>
    <cellStyle name="20% - Ênfase1 8" xfId="34"/>
    <cellStyle name="20% - Ênfase1 8 2" xfId="35"/>
    <cellStyle name="20% - Ênfase1 9" xfId="36"/>
    <cellStyle name="20% - Ênfase1 9 2" xfId="37"/>
    <cellStyle name="20% - Ênfase2 10" xfId="38"/>
    <cellStyle name="20% - Ênfase2 10 2" xfId="39"/>
    <cellStyle name="20% - Ênfase2 11" xfId="40"/>
    <cellStyle name="20% - Ênfase2 12" xfId="41"/>
    <cellStyle name="20% - Ênfase2 13" xfId="42"/>
    <cellStyle name="20% - Ênfase2 14" xfId="43"/>
    <cellStyle name="20% - Ênfase2 15" xfId="44"/>
    <cellStyle name="20% - Ênfase2 16" xfId="45"/>
    <cellStyle name="20% - Ênfase2 17" xfId="46"/>
    <cellStyle name="20% - Ênfase2 18" xfId="47"/>
    <cellStyle name="20% - Ênfase2 19" xfId="48"/>
    <cellStyle name="20% - Ênfase2 2" xfId="49"/>
    <cellStyle name="20% - Ênfase2 2 2" xfId="50"/>
    <cellStyle name="20% - Ênfase2 20" xfId="51"/>
    <cellStyle name="20% - Ênfase2 21" xfId="52"/>
    <cellStyle name="20% - Ênfase2 22" xfId="53"/>
    <cellStyle name="20% - Ênfase2 3" xfId="54"/>
    <cellStyle name="20% - Ênfase2 3 2" xfId="55"/>
    <cellStyle name="20% - Ênfase2 4" xfId="56"/>
    <cellStyle name="20% - Ênfase2 4 2" xfId="57"/>
    <cellStyle name="20% - Ênfase2 5" xfId="58"/>
    <cellStyle name="20% - Ênfase2 5 2" xfId="59"/>
    <cellStyle name="20% - Ênfase2 6" xfId="60"/>
    <cellStyle name="20% - Ênfase2 6 2" xfId="61"/>
    <cellStyle name="20% - Ênfase2 7" xfId="62"/>
    <cellStyle name="20% - Ênfase2 7 2" xfId="63"/>
    <cellStyle name="20% - Ênfase2 8" xfId="64"/>
    <cellStyle name="20% - Ênfase2 8 2" xfId="65"/>
    <cellStyle name="20% - Ênfase2 9" xfId="66"/>
    <cellStyle name="20% - Ênfase2 9 2" xfId="67"/>
    <cellStyle name="20% - Ênfase3 10" xfId="68"/>
    <cellStyle name="20% - Ênfase3 10 2" xfId="69"/>
    <cellStyle name="20% - Ênfase3 11" xfId="70"/>
    <cellStyle name="20% - Ênfase3 12" xfId="71"/>
    <cellStyle name="20% - Ênfase3 13" xfId="72"/>
    <cellStyle name="20% - Ênfase3 14" xfId="73"/>
    <cellStyle name="20% - Ênfase3 15" xfId="74"/>
    <cellStyle name="20% - Ênfase3 16" xfId="75"/>
    <cellStyle name="20% - Ênfase3 17" xfId="76"/>
    <cellStyle name="20% - Ênfase3 18" xfId="77"/>
    <cellStyle name="20% - Ênfase3 19" xfId="78"/>
    <cellStyle name="20% - Ênfase3 2" xfId="79"/>
    <cellStyle name="20% - Ênfase3 2 2" xfId="80"/>
    <cellStyle name="20% - Ênfase3 20" xfId="81"/>
    <cellStyle name="20% - Ênfase3 21" xfId="82"/>
    <cellStyle name="20% - Ênfase3 22" xfId="83"/>
    <cellStyle name="20% - Ênfase3 3" xfId="84"/>
    <cellStyle name="20% - Ênfase3 3 2" xfId="85"/>
    <cellStyle name="20% - Ênfase3 4" xfId="86"/>
    <cellStyle name="20% - Ênfase3 4 2" xfId="87"/>
    <cellStyle name="20% - Ênfase3 5" xfId="88"/>
    <cellStyle name="20% - Ênfase3 5 2" xfId="89"/>
    <cellStyle name="20% - Ênfase3 6" xfId="90"/>
    <cellStyle name="20% - Ênfase3 6 2" xfId="91"/>
    <cellStyle name="20% - Ênfase3 7" xfId="92"/>
    <cellStyle name="20% - Ênfase3 7 2" xfId="93"/>
    <cellStyle name="20% - Ênfase3 8" xfId="94"/>
    <cellStyle name="20% - Ênfase3 8 2" xfId="95"/>
    <cellStyle name="20% - Ênfase3 9" xfId="96"/>
    <cellStyle name="20% - Ênfase3 9 2" xfId="97"/>
    <cellStyle name="20% - Ênfase4 10" xfId="98"/>
    <cellStyle name="20% - Ênfase4 10 2" xfId="99"/>
    <cellStyle name="20% - Ênfase4 11" xfId="100"/>
    <cellStyle name="20% - Ênfase4 12" xfId="101"/>
    <cellStyle name="20% - Ênfase4 13" xfId="102"/>
    <cellStyle name="20% - Ênfase4 14" xfId="103"/>
    <cellStyle name="20% - Ênfase4 15" xfId="104"/>
    <cellStyle name="20% - Ênfase4 16" xfId="105"/>
    <cellStyle name="20% - Ênfase4 17" xfId="106"/>
    <cellStyle name="20% - Ênfase4 18" xfId="107"/>
    <cellStyle name="20% - Ênfase4 19" xfId="108"/>
    <cellStyle name="20% - Ênfase4 2" xfId="109"/>
    <cellStyle name="20% - Ênfase4 2 2" xfId="110"/>
    <cellStyle name="20% - Ênfase4 20" xfId="111"/>
    <cellStyle name="20% - Ênfase4 21" xfId="112"/>
    <cellStyle name="20% - Ênfase4 22" xfId="113"/>
    <cellStyle name="20% - Ênfase4 3" xfId="114"/>
    <cellStyle name="20% - Ênfase4 3 2" xfId="115"/>
    <cellStyle name="20% - Ênfase4 4" xfId="116"/>
    <cellStyle name="20% - Ênfase4 4 2" xfId="117"/>
    <cellStyle name="20% - Ênfase4 5" xfId="118"/>
    <cellStyle name="20% - Ênfase4 5 2" xfId="119"/>
    <cellStyle name="20% - Ênfase4 6" xfId="120"/>
    <cellStyle name="20% - Ênfase4 6 2" xfId="121"/>
    <cellStyle name="20% - Ênfase4 7" xfId="122"/>
    <cellStyle name="20% - Ênfase4 7 2" xfId="123"/>
    <cellStyle name="20% - Ênfase4 8" xfId="124"/>
    <cellStyle name="20% - Ênfase4 8 2" xfId="125"/>
    <cellStyle name="20% - Ênfase4 9" xfId="126"/>
    <cellStyle name="20% - Ênfase4 9 2" xfId="127"/>
    <cellStyle name="20% - Ênfase5 10" xfId="128"/>
    <cellStyle name="20% - Ênfase5 10 2" xfId="129"/>
    <cellStyle name="20% - Ênfase5 11" xfId="130"/>
    <cellStyle name="20% - Ênfase5 12" xfId="131"/>
    <cellStyle name="20% - Ênfase5 13" xfId="132"/>
    <cellStyle name="20% - Ênfase5 14" xfId="133"/>
    <cellStyle name="20% - Ênfase5 15" xfId="134"/>
    <cellStyle name="20% - Ênfase5 16" xfId="135"/>
    <cellStyle name="20% - Ênfase5 17" xfId="136"/>
    <cellStyle name="20% - Ênfase5 18" xfId="137"/>
    <cellStyle name="20% - Ênfase5 19" xfId="138"/>
    <cellStyle name="20% - Ênfase5 2" xfId="139"/>
    <cellStyle name="20% - Ênfase5 2 2" xfId="140"/>
    <cellStyle name="20% - Ênfase5 20" xfId="141"/>
    <cellStyle name="20% - Ênfase5 21" xfId="142"/>
    <cellStyle name="20% - Ênfase5 22" xfId="143"/>
    <cellStyle name="20% - Ênfase5 3" xfId="144"/>
    <cellStyle name="20% - Ênfase5 3 2" xfId="145"/>
    <cellStyle name="20% - Ênfase5 4" xfId="146"/>
    <cellStyle name="20% - Ênfase5 4 2" xfId="147"/>
    <cellStyle name="20% - Ênfase5 5" xfId="148"/>
    <cellStyle name="20% - Ênfase5 5 2" xfId="149"/>
    <cellStyle name="20% - Ênfase5 6" xfId="150"/>
    <cellStyle name="20% - Ênfase5 6 2" xfId="151"/>
    <cellStyle name="20% - Ênfase5 7" xfId="152"/>
    <cellStyle name="20% - Ênfase5 7 2" xfId="153"/>
    <cellStyle name="20% - Ênfase5 8" xfId="154"/>
    <cellStyle name="20% - Ênfase5 8 2" xfId="155"/>
    <cellStyle name="20% - Ênfase5 9" xfId="156"/>
    <cellStyle name="20% - Ênfase5 9 2" xfId="157"/>
    <cellStyle name="20% - Ênfase6 10" xfId="158"/>
    <cellStyle name="20% - Ênfase6 10 2" xfId="159"/>
    <cellStyle name="20% - Ênfase6 11" xfId="160"/>
    <cellStyle name="20% - Ênfase6 12" xfId="161"/>
    <cellStyle name="20% - Ênfase6 13" xfId="162"/>
    <cellStyle name="20% - Ênfase6 14" xfId="163"/>
    <cellStyle name="20% - Ênfase6 15" xfId="164"/>
    <cellStyle name="20% - Ênfase6 16" xfId="165"/>
    <cellStyle name="20% - Ênfase6 17" xfId="166"/>
    <cellStyle name="20% - Ênfase6 18" xfId="167"/>
    <cellStyle name="20% - Ênfase6 19" xfId="168"/>
    <cellStyle name="20% - Ênfase6 2" xfId="169"/>
    <cellStyle name="20% - Ênfase6 2 2" xfId="170"/>
    <cellStyle name="20% - Ênfase6 20" xfId="171"/>
    <cellStyle name="20% - Ênfase6 21" xfId="172"/>
    <cellStyle name="20% - Ênfase6 22" xfId="173"/>
    <cellStyle name="20% - Ênfase6 3" xfId="174"/>
    <cellStyle name="20% - Ênfase6 3 2" xfId="175"/>
    <cellStyle name="20% - Ênfase6 4" xfId="176"/>
    <cellStyle name="20% - Ênfase6 4 2" xfId="177"/>
    <cellStyle name="20% - Ênfase6 5" xfId="178"/>
    <cellStyle name="20% - Ênfase6 5 2" xfId="179"/>
    <cellStyle name="20% - Ênfase6 6" xfId="180"/>
    <cellStyle name="20% - Ênfase6 6 2" xfId="181"/>
    <cellStyle name="20% - Ênfase6 7" xfId="182"/>
    <cellStyle name="20% - Ênfase6 7 2" xfId="183"/>
    <cellStyle name="20% - Ênfase6 8" xfId="184"/>
    <cellStyle name="20% - Ênfase6 8 2" xfId="185"/>
    <cellStyle name="20% - Ênfase6 9" xfId="186"/>
    <cellStyle name="20% - Ênfase6 9 2" xfId="187"/>
    <cellStyle name="40% - Ênfase1 10" xfId="188"/>
    <cellStyle name="40% - Ênfase1 10 2" xfId="189"/>
    <cellStyle name="40% - Ênfase1 11" xfId="190"/>
    <cellStyle name="40% - Ênfase1 11 2" xfId="191"/>
    <cellStyle name="40% - Ênfase1 12" xfId="192"/>
    <cellStyle name="40% - Ênfase1 13" xfId="193"/>
    <cellStyle name="40% - Ênfase1 14" xfId="194"/>
    <cellStyle name="40% - Ênfase1 15" xfId="195"/>
    <cellStyle name="40% - Ênfase1 16" xfId="196"/>
    <cellStyle name="40% - Ênfase1 17" xfId="197"/>
    <cellStyle name="40% - Ênfase1 18" xfId="198"/>
    <cellStyle name="40% - Ênfase1 19" xfId="199"/>
    <cellStyle name="40% - Ênfase1 2" xfId="200"/>
    <cellStyle name="40% - Ênfase1 2 2" xfId="201"/>
    <cellStyle name="40% - Ênfase1 20" xfId="202"/>
    <cellStyle name="40% - Ênfase1 21" xfId="203"/>
    <cellStyle name="40% - Ênfase1 22" xfId="204"/>
    <cellStyle name="40% - Ênfase1 23" xfId="205"/>
    <cellStyle name="40% - Ênfase1 3" xfId="206"/>
    <cellStyle name="40% - Ênfase1 3 2" xfId="207"/>
    <cellStyle name="40% - Ênfase1 4" xfId="208"/>
    <cellStyle name="40% - Ênfase1 4 2" xfId="209"/>
    <cellStyle name="40% - Ênfase1 5" xfId="210"/>
    <cellStyle name="40% - Ênfase1 5 2" xfId="211"/>
    <cellStyle name="40% - Ênfase1 6" xfId="212"/>
    <cellStyle name="40% - Ênfase1 6 2" xfId="213"/>
    <cellStyle name="40% - Ênfase1 7" xfId="214"/>
    <cellStyle name="40% - Ênfase1 7 2" xfId="215"/>
    <cellStyle name="40% - Ênfase1 8" xfId="216"/>
    <cellStyle name="40% - Ênfase1 8 2" xfId="217"/>
    <cellStyle name="40% - Ênfase1 9" xfId="218"/>
    <cellStyle name="40% - Ênfase1 9 2" xfId="219"/>
    <cellStyle name="40% - Ênfase2 10" xfId="220"/>
    <cellStyle name="40% - Ênfase2 10 2" xfId="221"/>
    <cellStyle name="40% - Ênfase2 11" xfId="222"/>
    <cellStyle name="40% - Ênfase2 12" xfId="223"/>
    <cellStyle name="40% - Ênfase2 13" xfId="224"/>
    <cellStyle name="40% - Ênfase2 14" xfId="225"/>
    <cellStyle name="40% - Ênfase2 15" xfId="226"/>
    <cellStyle name="40% - Ênfase2 16" xfId="227"/>
    <cellStyle name="40% - Ênfase2 17" xfId="228"/>
    <cellStyle name="40% - Ênfase2 18" xfId="229"/>
    <cellStyle name="40% - Ênfase2 19" xfId="230"/>
    <cellStyle name="40% - Ênfase2 2" xfId="231"/>
    <cellStyle name="40% - Ênfase2 2 2" xfId="232"/>
    <cellStyle name="40% - Ênfase2 20" xfId="233"/>
    <cellStyle name="40% - Ênfase2 21" xfId="234"/>
    <cellStyle name="40% - Ênfase2 22" xfId="235"/>
    <cellStyle name="40% - Ênfase2 3" xfId="236"/>
    <cellStyle name="40% - Ênfase2 3 2" xfId="237"/>
    <cellStyle name="40% - Ênfase2 4" xfId="238"/>
    <cellStyle name="40% - Ênfase2 4 2" xfId="239"/>
    <cellStyle name="40% - Ênfase2 5" xfId="240"/>
    <cellStyle name="40% - Ênfase2 5 2" xfId="241"/>
    <cellStyle name="40% - Ênfase2 6" xfId="242"/>
    <cellStyle name="40% - Ênfase2 6 2" xfId="243"/>
    <cellStyle name="40% - Ênfase2 7" xfId="244"/>
    <cellStyle name="40% - Ênfase2 7 2" xfId="245"/>
    <cellStyle name="40% - Ênfase2 8" xfId="246"/>
    <cellStyle name="40% - Ênfase2 8 2" xfId="247"/>
    <cellStyle name="40% - Ênfase2 9" xfId="248"/>
    <cellStyle name="40% - Ênfase2 9 2" xfId="249"/>
    <cellStyle name="40% - Ênfase3 10" xfId="250"/>
    <cellStyle name="40% - Ênfase3 10 2" xfId="251"/>
    <cellStyle name="40% - Ênfase3 11" xfId="252"/>
    <cellStyle name="40% - Ênfase3 12" xfId="253"/>
    <cellStyle name="40% - Ênfase3 13" xfId="254"/>
    <cellStyle name="40% - Ênfase3 14" xfId="255"/>
    <cellStyle name="40% - Ênfase3 15" xfId="256"/>
    <cellStyle name="40% - Ênfase3 16" xfId="257"/>
    <cellStyle name="40% - Ênfase3 17" xfId="258"/>
    <cellStyle name="40% - Ênfase3 18" xfId="259"/>
    <cellStyle name="40% - Ênfase3 19" xfId="260"/>
    <cellStyle name="40% - Ênfase3 2" xfId="261"/>
    <cellStyle name="40% - Ênfase3 2 2" xfId="262"/>
    <cellStyle name="40% - Ênfase3 20" xfId="263"/>
    <cellStyle name="40% - Ênfase3 21" xfId="264"/>
    <cellStyle name="40% - Ênfase3 22" xfId="265"/>
    <cellStyle name="40% - Ênfase3 3" xfId="266"/>
    <cellStyle name="40% - Ênfase3 3 2" xfId="267"/>
    <cellStyle name="40% - Ênfase3 4" xfId="268"/>
    <cellStyle name="40% - Ênfase3 4 2" xfId="269"/>
    <cellStyle name="40% - Ênfase3 5" xfId="270"/>
    <cellStyle name="40% - Ênfase3 5 2" xfId="271"/>
    <cellStyle name="40% - Ênfase3 6" xfId="272"/>
    <cellStyle name="40% - Ênfase3 6 2" xfId="273"/>
    <cellStyle name="40% - Ênfase3 7" xfId="274"/>
    <cellStyle name="40% - Ênfase3 7 2" xfId="275"/>
    <cellStyle name="40% - Ênfase3 8" xfId="276"/>
    <cellStyle name="40% - Ênfase3 8 2" xfId="277"/>
    <cellStyle name="40% - Ênfase3 9" xfId="278"/>
    <cellStyle name="40% - Ênfase3 9 2" xfId="279"/>
    <cellStyle name="40% - Ênfase4 10" xfId="280"/>
    <cellStyle name="40% - Ênfase4 10 2" xfId="281"/>
    <cellStyle name="40% - Ênfase4 11" xfId="282"/>
    <cellStyle name="40% - Ênfase4 12" xfId="283"/>
    <cellStyle name="40% - Ênfase4 13" xfId="284"/>
    <cellStyle name="40% - Ênfase4 14" xfId="285"/>
    <cellStyle name="40% - Ênfase4 15" xfId="286"/>
    <cellStyle name="40% - Ênfase4 16" xfId="287"/>
    <cellStyle name="40% - Ênfase4 17" xfId="288"/>
    <cellStyle name="40% - Ênfase4 18" xfId="289"/>
    <cellStyle name="40% - Ênfase4 19" xfId="290"/>
    <cellStyle name="40% - Ênfase4 2" xfId="291"/>
    <cellStyle name="40% - Ênfase4 2 2" xfId="292"/>
    <cellStyle name="40% - Ênfase4 20" xfId="293"/>
    <cellStyle name="40% - Ênfase4 21" xfId="294"/>
    <cellStyle name="40% - Ênfase4 22" xfId="295"/>
    <cellStyle name="40% - Ênfase4 3" xfId="296"/>
    <cellStyle name="40% - Ênfase4 3 2" xfId="297"/>
    <cellStyle name="40% - Ênfase4 4" xfId="298"/>
    <cellStyle name="40% - Ênfase4 4 2" xfId="299"/>
    <cellStyle name="40% - Ênfase4 5" xfId="300"/>
    <cellStyle name="40% - Ênfase4 5 2" xfId="301"/>
    <cellStyle name="40% - Ênfase4 6" xfId="302"/>
    <cellStyle name="40% - Ênfase4 6 2" xfId="303"/>
    <cellStyle name="40% - Ênfase4 7" xfId="304"/>
    <cellStyle name="40% - Ênfase4 7 2" xfId="305"/>
    <cellStyle name="40% - Ênfase4 8" xfId="306"/>
    <cellStyle name="40% - Ênfase4 8 2" xfId="307"/>
    <cellStyle name="40% - Ênfase4 9" xfId="308"/>
    <cellStyle name="40% - Ênfase4 9 2" xfId="309"/>
    <cellStyle name="40% - Ênfase5 10" xfId="310"/>
    <cellStyle name="40% - Ênfase5 10 2" xfId="311"/>
    <cellStyle name="40% - Ênfase5 11" xfId="312"/>
    <cellStyle name="40% - Ênfase5 12" xfId="313"/>
    <cellStyle name="40% - Ênfase5 13" xfId="314"/>
    <cellStyle name="40% - Ênfase5 14" xfId="315"/>
    <cellStyle name="40% - Ênfase5 15" xfId="316"/>
    <cellStyle name="40% - Ênfase5 16" xfId="317"/>
    <cellStyle name="40% - Ênfase5 17" xfId="318"/>
    <cellStyle name="40% - Ênfase5 18" xfId="319"/>
    <cellStyle name="40% - Ênfase5 19" xfId="320"/>
    <cellStyle name="40% - Ênfase5 2" xfId="321"/>
    <cellStyle name="40% - Ênfase5 2 2" xfId="322"/>
    <cellStyle name="40% - Ênfase5 20" xfId="323"/>
    <cellStyle name="40% - Ênfase5 21" xfId="324"/>
    <cellStyle name="40% - Ênfase5 22" xfId="325"/>
    <cellStyle name="40% - Ênfase5 3" xfId="326"/>
    <cellStyle name="40% - Ênfase5 3 2" xfId="327"/>
    <cellStyle name="40% - Ênfase5 4" xfId="328"/>
    <cellStyle name="40% - Ênfase5 4 2" xfId="329"/>
    <cellStyle name="40% - Ênfase5 5" xfId="330"/>
    <cellStyle name="40% - Ênfase5 5 2" xfId="331"/>
    <cellStyle name="40% - Ênfase5 6" xfId="332"/>
    <cellStyle name="40% - Ênfase5 6 2" xfId="333"/>
    <cellStyle name="40% - Ênfase5 7" xfId="334"/>
    <cellStyle name="40% - Ênfase5 7 2" xfId="335"/>
    <cellStyle name="40% - Ênfase5 8" xfId="336"/>
    <cellStyle name="40% - Ênfase5 8 2" xfId="337"/>
    <cellStyle name="40% - Ênfase5 9" xfId="338"/>
    <cellStyle name="40% - Ênfase5 9 2" xfId="339"/>
    <cellStyle name="40% - Ênfase6 10" xfId="340"/>
    <cellStyle name="40% - Ênfase6 10 2" xfId="341"/>
    <cellStyle name="40% - Ênfase6 11" xfId="342"/>
    <cellStyle name="40% - Ênfase6 12" xfId="343"/>
    <cellStyle name="40% - Ênfase6 13" xfId="344"/>
    <cellStyle name="40% - Ênfase6 14" xfId="345"/>
    <cellStyle name="40% - Ênfase6 15" xfId="346"/>
    <cellStyle name="40% - Ênfase6 16" xfId="347"/>
    <cellStyle name="40% - Ênfase6 17" xfId="348"/>
    <cellStyle name="40% - Ênfase6 18" xfId="349"/>
    <cellStyle name="40% - Ênfase6 19" xfId="350"/>
    <cellStyle name="40% - Ênfase6 2" xfId="351"/>
    <cellStyle name="40% - Ênfase6 2 2" xfId="352"/>
    <cellStyle name="40% - Ênfase6 20" xfId="353"/>
    <cellStyle name="40% - Ênfase6 21" xfId="354"/>
    <cellStyle name="40% - Ênfase6 22" xfId="355"/>
    <cellStyle name="40% - Ênfase6 3" xfId="356"/>
    <cellStyle name="40% - Ênfase6 3 2" xfId="357"/>
    <cellStyle name="40% - Ênfase6 4" xfId="358"/>
    <cellStyle name="40% - Ênfase6 4 2" xfId="359"/>
    <cellStyle name="40% - Ênfase6 5" xfId="360"/>
    <cellStyle name="40% - Ênfase6 5 2" xfId="361"/>
    <cellStyle name="40% - Ênfase6 6" xfId="362"/>
    <cellStyle name="40% - Ênfase6 6 2" xfId="363"/>
    <cellStyle name="40% - Ênfase6 7" xfId="364"/>
    <cellStyle name="40% - Ênfase6 7 2" xfId="365"/>
    <cellStyle name="40% - Ênfase6 8" xfId="366"/>
    <cellStyle name="40% - Ênfase6 8 2" xfId="367"/>
    <cellStyle name="40% - Ênfase6 9" xfId="368"/>
    <cellStyle name="40% - Ênfase6 9 2" xfId="369"/>
    <cellStyle name="60% - Ênfase1 2" xfId="370"/>
    <cellStyle name="60% - Ênfase1 3" xfId="371"/>
    <cellStyle name="60% - Ênfase2 2" xfId="372"/>
    <cellStyle name="60% - Ênfase2 3" xfId="373"/>
    <cellStyle name="60% - Ênfase3 2" xfId="374"/>
    <cellStyle name="60% - Ênfase3 3" xfId="375"/>
    <cellStyle name="60% - Ênfase4 2" xfId="376"/>
    <cellStyle name="60% - Ênfase4 3" xfId="377"/>
    <cellStyle name="60% - Ênfase5 2" xfId="378"/>
    <cellStyle name="60% - Ênfase5 3" xfId="379"/>
    <cellStyle name="60% - Ênfase6 2" xfId="380"/>
    <cellStyle name="60% - Ênfase6 3" xfId="381"/>
    <cellStyle name="Bom 2" xfId="382"/>
    <cellStyle name="Bom 3" xfId="383"/>
    <cellStyle name="Cálculo 2" xfId="384"/>
    <cellStyle name="Cálculo 3" xfId="385"/>
    <cellStyle name="Célula de Verificação 2" xfId="386"/>
    <cellStyle name="Célula de Verificação 3" xfId="387"/>
    <cellStyle name="Célula Vinculada 2" xfId="388"/>
    <cellStyle name="Célula Vinculada 3" xfId="389"/>
    <cellStyle name="Ênfase1 2" xfId="390"/>
    <cellStyle name="Ênfase1 3" xfId="391"/>
    <cellStyle name="Ênfase2 2" xfId="392"/>
    <cellStyle name="Ênfase2 3" xfId="393"/>
    <cellStyle name="Ênfase3 2" xfId="394"/>
    <cellStyle name="Ênfase3 3" xfId="395"/>
    <cellStyle name="Ênfase4 2" xfId="396"/>
    <cellStyle name="Ênfase4 3" xfId="397"/>
    <cellStyle name="Ênfase5 2" xfId="398"/>
    <cellStyle name="Ênfase5 3" xfId="399"/>
    <cellStyle name="Ênfase6 2" xfId="400"/>
    <cellStyle name="Ênfase6 3" xfId="401"/>
    <cellStyle name="Entrada 2" xfId="402"/>
    <cellStyle name="Entrada 3" xfId="403"/>
    <cellStyle name="Excel Built-in Normal" xfId="404"/>
    <cellStyle name="Excel_BuiltIn_Texto Explicativo 1" xfId="405"/>
    <cellStyle name="Incorreto 2" xfId="406"/>
    <cellStyle name="Incorreto 3" xfId="407"/>
    <cellStyle name="Moeda [0] 2" xfId="408"/>
    <cellStyle name="Moeda 2" xfId="409"/>
    <cellStyle name="Moeda 3" xfId="410"/>
    <cellStyle name="Moeda 4" xfId="411"/>
    <cellStyle name="Moeda 4 2" xfId="412"/>
    <cellStyle name="Moeda 5" xfId="413"/>
    <cellStyle name="Neutra 2" xfId="414"/>
    <cellStyle name="Neutra 3" xfId="415"/>
    <cellStyle name="Normal" xfId="0" builtinId="0"/>
    <cellStyle name="Normal 10" xfId="416"/>
    <cellStyle name="Normal 10 2" xfId="5"/>
    <cellStyle name="Normal 10 3" xfId="417"/>
    <cellStyle name="Normal 11" xfId="418"/>
    <cellStyle name="Normal 11 2" xfId="419"/>
    <cellStyle name="Normal 12" xfId="420"/>
    <cellStyle name="Normal 12 2" xfId="421"/>
    <cellStyle name="Normal 13" xfId="422"/>
    <cellStyle name="Normal 13 2" xfId="423"/>
    <cellStyle name="Normal 14" xfId="424"/>
    <cellStyle name="Normal 14 2" xfId="425"/>
    <cellStyle name="Normal 15" xfId="426"/>
    <cellStyle name="Normal 15 2" xfId="427"/>
    <cellStyle name="Normal 16" xfId="428"/>
    <cellStyle name="Normal 16 2" xfId="429"/>
    <cellStyle name="Normal 17" xfId="430"/>
    <cellStyle name="Normal 17 2" xfId="431"/>
    <cellStyle name="Normal 18" xfId="432"/>
    <cellStyle name="Normal 18 2" xfId="433"/>
    <cellStyle name="Normal 19" xfId="434"/>
    <cellStyle name="Normal 19 2" xfId="435"/>
    <cellStyle name="Normal 2" xfId="436"/>
    <cellStyle name="Normal 2 10" xfId="437"/>
    <cellStyle name="Normal 2 2" xfId="438"/>
    <cellStyle name="Normal 2 2 2" xfId="439"/>
    <cellStyle name="Normal 2 3" xfId="440"/>
    <cellStyle name="Normal 2 3 2" xfId="441"/>
    <cellStyle name="Normal 2 4" xfId="442"/>
    <cellStyle name="Normal 2 4 2" xfId="443"/>
    <cellStyle name="Normal 2 5" xfId="444"/>
    <cellStyle name="Normal 2 5 2" xfId="445"/>
    <cellStyle name="Normal 2 6" xfId="446"/>
    <cellStyle name="Normal 2 6 2" xfId="447"/>
    <cellStyle name="Normal 2 7" xfId="448"/>
    <cellStyle name="Normal 2 7 2" xfId="449"/>
    <cellStyle name="Normal 2 8" xfId="450"/>
    <cellStyle name="Normal 2 8 2" xfId="451"/>
    <cellStyle name="Normal 2 9" xfId="452"/>
    <cellStyle name="Normal 2 9 2" xfId="453"/>
    <cellStyle name="Normal 2 9 3" xfId="454"/>
    <cellStyle name="Normal 2 9 4" xfId="455"/>
    <cellStyle name="Normal 2 9 5" xfId="456"/>
    <cellStyle name="Normal 2 9 6" xfId="457"/>
    <cellStyle name="Normal 2 9 7" xfId="458"/>
    <cellStyle name="Normal 2 9 8" xfId="459"/>
    <cellStyle name="Normal 2 9 9" xfId="460"/>
    <cellStyle name="Normal 20" xfId="461"/>
    <cellStyle name="Normal 21" xfId="462"/>
    <cellStyle name="Normal 22" xfId="463"/>
    <cellStyle name="Normal 23" xfId="464"/>
    <cellStyle name="Normal 24" xfId="465"/>
    <cellStyle name="Normal 25" xfId="466"/>
    <cellStyle name="Normal 26" xfId="467"/>
    <cellStyle name="Normal 27" xfId="468"/>
    <cellStyle name="Normal 28" xfId="469"/>
    <cellStyle name="Normal 29" xfId="470"/>
    <cellStyle name="Normal 3" xfId="471"/>
    <cellStyle name="Normal 30" xfId="472"/>
    <cellStyle name="Normal 31" xfId="473"/>
    <cellStyle name="Normal 32" xfId="474"/>
    <cellStyle name="Normal 33" xfId="475"/>
    <cellStyle name="Normal 34" xfId="476"/>
    <cellStyle name="Normal 35" xfId="477"/>
    <cellStyle name="Normal 35 2" xfId="478"/>
    <cellStyle name="Normal 36" xfId="479"/>
    <cellStyle name="Normal 37" xfId="480"/>
    <cellStyle name="Normal 38" xfId="481"/>
    <cellStyle name="Normal 39" xfId="482"/>
    <cellStyle name="Normal 4" xfId="483"/>
    <cellStyle name="Normal 4 2" xfId="484"/>
    <cellStyle name="Normal 40" xfId="485"/>
    <cellStyle name="Normal 41" xfId="486"/>
    <cellStyle name="Normal 42" xfId="4"/>
    <cellStyle name="Normal 43" xfId="487"/>
    <cellStyle name="Normal 44" xfId="488"/>
    <cellStyle name="Normal 5" xfId="489"/>
    <cellStyle name="Normal 5 2" xfId="490"/>
    <cellStyle name="Normal 5 2 2" xfId="491"/>
    <cellStyle name="Normal 5 3" xfId="492"/>
    <cellStyle name="Normal 6" xfId="493"/>
    <cellStyle name="Normal 6 2" xfId="494"/>
    <cellStyle name="Normal 7" xfId="495"/>
    <cellStyle name="Normal 7 2" xfId="496"/>
    <cellStyle name="Normal 8" xfId="497"/>
    <cellStyle name="Normal 8 2" xfId="498"/>
    <cellStyle name="Normal 9" xfId="499"/>
    <cellStyle name="Normal 9 2" xfId="500"/>
    <cellStyle name="Normal 9 2 2" xfId="501"/>
    <cellStyle name="Normal 9 3" xfId="502"/>
    <cellStyle name="Nota 10" xfId="503"/>
    <cellStyle name="Nota 10 2" xfId="504"/>
    <cellStyle name="Nota 11" xfId="505"/>
    <cellStyle name="Nota 11 2" xfId="506"/>
    <cellStyle name="Nota 12" xfId="507"/>
    <cellStyle name="Nota 13" xfId="508"/>
    <cellStyle name="Nota 14" xfId="509"/>
    <cellStyle name="Nota 15" xfId="510"/>
    <cellStyle name="Nota 16" xfId="511"/>
    <cellStyle name="Nota 17" xfId="512"/>
    <cellStyle name="Nota 18" xfId="513"/>
    <cellStyle name="Nota 19" xfId="514"/>
    <cellStyle name="Nota 2" xfId="515"/>
    <cellStyle name="Nota 2 2" xfId="516"/>
    <cellStyle name="Nota 2 2 2" xfId="517"/>
    <cellStyle name="Nota 2 3" xfId="518"/>
    <cellStyle name="Nota 20" xfId="519"/>
    <cellStyle name="Nota 21" xfId="520"/>
    <cellStyle name="Nota 22" xfId="521"/>
    <cellStyle name="Nota 23" xfId="522"/>
    <cellStyle name="Nota 3" xfId="523"/>
    <cellStyle name="Nota 3 2" xfId="524"/>
    <cellStyle name="Nota 4" xfId="525"/>
    <cellStyle name="Nota 4 2" xfId="526"/>
    <cellStyle name="Nota 5" xfId="527"/>
    <cellStyle name="Nota 5 2" xfId="528"/>
    <cellStyle name="Nota 6" xfId="529"/>
    <cellStyle name="Nota 6 2" xfId="530"/>
    <cellStyle name="Nota 7" xfId="531"/>
    <cellStyle name="Nota 7 2" xfId="532"/>
    <cellStyle name="Nota 8" xfId="533"/>
    <cellStyle name="Nota 8 2" xfId="534"/>
    <cellStyle name="Nota 9" xfId="535"/>
    <cellStyle name="Nota 9 2" xfId="536"/>
    <cellStyle name="Porcentagem 2" xfId="537"/>
    <cellStyle name="Saída 2" xfId="538"/>
    <cellStyle name="Saída 3" xfId="539"/>
    <cellStyle name="Separador de milhares [0] 2" xfId="540"/>
    <cellStyle name="Separador de milhares 2" xfId="541"/>
    <cellStyle name="Separador de milhares 2 2" xfId="542"/>
    <cellStyle name="Separador de milhares 2 2 2" xfId="543"/>
    <cellStyle name="Separador de milhares 2 3" xfId="544"/>
    <cellStyle name="Separador de milhares 2 3 2" xfId="545"/>
    <cellStyle name="Separador de milhares 2 4" xfId="546"/>
    <cellStyle name="Separador de milhares 3" xfId="547"/>
    <cellStyle name="Separador de milhares 3 10" xfId="548"/>
    <cellStyle name="Separador de milhares 3 10 2" xfId="549"/>
    <cellStyle name="Separador de milhares 3 2" xfId="550"/>
    <cellStyle name="Separador de milhares 3 2 2" xfId="551"/>
    <cellStyle name="Separador de milhares 3 3" xfId="552"/>
    <cellStyle name="Separador de milhares 4" xfId="553"/>
    <cellStyle name="Separador de milhares 4 2" xfId="554"/>
    <cellStyle name="Separador de milhares 4 2 2" xfId="555"/>
    <cellStyle name="Separador de milhares 4 3" xfId="556"/>
    <cellStyle name="TableStyleLight1" xfId="2"/>
    <cellStyle name="Texto de Aviso 2" xfId="557"/>
    <cellStyle name="Texto de Aviso 3" xfId="558"/>
    <cellStyle name="Texto Explicativo 2" xfId="559"/>
    <cellStyle name="Texto Explicativo 3" xfId="560"/>
    <cellStyle name="Título 1 2" xfId="561"/>
    <cellStyle name="Título 1 3" xfId="562"/>
    <cellStyle name="Título 2 2" xfId="563"/>
    <cellStyle name="Título 2 3" xfId="564"/>
    <cellStyle name="Título 3 2" xfId="565"/>
    <cellStyle name="Título 3 3" xfId="566"/>
    <cellStyle name="Título 4 2" xfId="567"/>
    <cellStyle name="Título 4 3" xfId="568"/>
    <cellStyle name="Título 5" xfId="569"/>
    <cellStyle name="Título 6" xfId="570"/>
    <cellStyle name="Título 7" xfId="571"/>
    <cellStyle name="Total 2" xfId="572"/>
    <cellStyle name="Total 3" xfId="573"/>
    <cellStyle name="Vírgula" xfId="1" builtinId="3"/>
    <cellStyle name="Vírgula 10" xfId="574"/>
    <cellStyle name="Vírgula 11" xfId="575"/>
    <cellStyle name="Vírgula 12" xfId="576"/>
    <cellStyle name="Vírgula 13" xfId="577"/>
    <cellStyle name="Vírgula 14" xfId="578"/>
    <cellStyle name="Vírgula 15" xfId="579"/>
    <cellStyle name="Vírgula 16" xfId="580"/>
    <cellStyle name="Vírgula 16 2" xfId="581"/>
    <cellStyle name="Vírgula 16 3" xfId="582"/>
    <cellStyle name="Vírgula 17" xfId="583"/>
    <cellStyle name="Vírgula 18" xfId="584"/>
    <cellStyle name="Vírgula 19" xfId="585"/>
    <cellStyle name="Vírgula 2" xfId="586"/>
    <cellStyle name="Vírgula 2 2" xfId="587"/>
    <cellStyle name="Vírgula 20" xfId="588"/>
    <cellStyle name="Vírgula 21" xfId="589"/>
    <cellStyle name="Vírgula 21 2" xfId="590"/>
    <cellStyle name="Vírgula 3" xfId="591"/>
    <cellStyle name="Vírgula 3 2" xfId="592"/>
    <cellStyle name="Vírgula 4" xfId="593"/>
    <cellStyle name="Vírgula 4 2" xfId="3"/>
    <cellStyle name="Vírgula 4 3" xfId="594"/>
    <cellStyle name="Vírgula 5" xfId="595"/>
    <cellStyle name="Vírgula 5 2" xfId="596"/>
    <cellStyle name="Vírgula 6" xfId="597"/>
    <cellStyle name="Vírgula 6 2" xfId="598"/>
    <cellStyle name="Vírgula 7" xfId="599"/>
    <cellStyle name="Vírgula 7 2" xfId="600"/>
    <cellStyle name="Vírgula 8" xfId="601"/>
    <cellStyle name="Vírgula 8 2" xfId="602"/>
    <cellStyle name="Vírgula 9" xfId="6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TOR%20ADMINISTRATIVO\8.PCF\PCF's%20Finais\06.%20PCF%20Junho%202020%20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ÁBIL FINANCEIRA - PCF"/>
      <sheetName val="FUNDO FIXO"/>
      <sheetName val="CONTA CORRENTE (D E C)"/>
      <sheetName val="SALDO DE ESTOQUE"/>
      <sheetName val="APLICAÇÃO FINANCEIRA"/>
      <sheetName val="Despesa pessoal ANEXO II "/>
      <sheetName val="Demais despesa pesso ANEXO III"/>
      <sheetName val="Despesas gerais ANEXO IV"/>
      <sheetName val="Receitas ANEXO V"/>
      <sheetName val="Demais receitas ANEXO VI"/>
      <sheetName val="Contratos ANEXO VII"/>
      <sheetName val="Termos aditivos ANEXO VIII"/>
      <sheetName val="TURNOVER"/>
      <sheetName val="CATEGORIA PROFISSIONAL"/>
      <sheetName val="CÁLCULO FOLHA DE PAGAMENTO"/>
      <sheetName val="PLANILHA DE CONFERÊ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213"/>
  <sheetViews>
    <sheetView tabSelected="1" zoomScaleNormal="100" workbookViewId="0">
      <selection activeCell="A10" sqref="A10"/>
    </sheetView>
  </sheetViews>
  <sheetFormatPr defaultRowHeight="15.75" x14ac:dyDescent="0.25"/>
  <cols>
    <col min="1" max="1" width="27.5703125" style="36" customWidth="1"/>
    <col min="2" max="2" width="51.140625" style="36" customWidth="1"/>
    <col min="3" max="3" width="19.5703125" style="36" customWidth="1"/>
    <col min="4" max="4" width="44.140625" style="36" bestFit="1" customWidth="1"/>
    <col min="5" max="5" width="19.140625" style="37" bestFit="1" customWidth="1"/>
    <col min="6" max="6" width="13.28515625" style="37" customWidth="1"/>
    <col min="7" max="7" width="13.85546875" style="37" customWidth="1"/>
    <col min="8" max="8" width="20.7109375" style="38" customWidth="1"/>
    <col min="9" max="9" width="20.85546875" style="38" customWidth="1"/>
    <col min="10" max="10" width="14" style="39" bestFit="1" customWidth="1"/>
    <col min="11" max="11" width="12.7109375" style="39" customWidth="1"/>
    <col min="12" max="12" width="11.5703125" style="39" bestFit="1" customWidth="1"/>
    <col min="13" max="13" width="11" style="39" bestFit="1" customWidth="1"/>
    <col min="14" max="14" width="13.7109375" style="39" bestFit="1" customWidth="1"/>
    <col min="15" max="15" width="11" style="39" bestFit="1" customWidth="1"/>
    <col min="16" max="16" width="15.7109375" style="39" bestFit="1" customWidth="1"/>
    <col min="17" max="17" width="14.85546875" style="36" customWidth="1"/>
    <col min="18" max="18" width="13.85546875" style="36" customWidth="1"/>
    <col min="19" max="240" width="9.140625" style="36" customWidth="1"/>
    <col min="241" max="241" width="9.140625" style="36"/>
    <col min="242" max="242" width="6.5703125" style="36" customWidth="1"/>
    <col min="243" max="243" width="79.5703125" style="36" customWidth="1"/>
    <col min="244" max="244" width="23.5703125" style="36" customWidth="1"/>
    <col min="245" max="245" width="27.85546875" style="36" customWidth="1"/>
    <col min="246" max="246" width="22.28515625" style="36" customWidth="1"/>
    <col min="247" max="247" width="23.5703125" style="36" customWidth="1"/>
    <col min="248" max="248" width="39" style="36" customWidth="1"/>
    <col min="249" max="249" width="36.42578125" style="36" customWidth="1"/>
    <col min="250" max="250" width="8" style="36" customWidth="1"/>
    <col min="251" max="251" width="15.5703125" style="36" customWidth="1"/>
    <col min="252" max="252" width="17.28515625" style="36" customWidth="1"/>
    <col min="253" max="253" width="18.85546875" style="36" customWidth="1"/>
    <col min="254" max="254" width="81" style="36" customWidth="1"/>
    <col min="255" max="255" width="14.85546875" style="36" customWidth="1"/>
    <col min="256" max="256" width="15.7109375" style="36" customWidth="1"/>
    <col min="257" max="257" width="17.5703125" style="36" customWidth="1"/>
    <col min="258" max="258" width="18.42578125" style="36" customWidth="1"/>
    <col min="259" max="259" width="16.5703125" style="36" customWidth="1"/>
    <col min="260" max="260" width="17.7109375" style="36" customWidth="1"/>
    <col min="261" max="261" width="17.85546875" style="36" customWidth="1"/>
    <col min="262" max="262" width="18.42578125" style="36" customWidth="1"/>
    <col min="263" max="263" width="15.42578125" style="36" customWidth="1"/>
    <col min="264" max="264" width="14.5703125" style="36" customWidth="1"/>
    <col min="265" max="265" width="15" style="36" customWidth="1"/>
    <col min="266" max="266" width="6.7109375" style="36" customWidth="1"/>
    <col min="267" max="267" width="14.28515625" style="36" customWidth="1"/>
    <col min="268" max="268" width="17.5703125" style="36" customWidth="1"/>
    <col min="269" max="269" width="27.7109375" style="36" customWidth="1"/>
    <col min="270" max="272" width="9.140625" style="36" customWidth="1"/>
    <col min="273" max="273" width="14.85546875" style="36" customWidth="1"/>
    <col min="274" max="274" width="13.85546875" style="36" customWidth="1"/>
    <col min="275" max="496" width="9.140625" style="36" customWidth="1"/>
    <col min="497" max="497" width="9.140625" style="36"/>
    <col min="498" max="498" width="6.5703125" style="36" customWidth="1"/>
    <col min="499" max="499" width="79.5703125" style="36" customWidth="1"/>
    <col min="500" max="500" width="23.5703125" style="36" customWidth="1"/>
    <col min="501" max="501" width="27.85546875" style="36" customWidth="1"/>
    <col min="502" max="502" width="22.28515625" style="36" customWidth="1"/>
    <col min="503" max="503" width="23.5703125" style="36" customWidth="1"/>
    <col min="504" max="504" width="39" style="36" customWidth="1"/>
    <col min="505" max="505" width="36.42578125" style="36" customWidth="1"/>
    <col min="506" max="506" width="8" style="36" customWidth="1"/>
    <col min="507" max="507" width="15.5703125" style="36" customWidth="1"/>
    <col min="508" max="508" width="17.28515625" style="36" customWidth="1"/>
    <col min="509" max="509" width="18.85546875" style="36" customWidth="1"/>
    <col min="510" max="510" width="81" style="36" customWidth="1"/>
    <col min="511" max="511" width="14.85546875" style="36" customWidth="1"/>
    <col min="512" max="512" width="15.7109375" style="36" customWidth="1"/>
    <col min="513" max="513" width="17.5703125" style="36" customWidth="1"/>
    <col min="514" max="514" width="18.42578125" style="36" customWidth="1"/>
    <col min="515" max="515" width="16.5703125" style="36" customWidth="1"/>
    <col min="516" max="516" width="17.7109375" style="36" customWidth="1"/>
    <col min="517" max="517" width="17.85546875" style="36" customWidth="1"/>
    <col min="518" max="518" width="18.42578125" style="36" customWidth="1"/>
    <col min="519" max="519" width="15.42578125" style="36" customWidth="1"/>
    <col min="520" max="520" width="14.5703125" style="36" customWidth="1"/>
    <col min="521" max="521" width="15" style="36" customWidth="1"/>
    <col min="522" max="522" width="6.7109375" style="36" customWidth="1"/>
    <col min="523" max="523" width="14.28515625" style="36" customWidth="1"/>
    <col min="524" max="524" width="17.5703125" style="36" customWidth="1"/>
    <col min="525" max="525" width="27.7109375" style="36" customWidth="1"/>
    <col min="526" max="528" width="9.140625" style="36" customWidth="1"/>
    <col min="529" max="529" width="14.85546875" style="36" customWidth="1"/>
    <col min="530" max="530" width="13.85546875" style="36" customWidth="1"/>
    <col min="531" max="752" width="9.140625" style="36" customWidth="1"/>
    <col min="753" max="753" width="9.140625" style="36"/>
    <col min="754" max="754" width="6.5703125" style="36" customWidth="1"/>
    <col min="755" max="755" width="79.5703125" style="36" customWidth="1"/>
    <col min="756" max="756" width="23.5703125" style="36" customWidth="1"/>
    <col min="757" max="757" width="27.85546875" style="36" customWidth="1"/>
    <col min="758" max="758" width="22.28515625" style="36" customWidth="1"/>
    <col min="759" max="759" width="23.5703125" style="36" customWidth="1"/>
    <col min="760" max="760" width="39" style="36" customWidth="1"/>
    <col min="761" max="761" width="36.42578125" style="36" customWidth="1"/>
    <col min="762" max="762" width="8" style="36" customWidth="1"/>
    <col min="763" max="763" width="15.5703125" style="36" customWidth="1"/>
    <col min="764" max="764" width="17.28515625" style="36" customWidth="1"/>
    <col min="765" max="765" width="18.85546875" style="36" customWidth="1"/>
    <col min="766" max="766" width="81" style="36" customWidth="1"/>
    <col min="767" max="767" width="14.85546875" style="36" customWidth="1"/>
    <col min="768" max="768" width="15.7109375" style="36" customWidth="1"/>
    <col min="769" max="769" width="17.5703125" style="36" customWidth="1"/>
    <col min="770" max="770" width="18.42578125" style="36" customWidth="1"/>
    <col min="771" max="771" width="16.5703125" style="36" customWidth="1"/>
    <col min="772" max="772" width="17.7109375" style="36" customWidth="1"/>
    <col min="773" max="773" width="17.85546875" style="36" customWidth="1"/>
    <col min="774" max="774" width="18.42578125" style="36" customWidth="1"/>
    <col min="775" max="775" width="15.42578125" style="36" customWidth="1"/>
    <col min="776" max="776" width="14.5703125" style="36" customWidth="1"/>
    <col min="777" max="777" width="15" style="36" customWidth="1"/>
    <col min="778" max="778" width="6.7109375" style="36" customWidth="1"/>
    <col min="779" max="779" width="14.28515625" style="36" customWidth="1"/>
    <col min="780" max="780" width="17.5703125" style="36" customWidth="1"/>
    <col min="781" max="781" width="27.7109375" style="36" customWidth="1"/>
    <col min="782" max="784" width="9.140625" style="36" customWidth="1"/>
    <col min="785" max="785" width="14.85546875" style="36" customWidth="1"/>
    <col min="786" max="786" width="13.85546875" style="36" customWidth="1"/>
    <col min="787" max="1008" width="9.140625" style="36" customWidth="1"/>
    <col min="1009" max="1009" width="9.140625" style="36"/>
    <col min="1010" max="1010" width="6.5703125" style="36" customWidth="1"/>
    <col min="1011" max="1011" width="79.5703125" style="36" customWidth="1"/>
    <col min="1012" max="1012" width="23.5703125" style="36" customWidth="1"/>
    <col min="1013" max="1013" width="27.85546875" style="36" customWidth="1"/>
    <col min="1014" max="1014" width="22.28515625" style="36" customWidth="1"/>
    <col min="1015" max="1015" width="23.5703125" style="36" customWidth="1"/>
    <col min="1016" max="1016" width="39" style="36" customWidth="1"/>
    <col min="1017" max="1017" width="36.42578125" style="36" customWidth="1"/>
    <col min="1018" max="1018" width="8" style="36" customWidth="1"/>
    <col min="1019" max="1019" width="15.5703125" style="36" customWidth="1"/>
    <col min="1020" max="1020" width="17.28515625" style="36" customWidth="1"/>
    <col min="1021" max="1021" width="18.85546875" style="36" customWidth="1"/>
    <col min="1022" max="1022" width="81" style="36" customWidth="1"/>
    <col min="1023" max="1023" width="14.85546875" style="36" customWidth="1"/>
    <col min="1024" max="1024" width="15.7109375" style="36" customWidth="1"/>
    <col min="1025" max="1025" width="17.5703125" style="36" customWidth="1"/>
    <col min="1026" max="1026" width="18.42578125" style="36" customWidth="1"/>
    <col min="1027" max="1027" width="16.5703125" style="36" customWidth="1"/>
    <col min="1028" max="1028" width="17.7109375" style="36" customWidth="1"/>
    <col min="1029" max="1029" width="17.85546875" style="36" customWidth="1"/>
    <col min="1030" max="1030" width="18.42578125" style="36" customWidth="1"/>
    <col min="1031" max="1031" width="15.42578125" style="36" customWidth="1"/>
    <col min="1032" max="1032" width="14.5703125" style="36" customWidth="1"/>
    <col min="1033" max="1033" width="15" style="36" customWidth="1"/>
    <col min="1034" max="1034" width="6.7109375" style="36" customWidth="1"/>
    <col min="1035" max="1035" width="14.28515625" style="36" customWidth="1"/>
    <col min="1036" max="1036" width="17.5703125" style="36" customWidth="1"/>
    <col min="1037" max="1037" width="27.7109375" style="36" customWidth="1"/>
    <col min="1038" max="1040" width="9.140625" style="36" customWidth="1"/>
    <col min="1041" max="1041" width="14.85546875" style="36" customWidth="1"/>
    <col min="1042" max="1042" width="13.85546875" style="36" customWidth="1"/>
    <col min="1043" max="1264" width="9.140625" style="36" customWidth="1"/>
    <col min="1265" max="1265" width="9.140625" style="36"/>
    <col min="1266" max="1266" width="6.5703125" style="36" customWidth="1"/>
    <col min="1267" max="1267" width="79.5703125" style="36" customWidth="1"/>
    <col min="1268" max="1268" width="23.5703125" style="36" customWidth="1"/>
    <col min="1269" max="1269" width="27.85546875" style="36" customWidth="1"/>
    <col min="1270" max="1270" width="22.28515625" style="36" customWidth="1"/>
    <col min="1271" max="1271" width="23.5703125" style="36" customWidth="1"/>
    <col min="1272" max="1272" width="39" style="36" customWidth="1"/>
    <col min="1273" max="1273" width="36.42578125" style="36" customWidth="1"/>
    <col min="1274" max="1274" width="8" style="36" customWidth="1"/>
    <col min="1275" max="1275" width="15.5703125" style="36" customWidth="1"/>
    <col min="1276" max="1276" width="17.28515625" style="36" customWidth="1"/>
    <col min="1277" max="1277" width="18.85546875" style="36" customWidth="1"/>
    <col min="1278" max="1278" width="81" style="36" customWidth="1"/>
    <col min="1279" max="1279" width="14.85546875" style="36" customWidth="1"/>
    <col min="1280" max="1280" width="15.7109375" style="36" customWidth="1"/>
    <col min="1281" max="1281" width="17.5703125" style="36" customWidth="1"/>
    <col min="1282" max="1282" width="18.42578125" style="36" customWidth="1"/>
    <col min="1283" max="1283" width="16.5703125" style="36" customWidth="1"/>
    <col min="1284" max="1284" width="17.7109375" style="36" customWidth="1"/>
    <col min="1285" max="1285" width="17.85546875" style="36" customWidth="1"/>
    <col min="1286" max="1286" width="18.42578125" style="36" customWidth="1"/>
    <col min="1287" max="1287" width="15.42578125" style="36" customWidth="1"/>
    <col min="1288" max="1288" width="14.5703125" style="36" customWidth="1"/>
    <col min="1289" max="1289" width="15" style="36" customWidth="1"/>
    <col min="1290" max="1290" width="6.7109375" style="36" customWidth="1"/>
    <col min="1291" max="1291" width="14.28515625" style="36" customWidth="1"/>
    <col min="1292" max="1292" width="17.5703125" style="36" customWidth="1"/>
    <col min="1293" max="1293" width="27.7109375" style="36" customWidth="1"/>
    <col min="1294" max="1296" width="9.140625" style="36" customWidth="1"/>
    <col min="1297" max="1297" width="14.85546875" style="36" customWidth="1"/>
    <col min="1298" max="1298" width="13.85546875" style="36" customWidth="1"/>
    <col min="1299" max="1520" width="9.140625" style="36" customWidth="1"/>
    <col min="1521" max="1521" width="9.140625" style="36"/>
    <col min="1522" max="1522" width="6.5703125" style="36" customWidth="1"/>
    <col min="1523" max="1523" width="79.5703125" style="36" customWidth="1"/>
    <col min="1524" max="1524" width="23.5703125" style="36" customWidth="1"/>
    <col min="1525" max="1525" width="27.85546875" style="36" customWidth="1"/>
    <col min="1526" max="1526" width="22.28515625" style="36" customWidth="1"/>
    <col min="1527" max="1527" width="23.5703125" style="36" customWidth="1"/>
    <col min="1528" max="1528" width="39" style="36" customWidth="1"/>
    <col min="1529" max="1529" width="36.42578125" style="36" customWidth="1"/>
    <col min="1530" max="1530" width="8" style="36" customWidth="1"/>
    <col min="1531" max="1531" width="15.5703125" style="36" customWidth="1"/>
    <col min="1532" max="1532" width="17.28515625" style="36" customWidth="1"/>
    <col min="1533" max="1533" width="18.85546875" style="36" customWidth="1"/>
    <col min="1534" max="1534" width="81" style="36" customWidth="1"/>
    <col min="1535" max="1535" width="14.85546875" style="36" customWidth="1"/>
    <col min="1536" max="1536" width="15.7109375" style="36" customWidth="1"/>
    <col min="1537" max="1537" width="17.5703125" style="36" customWidth="1"/>
    <col min="1538" max="1538" width="18.42578125" style="36" customWidth="1"/>
    <col min="1539" max="1539" width="16.5703125" style="36" customWidth="1"/>
    <col min="1540" max="1540" width="17.7109375" style="36" customWidth="1"/>
    <col min="1541" max="1541" width="17.85546875" style="36" customWidth="1"/>
    <col min="1542" max="1542" width="18.42578125" style="36" customWidth="1"/>
    <col min="1543" max="1543" width="15.42578125" style="36" customWidth="1"/>
    <col min="1544" max="1544" width="14.5703125" style="36" customWidth="1"/>
    <col min="1545" max="1545" width="15" style="36" customWidth="1"/>
    <col min="1546" max="1546" width="6.7109375" style="36" customWidth="1"/>
    <col min="1547" max="1547" width="14.28515625" style="36" customWidth="1"/>
    <col min="1548" max="1548" width="17.5703125" style="36" customWidth="1"/>
    <col min="1549" max="1549" width="27.7109375" style="36" customWidth="1"/>
    <col min="1550" max="1552" width="9.140625" style="36" customWidth="1"/>
    <col min="1553" max="1553" width="14.85546875" style="36" customWidth="1"/>
    <col min="1554" max="1554" width="13.85546875" style="36" customWidth="1"/>
    <col min="1555" max="1776" width="9.140625" style="36" customWidth="1"/>
    <col min="1777" max="1777" width="9.140625" style="36"/>
    <col min="1778" max="1778" width="6.5703125" style="36" customWidth="1"/>
    <col min="1779" max="1779" width="79.5703125" style="36" customWidth="1"/>
    <col min="1780" max="1780" width="23.5703125" style="36" customWidth="1"/>
    <col min="1781" max="1781" width="27.85546875" style="36" customWidth="1"/>
    <col min="1782" max="1782" width="22.28515625" style="36" customWidth="1"/>
    <col min="1783" max="1783" width="23.5703125" style="36" customWidth="1"/>
    <col min="1784" max="1784" width="39" style="36" customWidth="1"/>
    <col min="1785" max="1785" width="36.42578125" style="36" customWidth="1"/>
    <col min="1786" max="1786" width="8" style="36" customWidth="1"/>
    <col min="1787" max="1787" width="15.5703125" style="36" customWidth="1"/>
    <col min="1788" max="1788" width="17.28515625" style="36" customWidth="1"/>
    <col min="1789" max="1789" width="18.85546875" style="36" customWidth="1"/>
    <col min="1790" max="1790" width="81" style="36" customWidth="1"/>
    <col min="1791" max="1791" width="14.85546875" style="36" customWidth="1"/>
    <col min="1792" max="1792" width="15.7109375" style="36" customWidth="1"/>
    <col min="1793" max="1793" width="17.5703125" style="36" customWidth="1"/>
    <col min="1794" max="1794" width="18.42578125" style="36" customWidth="1"/>
    <col min="1795" max="1795" width="16.5703125" style="36" customWidth="1"/>
    <col min="1796" max="1796" width="17.7109375" style="36" customWidth="1"/>
    <col min="1797" max="1797" width="17.85546875" style="36" customWidth="1"/>
    <col min="1798" max="1798" width="18.42578125" style="36" customWidth="1"/>
    <col min="1799" max="1799" width="15.42578125" style="36" customWidth="1"/>
    <col min="1800" max="1800" width="14.5703125" style="36" customWidth="1"/>
    <col min="1801" max="1801" width="15" style="36" customWidth="1"/>
    <col min="1802" max="1802" width="6.7109375" style="36" customWidth="1"/>
    <col min="1803" max="1803" width="14.28515625" style="36" customWidth="1"/>
    <col min="1804" max="1804" width="17.5703125" style="36" customWidth="1"/>
    <col min="1805" max="1805" width="27.7109375" style="36" customWidth="1"/>
    <col min="1806" max="1808" width="9.140625" style="36" customWidth="1"/>
    <col min="1809" max="1809" width="14.85546875" style="36" customWidth="1"/>
    <col min="1810" max="1810" width="13.85546875" style="36" customWidth="1"/>
    <col min="1811" max="2032" width="9.140625" style="36" customWidth="1"/>
    <col min="2033" max="2033" width="9.140625" style="36"/>
    <col min="2034" max="2034" width="6.5703125" style="36" customWidth="1"/>
    <col min="2035" max="2035" width="79.5703125" style="36" customWidth="1"/>
    <col min="2036" max="2036" width="23.5703125" style="36" customWidth="1"/>
    <col min="2037" max="2037" width="27.85546875" style="36" customWidth="1"/>
    <col min="2038" max="2038" width="22.28515625" style="36" customWidth="1"/>
    <col min="2039" max="2039" width="23.5703125" style="36" customWidth="1"/>
    <col min="2040" max="2040" width="39" style="36" customWidth="1"/>
    <col min="2041" max="2041" width="36.42578125" style="36" customWidth="1"/>
    <col min="2042" max="2042" width="8" style="36" customWidth="1"/>
    <col min="2043" max="2043" width="15.5703125" style="36" customWidth="1"/>
    <col min="2044" max="2044" width="17.28515625" style="36" customWidth="1"/>
    <col min="2045" max="2045" width="18.85546875" style="36" customWidth="1"/>
    <col min="2046" max="2046" width="81" style="36" customWidth="1"/>
    <col min="2047" max="2047" width="14.85546875" style="36" customWidth="1"/>
    <col min="2048" max="2048" width="15.7109375" style="36" customWidth="1"/>
    <col min="2049" max="2049" width="17.5703125" style="36" customWidth="1"/>
    <col min="2050" max="2050" width="18.42578125" style="36" customWidth="1"/>
    <col min="2051" max="2051" width="16.5703125" style="36" customWidth="1"/>
    <col min="2052" max="2052" width="17.7109375" style="36" customWidth="1"/>
    <col min="2053" max="2053" width="17.85546875" style="36" customWidth="1"/>
    <col min="2054" max="2054" width="18.42578125" style="36" customWidth="1"/>
    <col min="2055" max="2055" width="15.42578125" style="36" customWidth="1"/>
    <col min="2056" max="2056" width="14.5703125" style="36" customWidth="1"/>
    <col min="2057" max="2057" width="15" style="36" customWidth="1"/>
    <col min="2058" max="2058" width="6.7109375" style="36" customWidth="1"/>
    <col min="2059" max="2059" width="14.28515625" style="36" customWidth="1"/>
    <col min="2060" max="2060" width="17.5703125" style="36" customWidth="1"/>
    <col min="2061" max="2061" width="27.7109375" style="36" customWidth="1"/>
    <col min="2062" max="2064" width="9.140625" style="36" customWidth="1"/>
    <col min="2065" max="2065" width="14.85546875" style="36" customWidth="1"/>
    <col min="2066" max="2066" width="13.85546875" style="36" customWidth="1"/>
    <col min="2067" max="2288" width="9.140625" style="36" customWidth="1"/>
    <col min="2289" max="2289" width="9.140625" style="36"/>
    <col min="2290" max="2290" width="6.5703125" style="36" customWidth="1"/>
    <col min="2291" max="2291" width="79.5703125" style="36" customWidth="1"/>
    <col min="2292" max="2292" width="23.5703125" style="36" customWidth="1"/>
    <col min="2293" max="2293" width="27.85546875" style="36" customWidth="1"/>
    <col min="2294" max="2294" width="22.28515625" style="36" customWidth="1"/>
    <col min="2295" max="2295" width="23.5703125" style="36" customWidth="1"/>
    <col min="2296" max="2296" width="39" style="36" customWidth="1"/>
    <col min="2297" max="2297" width="36.42578125" style="36" customWidth="1"/>
    <col min="2298" max="2298" width="8" style="36" customWidth="1"/>
    <col min="2299" max="2299" width="15.5703125" style="36" customWidth="1"/>
    <col min="2300" max="2300" width="17.28515625" style="36" customWidth="1"/>
    <col min="2301" max="2301" width="18.85546875" style="36" customWidth="1"/>
    <col min="2302" max="2302" width="81" style="36" customWidth="1"/>
    <col min="2303" max="2303" width="14.85546875" style="36" customWidth="1"/>
    <col min="2304" max="2304" width="15.7109375" style="36" customWidth="1"/>
    <col min="2305" max="2305" width="17.5703125" style="36" customWidth="1"/>
    <col min="2306" max="2306" width="18.42578125" style="36" customWidth="1"/>
    <col min="2307" max="2307" width="16.5703125" style="36" customWidth="1"/>
    <col min="2308" max="2308" width="17.7109375" style="36" customWidth="1"/>
    <col min="2309" max="2309" width="17.85546875" style="36" customWidth="1"/>
    <col min="2310" max="2310" width="18.42578125" style="36" customWidth="1"/>
    <col min="2311" max="2311" width="15.42578125" style="36" customWidth="1"/>
    <col min="2312" max="2312" width="14.5703125" style="36" customWidth="1"/>
    <col min="2313" max="2313" width="15" style="36" customWidth="1"/>
    <col min="2314" max="2314" width="6.7109375" style="36" customWidth="1"/>
    <col min="2315" max="2315" width="14.28515625" style="36" customWidth="1"/>
    <col min="2316" max="2316" width="17.5703125" style="36" customWidth="1"/>
    <col min="2317" max="2317" width="27.7109375" style="36" customWidth="1"/>
    <col min="2318" max="2320" width="9.140625" style="36" customWidth="1"/>
    <col min="2321" max="2321" width="14.85546875" style="36" customWidth="1"/>
    <col min="2322" max="2322" width="13.85546875" style="36" customWidth="1"/>
    <col min="2323" max="2544" width="9.140625" style="36" customWidth="1"/>
    <col min="2545" max="2545" width="9.140625" style="36"/>
    <col min="2546" max="2546" width="6.5703125" style="36" customWidth="1"/>
    <col min="2547" max="2547" width="79.5703125" style="36" customWidth="1"/>
    <col min="2548" max="2548" width="23.5703125" style="36" customWidth="1"/>
    <col min="2549" max="2549" width="27.85546875" style="36" customWidth="1"/>
    <col min="2550" max="2550" width="22.28515625" style="36" customWidth="1"/>
    <col min="2551" max="2551" width="23.5703125" style="36" customWidth="1"/>
    <col min="2552" max="2552" width="39" style="36" customWidth="1"/>
    <col min="2553" max="2553" width="36.42578125" style="36" customWidth="1"/>
    <col min="2554" max="2554" width="8" style="36" customWidth="1"/>
    <col min="2555" max="2555" width="15.5703125" style="36" customWidth="1"/>
    <col min="2556" max="2556" width="17.28515625" style="36" customWidth="1"/>
    <col min="2557" max="2557" width="18.85546875" style="36" customWidth="1"/>
    <col min="2558" max="2558" width="81" style="36" customWidth="1"/>
    <col min="2559" max="2559" width="14.85546875" style="36" customWidth="1"/>
    <col min="2560" max="2560" width="15.7109375" style="36" customWidth="1"/>
    <col min="2561" max="2561" width="17.5703125" style="36" customWidth="1"/>
    <col min="2562" max="2562" width="18.42578125" style="36" customWidth="1"/>
    <col min="2563" max="2563" width="16.5703125" style="36" customWidth="1"/>
    <col min="2564" max="2564" width="17.7109375" style="36" customWidth="1"/>
    <col min="2565" max="2565" width="17.85546875" style="36" customWidth="1"/>
    <col min="2566" max="2566" width="18.42578125" style="36" customWidth="1"/>
    <col min="2567" max="2567" width="15.42578125" style="36" customWidth="1"/>
    <col min="2568" max="2568" width="14.5703125" style="36" customWidth="1"/>
    <col min="2569" max="2569" width="15" style="36" customWidth="1"/>
    <col min="2570" max="2570" width="6.7109375" style="36" customWidth="1"/>
    <col min="2571" max="2571" width="14.28515625" style="36" customWidth="1"/>
    <col min="2572" max="2572" width="17.5703125" style="36" customWidth="1"/>
    <col min="2573" max="2573" width="27.7109375" style="36" customWidth="1"/>
    <col min="2574" max="2576" width="9.140625" style="36" customWidth="1"/>
    <col min="2577" max="2577" width="14.85546875" style="36" customWidth="1"/>
    <col min="2578" max="2578" width="13.85546875" style="36" customWidth="1"/>
    <col min="2579" max="2800" width="9.140625" style="36" customWidth="1"/>
    <col min="2801" max="2801" width="9.140625" style="36"/>
    <col min="2802" max="2802" width="6.5703125" style="36" customWidth="1"/>
    <col min="2803" max="2803" width="79.5703125" style="36" customWidth="1"/>
    <col min="2804" max="2804" width="23.5703125" style="36" customWidth="1"/>
    <col min="2805" max="2805" width="27.85546875" style="36" customWidth="1"/>
    <col min="2806" max="2806" width="22.28515625" style="36" customWidth="1"/>
    <col min="2807" max="2807" width="23.5703125" style="36" customWidth="1"/>
    <col min="2808" max="2808" width="39" style="36" customWidth="1"/>
    <col min="2809" max="2809" width="36.42578125" style="36" customWidth="1"/>
    <col min="2810" max="2810" width="8" style="36" customWidth="1"/>
    <col min="2811" max="2811" width="15.5703125" style="36" customWidth="1"/>
    <col min="2812" max="2812" width="17.28515625" style="36" customWidth="1"/>
    <col min="2813" max="2813" width="18.85546875" style="36" customWidth="1"/>
    <col min="2814" max="2814" width="81" style="36" customWidth="1"/>
    <col min="2815" max="2815" width="14.85546875" style="36" customWidth="1"/>
    <col min="2816" max="2816" width="15.7109375" style="36" customWidth="1"/>
    <col min="2817" max="2817" width="17.5703125" style="36" customWidth="1"/>
    <col min="2818" max="2818" width="18.42578125" style="36" customWidth="1"/>
    <col min="2819" max="2819" width="16.5703125" style="36" customWidth="1"/>
    <col min="2820" max="2820" width="17.7109375" style="36" customWidth="1"/>
    <col min="2821" max="2821" width="17.85546875" style="36" customWidth="1"/>
    <col min="2822" max="2822" width="18.42578125" style="36" customWidth="1"/>
    <col min="2823" max="2823" width="15.42578125" style="36" customWidth="1"/>
    <col min="2824" max="2824" width="14.5703125" style="36" customWidth="1"/>
    <col min="2825" max="2825" width="15" style="36" customWidth="1"/>
    <col min="2826" max="2826" width="6.7109375" style="36" customWidth="1"/>
    <col min="2827" max="2827" width="14.28515625" style="36" customWidth="1"/>
    <col min="2828" max="2828" width="17.5703125" style="36" customWidth="1"/>
    <col min="2829" max="2829" width="27.7109375" style="36" customWidth="1"/>
    <col min="2830" max="2832" width="9.140625" style="36" customWidth="1"/>
    <col min="2833" max="2833" width="14.85546875" style="36" customWidth="1"/>
    <col min="2834" max="2834" width="13.85546875" style="36" customWidth="1"/>
    <col min="2835" max="3056" width="9.140625" style="36" customWidth="1"/>
    <col min="3057" max="3057" width="9.140625" style="36"/>
    <col min="3058" max="3058" width="6.5703125" style="36" customWidth="1"/>
    <col min="3059" max="3059" width="79.5703125" style="36" customWidth="1"/>
    <col min="3060" max="3060" width="23.5703125" style="36" customWidth="1"/>
    <col min="3061" max="3061" width="27.85546875" style="36" customWidth="1"/>
    <col min="3062" max="3062" width="22.28515625" style="36" customWidth="1"/>
    <col min="3063" max="3063" width="23.5703125" style="36" customWidth="1"/>
    <col min="3064" max="3064" width="39" style="36" customWidth="1"/>
    <col min="3065" max="3065" width="36.42578125" style="36" customWidth="1"/>
    <col min="3066" max="3066" width="8" style="36" customWidth="1"/>
    <col min="3067" max="3067" width="15.5703125" style="36" customWidth="1"/>
    <col min="3068" max="3068" width="17.28515625" style="36" customWidth="1"/>
    <col min="3069" max="3069" width="18.85546875" style="36" customWidth="1"/>
    <col min="3070" max="3070" width="81" style="36" customWidth="1"/>
    <col min="3071" max="3071" width="14.85546875" style="36" customWidth="1"/>
    <col min="3072" max="3072" width="15.7109375" style="36" customWidth="1"/>
    <col min="3073" max="3073" width="17.5703125" style="36" customWidth="1"/>
    <col min="3074" max="3074" width="18.42578125" style="36" customWidth="1"/>
    <col min="3075" max="3075" width="16.5703125" style="36" customWidth="1"/>
    <col min="3076" max="3076" width="17.7109375" style="36" customWidth="1"/>
    <col min="3077" max="3077" width="17.85546875" style="36" customWidth="1"/>
    <col min="3078" max="3078" width="18.42578125" style="36" customWidth="1"/>
    <col min="3079" max="3079" width="15.42578125" style="36" customWidth="1"/>
    <col min="3080" max="3080" width="14.5703125" style="36" customWidth="1"/>
    <col min="3081" max="3081" width="15" style="36" customWidth="1"/>
    <col min="3082" max="3082" width="6.7109375" style="36" customWidth="1"/>
    <col min="3083" max="3083" width="14.28515625" style="36" customWidth="1"/>
    <col min="3084" max="3084" width="17.5703125" style="36" customWidth="1"/>
    <col min="3085" max="3085" width="27.7109375" style="36" customWidth="1"/>
    <col min="3086" max="3088" width="9.140625" style="36" customWidth="1"/>
    <col min="3089" max="3089" width="14.85546875" style="36" customWidth="1"/>
    <col min="3090" max="3090" width="13.85546875" style="36" customWidth="1"/>
    <col min="3091" max="3312" width="9.140625" style="36" customWidth="1"/>
    <col min="3313" max="3313" width="9.140625" style="36"/>
    <col min="3314" max="3314" width="6.5703125" style="36" customWidth="1"/>
    <col min="3315" max="3315" width="79.5703125" style="36" customWidth="1"/>
    <col min="3316" max="3316" width="23.5703125" style="36" customWidth="1"/>
    <col min="3317" max="3317" width="27.85546875" style="36" customWidth="1"/>
    <col min="3318" max="3318" width="22.28515625" style="36" customWidth="1"/>
    <col min="3319" max="3319" width="23.5703125" style="36" customWidth="1"/>
    <col min="3320" max="3320" width="39" style="36" customWidth="1"/>
    <col min="3321" max="3321" width="36.42578125" style="36" customWidth="1"/>
    <col min="3322" max="3322" width="8" style="36" customWidth="1"/>
    <col min="3323" max="3323" width="15.5703125" style="36" customWidth="1"/>
    <col min="3324" max="3324" width="17.28515625" style="36" customWidth="1"/>
    <col min="3325" max="3325" width="18.85546875" style="36" customWidth="1"/>
    <col min="3326" max="3326" width="81" style="36" customWidth="1"/>
    <col min="3327" max="3327" width="14.85546875" style="36" customWidth="1"/>
    <col min="3328" max="3328" width="15.7109375" style="36" customWidth="1"/>
    <col min="3329" max="3329" width="17.5703125" style="36" customWidth="1"/>
    <col min="3330" max="3330" width="18.42578125" style="36" customWidth="1"/>
    <col min="3331" max="3331" width="16.5703125" style="36" customWidth="1"/>
    <col min="3332" max="3332" width="17.7109375" style="36" customWidth="1"/>
    <col min="3333" max="3333" width="17.85546875" style="36" customWidth="1"/>
    <col min="3334" max="3334" width="18.42578125" style="36" customWidth="1"/>
    <col min="3335" max="3335" width="15.42578125" style="36" customWidth="1"/>
    <col min="3336" max="3336" width="14.5703125" style="36" customWidth="1"/>
    <col min="3337" max="3337" width="15" style="36" customWidth="1"/>
    <col min="3338" max="3338" width="6.7109375" style="36" customWidth="1"/>
    <col min="3339" max="3339" width="14.28515625" style="36" customWidth="1"/>
    <col min="3340" max="3340" width="17.5703125" style="36" customWidth="1"/>
    <col min="3341" max="3341" width="27.7109375" style="36" customWidth="1"/>
    <col min="3342" max="3344" width="9.140625" style="36" customWidth="1"/>
    <col min="3345" max="3345" width="14.85546875" style="36" customWidth="1"/>
    <col min="3346" max="3346" width="13.85546875" style="36" customWidth="1"/>
    <col min="3347" max="3568" width="9.140625" style="36" customWidth="1"/>
    <col min="3569" max="3569" width="9.140625" style="36"/>
    <col min="3570" max="3570" width="6.5703125" style="36" customWidth="1"/>
    <col min="3571" max="3571" width="79.5703125" style="36" customWidth="1"/>
    <col min="3572" max="3572" width="23.5703125" style="36" customWidth="1"/>
    <col min="3573" max="3573" width="27.85546875" style="36" customWidth="1"/>
    <col min="3574" max="3574" width="22.28515625" style="36" customWidth="1"/>
    <col min="3575" max="3575" width="23.5703125" style="36" customWidth="1"/>
    <col min="3576" max="3576" width="39" style="36" customWidth="1"/>
    <col min="3577" max="3577" width="36.42578125" style="36" customWidth="1"/>
    <col min="3578" max="3578" width="8" style="36" customWidth="1"/>
    <col min="3579" max="3579" width="15.5703125" style="36" customWidth="1"/>
    <col min="3580" max="3580" width="17.28515625" style="36" customWidth="1"/>
    <col min="3581" max="3581" width="18.85546875" style="36" customWidth="1"/>
    <col min="3582" max="3582" width="81" style="36" customWidth="1"/>
    <col min="3583" max="3583" width="14.85546875" style="36" customWidth="1"/>
    <col min="3584" max="3584" width="15.7109375" style="36" customWidth="1"/>
    <col min="3585" max="3585" width="17.5703125" style="36" customWidth="1"/>
    <col min="3586" max="3586" width="18.42578125" style="36" customWidth="1"/>
    <col min="3587" max="3587" width="16.5703125" style="36" customWidth="1"/>
    <col min="3588" max="3588" width="17.7109375" style="36" customWidth="1"/>
    <col min="3589" max="3589" width="17.85546875" style="36" customWidth="1"/>
    <col min="3590" max="3590" width="18.42578125" style="36" customWidth="1"/>
    <col min="3591" max="3591" width="15.42578125" style="36" customWidth="1"/>
    <col min="3592" max="3592" width="14.5703125" style="36" customWidth="1"/>
    <col min="3593" max="3593" width="15" style="36" customWidth="1"/>
    <col min="3594" max="3594" width="6.7109375" style="36" customWidth="1"/>
    <col min="3595" max="3595" width="14.28515625" style="36" customWidth="1"/>
    <col min="3596" max="3596" width="17.5703125" style="36" customWidth="1"/>
    <col min="3597" max="3597" width="27.7109375" style="36" customWidth="1"/>
    <col min="3598" max="3600" width="9.140625" style="36" customWidth="1"/>
    <col min="3601" max="3601" width="14.85546875" style="36" customWidth="1"/>
    <col min="3602" max="3602" width="13.85546875" style="36" customWidth="1"/>
    <col min="3603" max="3824" width="9.140625" style="36" customWidth="1"/>
    <col min="3825" max="3825" width="9.140625" style="36"/>
    <col min="3826" max="3826" width="6.5703125" style="36" customWidth="1"/>
    <col min="3827" max="3827" width="79.5703125" style="36" customWidth="1"/>
    <col min="3828" max="3828" width="23.5703125" style="36" customWidth="1"/>
    <col min="3829" max="3829" width="27.85546875" style="36" customWidth="1"/>
    <col min="3830" max="3830" width="22.28515625" style="36" customWidth="1"/>
    <col min="3831" max="3831" width="23.5703125" style="36" customWidth="1"/>
    <col min="3832" max="3832" width="39" style="36" customWidth="1"/>
    <col min="3833" max="3833" width="36.42578125" style="36" customWidth="1"/>
    <col min="3834" max="3834" width="8" style="36" customWidth="1"/>
    <col min="3835" max="3835" width="15.5703125" style="36" customWidth="1"/>
    <col min="3836" max="3836" width="17.28515625" style="36" customWidth="1"/>
    <col min="3837" max="3837" width="18.85546875" style="36" customWidth="1"/>
    <col min="3838" max="3838" width="81" style="36" customWidth="1"/>
    <col min="3839" max="3839" width="14.85546875" style="36" customWidth="1"/>
    <col min="3840" max="3840" width="15.7109375" style="36" customWidth="1"/>
    <col min="3841" max="3841" width="17.5703125" style="36" customWidth="1"/>
    <col min="3842" max="3842" width="18.42578125" style="36" customWidth="1"/>
    <col min="3843" max="3843" width="16.5703125" style="36" customWidth="1"/>
    <col min="3844" max="3844" width="17.7109375" style="36" customWidth="1"/>
    <col min="3845" max="3845" width="17.85546875" style="36" customWidth="1"/>
    <col min="3846" max="3846" width="18.42578125" style="36" customWidth="1"/>
    <col min="3847" max="3847" width="15.42578125" style="36" customWidth="1"/>
    <col min="3848" max="3848" width="14.5703125" style="36" customWidth="1"/>
    <col min="3849" max="3849" width="15" style="36" customWidth="1"/>
    <col min="3850" max="3850" width="6.7109375" style="36" customWidth="1"/>
    <col min="3851" max="3851" width="14.28515625" style="36" customWidth="1"/>
    <col min="3852" max="3852" width="17.5703125" style="36" customWidth="1"/>
    <col min="3853" max="3853" width="27.7109375" style="36" customWidth="1"/>
    <col min="3854" max="3856" width="9.140625" style="36" customWidth="1"/>
    <col min="3857" max="3857" width="14.85546875" style="36" customWidth="1"/>
    <col min="3858" max="3858" width="13.85546875" style="36" customWidth="1"/>
    <col min="3859" max="4080" width="9.140625" style="36" customWidth="1"/>
    <col min="4081" max="4081" width="9.140625" style="36"/>
    <col min="4082" max="4082" width="6.5703125" style="36" customWidth="1"/>
    <col min="4083" max="4083" width="79.5703125" style="36" customWidth="1"/>
    <col min="4084" max="4084" width="23.5703125" style="36" customWidth="1"/>
    <col min="4085" max="4085" width="27.85546875" style="36" customWidth="1"/>
    <col min="4086" max="4086" width="22.28515625" style="36" customWidth="1"/>
    <col min="4087" max="4087" width="23.5703125" style="36" customWidth="1"/>
    <col min="4088" max="4088" width="39" style="36" customWidth="1"/>
    <col min="4089" max="4089" width="36.42578125" style="36" customWidth="1"/>
    <col min="4090" max="4090" width="8" style="36" customWidth="1"/>
    <col min="4091" max="4091" width="15.5703125" style="36" customWidth="1"/>
    <col min="4092" max="4092" width="17.28515625" style="36" customWidth="1"/>
    <col min="4093" max="4093" width="18.85546875" style="36" customWidth="1"/>
    <col min="4094" max="4094" width="81" style="36" customWidth="1"/>
    <col min="4095" max="4095" width="14.85546875" style="36" customWidth="1"/>
    <col min="4096" max="4096" width="15.7109375" style="36" customWidth="1"/>
    <col min="4097" max="4097" width="17.5703125" style="36" customWidth="1"/>
    <col min="4098" max="4098" width="18.42578125" style="36" customWidth="1"/>
    <col min="4099" max="4099" width="16.5703125" style="36" customWidth="1"/>
    <col min="4100" max="4100" width="17.7109375" style="36" customWidth="1"/>
    <col min="4101" max="4101" width="17.85546875" style="36" customWidth="1"/>
    <col min="4102" max="4102" width="18.42578125" style="36" customWidth="1"/>
    <col min="4103" max="4103" width="15.42578125" style="36" customWidth="1"/>
    <col min="4104" max="4104" width="14.5703125" style="36" customWidth="1"/>
    <col min="4105" max="4105" width="15" style="36" customWidth="1"/>
    <col min="4106" max="4106" width="6.7109375" style="36" customWidth="1"/>
    <col min="4107" max="4107" width="14.28515625" style="36" customWidth="1"/>
    <col min="4108" max="4108" width="17.5703125" style="36" customWidth="1"/>
    <col min="4109" max="4109" width="27.7109375" style="36" customWidth="1"/>
    <col min="4110" max="4112" width="9.140625" style="36" customWidth="1"/>
    <col min="4113" max="4113" width="14.85546875" style="36" customWidth="1"/>
    <col min="4114" max="4114" width="13.85546875" style="36" customWidth="1"/>
    <col min="4115" max="4336" width="9.140625" style="36" customWidth="1"/>
    <col min="4337" max="4337" width="9.140625" style="36"/>
    <col min="4338" max="4338" width="6.5703125" style="36" customWidth="1"/>
    <col min="4339" max="4339" width="79.5703125" style="36" customWidth="1"/>
    <col min="4340" max="4340" width="23.5703125" style="36" customWidth="1"/>
    <col min="4341" max="4341" width="27.85546875" style="36" customWidth="1"/>
    <col min="4342" max="4342" width="22.28515625" style="36" customWidth="1"/>
    <col min="4343" max="4343" width="23.5703125" style="36" customWidth="1"/>
    <col min="4344" max="4344" width="39" style="36" customWidth="1"/>
    <col min="4345" max="4345" width="36.42578125" style="36" customWidth="1"/>
    <col min="4346" max="4346" width="8" style="36" customWidth="1"/>
    <col min="4347" max="4347" width="15.5703125" style="36" customWidth="1"/>
    <col min="4348" max="4348" width="17.28515625" style="36" customWidth="1"/>
    <col min="4349" max="4349" width="18.85546875" style="36" customWidth="1"/>
    <col min="4350" max="4350" width="81" style="36" customWidth="1"/>
    <col min="4351" max="4351" width="14.85546875" style="36" customWidth="1"/>
    <col min="4352" max="4352" width="15.7109375" style="36" customWidth="1"/>
    <col min="4353" max="4353" width="17.5703125" style="36" customWidth="1"/>
    <col min="4354" max="4354" width="18.42578125" style="36" customWidth="1"/>
    <col min="4355" max="4355" width="16.5703125" style="36" customWidth="1"/>
    <col min="4356" max="4356" width="17.7109375" style="36" customWidth="1"/>
    <col min="4357" max="4357" width="17.85546875" style="36" customWidth="1"/>
    <col min="4358" max="4358" width="18.42578125" style="36" customWidth="1"/>
    <col min="4359" max="4359" width="15.42578125" style="36" customWidth="1"/>
    <col min="4360" max="4360" width="14.5703125" style="36" customWidth="1"/>
    <col min="4361" max="4361" width="15" style="36" customWidth="1"/>
    <col min="4362" max="4362" width="6.7109375" style="36" customWidth="1"/>
    <col min="4363" max="4363" width="14.28515625" style="36" customWidth="1"/>
    <col min="4364" max="4364" width="17.5703125" style="36" customWidth="1"/>
    <col min="4365" max="4365" width="27.7109375" style="36" customWidth="1"/>
    <col min="4366" max="4368" width="9.140625" style="36" customWidth="1"/>
    <col min="4369" max="4369" width="14.85546875" style="36" customWidth="1"/>
    <col min="4370" max="4370" width="13.85546875" style="36" customWidth="1"/>
    <col min="4371" max="4592" width="9.140625" style="36" customWidth="1"/>
    <col min="4593" max="4593" width="9.140625" style="36"/>
    <col min="4594" max="4594" width="6.5703125" style="36" customWidth="1"/>
    <col min="4595" max="4595" width="79.5703125" style="36" customWidth="1"/>
    <col min="4596" max="4596" width="23.5703125" style="36" customWidth="1"/>
    <col min="4597" max="4597" width="27.85546875" style="36" customWidth="1"/>
    <col min="4598" max="4598" width="22.28515625" style="36" customWidth="1"/>
    <col min="4599" max="4599" width="23.5703125" style="36" customWidth="1"/>
    <col min="4600" max="4600" width="39" style="36" customWidth="1"/>
    <col min="4601" max="4601" width="36.42578125" style="36" customWidth="1"/>
    <col min="4602" max="4602" width="8" style="36" customWidth="1"/>
    <col min="4603" max="4603" width="15.5703125" style="36" customWidth="1"/>
    <col min="4604" max="4604" width="17.28515625" style="36" customWidth="1"/>
    <col min="4605" max="4605" width="18.85546875" style="36" customWidth="1"/>
    <col min="4606" max="4606" width="81" style="36" customWidth="1"/>
    <col min="4607" max="4607" width="14.85546875" style="36" customWidth="1"/>
    <col min="4608" max="4608" width="15.7109375" style="36" customWidth="1"/>
    <col min="4609" max="4609" width="17.5703125" style="36" customWidth="1"/>
    <col min="4610" max="4610" width="18.42578125" style="36" customWidth="1"/>
    <col min="4611" max="4611" width="16.5703125" style="36" customWidth="1"/>
    <col min="4612" max="4612" width="17.7109375" style="36" customWidth="1"/>
    <col min="4613" max="4613" width="17.85546875" style="36" customWidth="1"/>
    <col min="4614" max="4614" width="18.42578125" style="36" customWidth="1"/>
    <col min="4615" max="4615" width="15.42578125" style="36" customWidth="1"/>
    <col min="4616" max="4616" width="14.5703125" style="36" customWidth="1"/>
    <col min="4617" max="4617" width="15" style="36" customWidth="1"/>
    <col min="4618" max="4618" width="6.7109375" style="36" customWidth="1"/>
    <col min="4619" max="4619" width="14.28515625" style="36" customWidth="1"/>
    <col min="4620" max="4620" width="17.5703125" style="36" customWidth="1"/>
    <col min="4621" max="4621" width="27.7109375" style="36" customWidth="1"/>
    <col min="4622" max="4624" width="9.140625" style="36" customWidth="1"/>
    <col min="4625" max="4625" width="14.85546875" style="36" customWidth="1"/>
    <col min="4626" max="4626" width="13.85546875" style="36" customWidth="1"/>
    <col min="4627" max="4848" width="9.140625" style="36" customWidth="1"/>
    <col min="4849" max="4849" width="9.140625" style="36"/>
    <col min="4850" max="4850" width="6.5703125" style="36" customWidth="1"/>
    <col min="4851" max="4851" width="79.5703125" style="36" customWidth="1"/>
    <col min="4852" max="4852" width="23.5703125" style="36" customWidth="1"/>
    <col min="4853" max="4853" width="27.85546875" style="36" customWidth="1"/>
    <col min="4854" max="4854" width="22.28515625" style="36" customWidth="1"/>
    <col min="4855" max="4855" width="23.5703125" style="36" customWidth="1"/>
    <col min="4856" max="4856" width="39" style="36" customWidth="1"/>
    <col min="4857" max="4857" width="36.42578125" style="36" customWidth="1"/>
    <col min="4858" max="4858" width="8" style="36" customWidth="1"/>
    <col min="4859" max="4859" width="15.5703125" style="36" customWidth="1"/>
    <col min="4860" max="4860" width="17.28515625" style="36" customWidth="1"/>
    <col min="4861" max="4861" width="18.85546875" style="36" customWidth="1"/>
    <col min="4862" max="4862" width="81" style="36" customWidth="1"/>
    <col min="4863" max="4863" width="14.85546875" style="36" customWidth="1"/>
    <col min="4864" max="4864" width="15.7109375" style="36" customWidth="1"/>
    <col min="4865" max="4865" width="17.5703125" style="36" customWidth="1"/>
    <col min="4866" max="4866" width="18.42578125" style="36" customWidth="1"/>
    <col min="4867" max="4867" width="16.5703125" style="36" customWidth="1"/>
    <col min="4868" max="4868" width="17.7109375" style="36" customWidth="1"/>
    <col min="4869" max="4869" width="17.85546875" style="36" customWidth="1"/>
    <col min="4870" max="4870" width="18.42578125" style="36" customWidth="1"/>
    <col min="4871" max="4871" width="15.42578125" style="36" customWidth="1"/>
    <col min="4872" max="4872" width="14.5703125" style="36" customWidth="1"/>
    <col min="4873" max="4873" width="15" style="36" customWidth="1"/>
    <col min="4874" max="4874" width="6.7109375" style="36" customWidth="1"/>
    <col min="4875" max="4875" width="14.28515625" style="36" customWidth="1"/>
    <col min="4876" max="4876" width="17.5703125" style="36" customWidth="1"/>
    <col min="4877" max="4877" width="27.7109375" style="36" customWidth="1"/>
    <col min="4878" max="4880" width="9.140625" style="36" customWidth="1"/>
    <col min="4881" max="4881" width="14.85546875" style="36" customWidth="1"/>
    <col min="4882" max="4882" width="13.85546875" style="36" customWidth="1"/>
    <col min="4883" max="5104" width="9.140625" style="36" customWidth="1"/>
    <col min="5105" max="5105" width="9.140625" style="36"/>
    <col min="5106" max="5106" width="6.5703125" style="36" customWidth="1"/>
    <col min="5107" max="5107" width="79.5703125" style="36" customWidth="1"/>
    <col min="5108" max="5108" width="23.5703125" style="36" customWidth="1"/>
    <col min="5109" max="5109" width="27.85546875" style="36" customWidth="1"/>
    <col min="5110" max="5110" width="22.28515625" style="36" customWidth="1"/>
    <col min="5111" max="5111" width="23.5703125" style="36" customWidth="1"/>
    <col min="5112" max="5112" width="39" style="36" customWidth="1"/>
    <col min="5113" max="5113" width="36.42578125" style="36" customWidth="1"/>
    <col min="5114" max="5114" width="8" style="36" customWidth="1"/>
    <col min="5115" max="5115" width="15.5703125" style="36" customWidth="1"/>
    <col min="5116" max="5116" width="17.28515625" style="36" customWidth="1"/>
    <col min="5117" max="5117" width="18.85546875" style="36" customWidth="1"/>
    <col min="5118" max="5118" width="81" style="36" customWidth="1"/>
    <col min="5119" max="5119" width="14.85546875" style="36" customWidth="1"/>
    <col min="5120" max="5120" width="15.7109375" style="36" customWidth="1"/>
    <col min="5121" max="5121" width="17.5703125" style="36" customWidth="1"/>
    <col min="5122" max="5122" width="18.42578125" style="36" customWidth="1"/>
    <col min="5123" max="5123" width="16.5703125" style="36" customWidth="1"/>
    <col min="5124" max="5124" width="17.7109375" style="36" customWidth="1"/>
    <col min="5125" max="5125" width="17.85546875" style="36" customWidth="1"/>
    <col min="5126" max="5126" width="18.42578125" style="36" customWidth="1"/>
    <col min="5127" max="5127" width="15.42578125" style="36" customWidth="1"/>
    <col min="5128" max="5128" width="14.5703125" style="36" customWidth="1"/>
    <col min="5129" max="5129" width="15" style="36" customWidth="1"/>
    <col min="5130" max="5130" width="6.7109375" style="36" customWidth="1"/>
    <col min="5131" max="5131" width="14.28515625" style="36" customWidth="1"/>
    <col min="5132" max="5132" width="17.5703125" style="36" customWidth="1"/>
    <col min="5133" max="5133" width="27.7109375" style="36" customWidth="1"/>
    <col min="5134" max="5136" width="9.140625" style="36" customWidth="1"/>
    <col min="5137" max="5137" width="14.85546875" style="36" customWidth="1"/>
    <col min="5138" max="5138" width="13.85546875" style="36" customWidth="1"/>
    <col min="5139" max="5360" width="9.140625" style="36" customWidth="1"/>
    <col min="5361" max="5361" width="9.140625" style="36"/>
    <col min="5362" max="5362" width="6.5703125" style="36" customWidth="1"/>
    <col min="5363" max="5363" width="79.5703125" style="36" customWidth="1"/>
    <col min="5364" max="5364" width="23.5703125" style="36" customWidth="1"/>
    <col min="5365" max="5365" width="27.85546875" style="36" customWidth="1"/>
    <col min="5366" max="5366" width="22.28515625" style="36" customWidth="1"/>
    <col min="5367" max="5367" width="23.5703125" style="36" customWidth="1"/>
    <col min="5368" max="5368" width="39" style="36" customWidth="1"/>
    <col min="5369" max="5369" width="36.42578125" style="36" customWidth="1"/>
    <col min="5370" max="5370" width="8" style="36" customWidth="1"/>
    <col min="5371" max="5371" width="15.5703125" style="36" customWidth="1"/>
    <col min="5372" max="5372" width="17.28515625" style="36" customWidth="1"/>
    <col min="5373" max="5373" width="18.85546875" style="36" customWidth="1"/>
    <col min="5374" max="5374" width="81" style="36" customWidth="1"/>
    <col min="5375" max="5375" width="14.85546875" style="36" customWidth="1"/>
    <col min="5376" max="5376" width="15.7109375" style="36" customWidth="1"/>
    <col min="5377" max="5377" width="17.5703125" style="36" customWidth="1"/>
    <col min="5378" max="5378" width="18.42578125" style="36" customWidth="1"/>
    <col min="5379" max="5379" width="16.5703125" style="36" customWidth="1"/>
    <col min="5380" max="5380" width="17.7109375" style="36" customWidth="1"/>
    <col min="5381" max="5381" width="17.85546875" style="36" customWidth="1"/>
    <col min="5382" max="5382" width="18.42578125" style="36" customWidth="1"/>
    <col min="5383" max="5383" width="15.42578125" style="36" customWidth="1"/>
    <col min="5384" max="5384" width="14.5703125" style="36" customWidth="1"/>
    <col min="5385" max="5385" width="15" style="36" customWidth="1"/>
    <col min="5386" max="5386" width="6.7109375" style="36" customWidth="1"/>
    <col min="5387" max="5387" width="14.28515625" style="36" customWidth="1"/>
    <col min="5388" max="5388" width="17.5703125" style="36" customWidth="1"/>
    <col min="5389" max="5389" width="27.7109375" style="36" customWidth="1"/>
    <col min="5390" max="5392" width="9.140625" style="36" customWidth="1"/>
    <col min="5393" max="5393" width="14.85546875" style="36" customWidth="1"/>
    <col min="5394" max="5394" width="13.85546875" style="36" customWidth="1"/>
    <col min="5395" max="5616" width="9.140625" style="36" customWidth="1"/>
    <col min="5617" max="5617" width="9.140625" style="36"/>
    <col min="5618" max="5618" width="6.5703125" style="36" customWidth="1"/>
    <col min="5619" max="5619" width="79.5703125" style="36" customWidth="1"/>
    <col min="5620" max="5620" width="23.5703125" style="36" customWidth="1"/>
    <col min="5621" max="5621" width="27.85546875" style="36" customWidth="1"/>
    <col min="5622" max="5622" width="22.28515625" style="36" customWidth="1"/>
    <col min="5623" max="5623" width="23.5703125" style="36" customWidth="1"/>
    <col min="5624" max="5624" width="39" style="36" customWidth="1"/>
    <col min="5625" max="5625" width="36.42578125" style="36" customWidth="1"/>
    <col min="5626" max="5626" width="8" style="36" customWidth="1"/>
    <col min="5627" max="5627" width="15.5703125" style="36" customWidth="1"/>
    <col min="5628" max="5628" width="17.28515625" style="36" customWidth="1"/>
    <col min="5629" max="5629" width="18.85546875" style="36" customWidth="1"/>
    <col min="5630" max="5630" width="81" style="36" customWidth="1"/>
    <col min="5631" max="5631" width="14.85546875" style="36" customWidth="1"/>
    <col min="5632" max="5632" width="15.7109375" style="36" customWidth="1"/>
    <col min="5633" max="5633" width="17.5703125" style="36" customWidth="1"/>
    <col min="5634" max="5634" width="18.42578125" style="36" customWidth="1"/>
    <col min="5635" max="5635" width="16.5703125" style="36" customWidth="1"/>
    <col min="5636" max="5636" width="17.7109375" style="36" customWidth="1"/>
    <col min="5637" max="5637" width="17.85546875" style="36" customWidth="1"/>
    <col min="5638" max="5638" width="18.42578125" style="36" customWidth="1"/>
    <col min="5639" max="5639" width="15.42578125" style="36" customWidth="1"/>
    <col min="5640" max="5640" width="14.5703125" style="36" customWidth="1"/>
    <col min="5641" max="5641" width="15" style="36" customWidth="1"/>
    <col min="5642" max="5642" width="6.7109375" style="36" customWidth="1"/>
    <col min="5643" max="5643" width="14.28515625" style="36" customWidth="1"/>
    <col min="5644" max="5644" width="17.5703125" style="36" customWidth="1"/>
    <col min="5645" max="5645" width="27.7109375" style="36" customWidth="1"/>
    <col min="5646" max="5648" width="9.140625" style="36" customWidth="1"/>
    <col min="5649" max="5649" width="14.85546875" style="36" customWidth="1"/>
    <col min="5650" max="5650" width="13.85546875" style="36" customWidth="1"/>
    <col min="5651" max="5872" width="9.140625" style="36" customWidth="1"/>
    <col min="5873" max="5873" width="9.140625" style="36"/>
    <col min="5874" max="5874" width="6.5703125" style="36" customWidth="1"/>
    <col min="5875" max="5875" width="79.5703125" style="36" customWidth="1"/>
    <col min="5876" max="5876" width="23.5703125" style="36" customWidth="1"/>
    <col min="5877" max="5877" width="27.85546875" style="36" customWidth="1"/>
    <col min="5878" max="5878" width="22.28515625" style="36" customWidth="1"/>
    <col min="5879" max="5879" width="23.5703125" style="36" customWidth="1"/>
    <col min="5880" max="5880" width="39" style="36" customWidth="1"/>
    <col min="5881" max="5881" width="36.42578125" style="36" customWidth="1"/>
    <col min="5882" max="5882" width="8" style="36" customWidth="1"/>
    <col min="5883" max="5883" width="15.5703125" style="36" customWidth="1"/>
    <col min="5884" max="5884" width="17.28515625" style="36" customWidth="1"/>
    <col min="5885" max="5885" width="18.85546875" style="36" customWidth="1"/>
    <col min="5886" max="5886" width="81" style="36" customWidth="1"/>
    <col min="5887" max="5887" width="14.85546875" style="36" customWidth="1"/>
    <col min="5888" max="5888" width="15.7109375" style="36" customWidth="1"/>
    <col min="5889" max="5889" width="17.5703125" style="36" customWidth="1"/>
    <col min="5890" max="5890" width="18.42578125" style="36" customWidth="1"/>
    <col min="5891" max="5891" width="16.5703125" style="36" customWidth="1"/>
    <col min="5892" max="5892" width="17.7109375" style="36" customWidth="1"/>
    <col min="5893" max="5893" width="17.85546875" style="36" customWidth="1"/>
    <col min="5894" max="5894" width="18.42578125" style="36" customWidth="1"/>
    <col min="5895" max="5895" width="15.42578125" style="36" customWidth="1"/>
    <col min="5896" max="5896" width="14.5703125" style="36" customWidth="1"/>
    <col min="5897" max="5897" width="15" style="36" customWidth="1"/>
    <col min="5898" max="5898" width="6.7109375" style="36" customWidth="1"/>
    <col min="5899" max="5899" width="14.28515625" style="36" customWidth="1"/>
    <col min="5900" max="5900" width="17.5703125" style="36" customWidth="1"/>
    <col min="5901" max="5901" width="27.7109375" style="36" customWidth="1"/>
    <col min="5902" max="5904" width="9.140625" style="36" customWidth="1"/>
    <col min="5905" max="5905" width="14.85546875" style="36" customWidth="1"/>
    <col min="5906" max="5906" width="13.85546875" style="36" customWidth="1"/>
    <col min="5907" max="6128" width="9.140625" style="36" customWidth="1"/>
    <col min="6129" max="6129" width="9.140625" style="36"/>
    <col min="6130" max="6130" width="6.5703125" style="36" customWidth="1"/>
    <col min="6131" max="6131" width="79.5703125" style="36" customWidth="1"/>
    <col min="6132" max="6132" width="23.5703125" style="36" customWidth="1"/>
    <col min="6133" max="6133" width="27.85546875" style="36" customWidth="1"/>
    <col min="6134" max="6134" width="22.28515625" style="36" customWidth="1"/>
    <col min="6135" max="6135" width="23.5703125" style="36" customWidth="1"/>
    <col min="6136" max="6136" width="39" style="36" customWidth="1"/>
    <col min="6137" max="6137" width="36.42578125" style="36" customWidth="1"/>
    <col min="6138" max="6138" width="8" style="36" customWidth="1"/>
    <col min="6139" max="6139" width="15.5703125" style="36" customWidth="1"/>
    <col min="6140" max="6140" width="17.28515625" style="36" customWidth="1"/>
    <col min="6141" max="6141" width="18.85546875" style="36" customWidth="1"/>
    <col min="6142" max="6142" width="81" style="36" customWidth="1"/>
    <col min="6143" max="6143" width="14.85546875" style="36" customWidth="1"/>
    <col min="6144" max="6144" width="15.7109375" style="36" customWidth="1"/>
    <col min="6145" max="6145" width="17.5703125" style="36" customWidth="1"/>
    <col min="6146" max="6146" width="18.42578125" style="36" customWidth="1"/>
    <col min="6147" max="6147" width="16.5703125" style="36" customWidth="1"/>
    <col min="6148" max="6148" width="17.7109375" style="36" customWidth="1"/>
    <col min="6149" max="6149" width="17.85546875" style="36" customWidth="1"/>
    <col min="6150" max="6150" width="18.42578125" style="36" customWidth="1"/>
    <col min="6151" max="6151" width="15.42578125" style="36" customWidth="1"/>
    <col min="6152" max="6152" width="14.5703125" style="36" customWidth="1"/>
    <col min="6153" max="6153" width="15" style="36" customWidth="1"/>
    <col min="6154" max="6154" width="6.7109375" style="36" customWidth="1"/>
    <col min="6155" max="6155" width="14.28515625" style="36" customWidth="1"/>
    <col min="6156" max="6156" width="17.5703125" style="36" customWidth="1"/>
    <col min="6157" max="6157" width="27.7109375" style="36" customWidth="1"/>
    <col min="6158" max="6160" width="9.140625" style="36" customWidth="1"/>
    <col min="6161" max="6161" width="14.85546875" style="36" customWidth="1"/>
    <col min="6162" max="6162" width="13.85546875" style="36" customWidth="1"/>
    <col min="6163" max="6384" width="9.140625" style="36" customWidth="1"/>
    <col min="6385" max="6385" width="9.140625" style="36"/>
    <col min="6386" max="6386" width="6.5703125" style="36" customWidth="1"/>
    <col min="6387" max="6387" width="79.5703125" style="36" customWidth="1"/>
    <col min="6388" max="6388" width="23.5703125" style="36" customWidth="1"/>
    <col min="6389" max="6389" width="27.85546875" style="36" customWidth="1"/>
    <col min="6390" max="6390" width="22.28515625" style="36" customWidth="1"/>
    <col min="6391" max="6391" width="23.5703125" style="36" customWidth="1"/>
    <col min="6392" max="6392" width="39" style="36" customWidth="1"/>
    <col min="6393" max="6393" width="36.42578125" style="36" customWidth="1"/>
    <col min="6394" max="6394" width="8" style="36" customWidth="1"/>
    <col min="6395" max="6395" width="15.5703125" style="36" customWidth="1"/>
    <col min="6396" max="6396" width="17.28515625" style="36" customWidth="1"/>
    <col min="6397" max="6397" width="18.85546875" style="36" customWidth="1"/>
    <col min="6398" max="6398" width="81" style="36" customWidth="1"/>
    <col min="6399" max="6399" width="14.85546875" style="36" customWidth="1"/>
    <col min="6400" max="6400" width="15.7109375" style="36" customWidth="1"/>
    <col min="6401" max="6401" width="17.5703125" style="36" customWidth="1"/>
    <col min="6402" max="6402" width="18.42578125" style="36" customWidth="1"/>
    <col min="6403" max="6403" width="16.5703125" style="36" customWidth="1"/>
    <col min="6404" max="6404" width="17.7109375" style="36" customWidth="1"/>
    <col min="6405" max="6405" width="17.85546875" style="36" customWidth="1"/>
    <col min="6406" max="6406" width="18.42578125" style="36" customWidth="1"/>
    <col min="6407" max="6407" width="15.42578125" style="36" customWidth="1"/>
    <col min="6408" max="6408" width="14.5703125" style="36" customWidth="1"/>
    <col min="6409" max="6409" width="15" style="36" customWidth="1"/>
    <col min="6410" max="6410" width="6.7109375" style="36" customWidth="1"/>
    <col min="6411" max="6411" width="14.28515625" style="36" customWidth="1"/>
    <col min="6412" max="6412" width="17.5703125" style="36" customWidth="1"/>
    <col min="6413" max="6413" width="27.7109375" style="36" customWidth="1"/>
    <col min="6414" max="6416" width="9.140625" style="36" customWidth="1"/>
    <col min="6417" max="6417" width="14.85546875" style="36" customWidth="1"/>
    <col min="6418" max="6418" width="13.85546875" style="36" customWidth="1"/>
    <col min="6419" max="6640" width="9.140625" style="36" customWidth="1"/>
    <col min="6641" max="6641" width="9.140625" style="36"/>
    <col min="6642" max="6642" width="6.5703125" style="36" customWidth="1"/>
    <col min="6643" max="6643" width="79.5703125" style="36" customWidth="1"/>
    <col min="6644" max="6644" width="23.5703125" style="36" customWidth="1"/>
    <col min="6645" max="6645" width="27.85546875" style="36" customWidth="1"/>
    <col min="6646" max="6646" width="22.28515625" style="36" customWidth="1"/>
    <col min="6647" max="6647" width="23.5703125" style="36" customWidth="1"/>
    <col min="6648" max="6648" width="39" style="36" customWidth="1"/>
    <col min="6649" max="6649" width="36.42578125" style="36" customWidth="1"/>
    <col min="6650" max="6650" width="8" style="36" customWidth="1"/>
    <col min="6651" max="6651" width="15.5703125" style="36" customWidth="1"/>
    <col min="6652" max="6652" width="17.28515625" style="36" customWidth="1"/>
    <col min="6653" max="6653" width="18.85546875" style="36" customWidth="1"/>
    <col min="6654" max="6654" width="81" style="36" customWidth="1"/>
    <col min="6655" max="6655" width="14.85546875" style="36" customWidth="1"/>
    <col min="6656" max="6656" width="15.7109375" style="36" customWidth="1"/>
    <col min="6657" max="6657" width="17.5703125" style="36" customWidth="1"/>
    <col min="6658" max="6658" width="18.42578125" style="36" customWidth="1"/>
    <col min="6659" max="6659" width="16.5703125" style="36" customWidth="1"/>
    <col min="6660" max="6660" width="17.7109375" style="36" customWidth="1"/>
    <col min="6661" max="6661" width="17.85546875" style="36" customWidth="1"/>
    <col min="6662" max="6662" width="18.42578125" style="36" customWidth="1"/>
    <col min="6663" max="6663" width="15.42578125" style="36" customWidth="1"/>
    <col min="6664" max="6664" width="14.5703125" style="36" customWidth="1"/>
    <col min="6665" max="6665" width="15" style="36" customWidth="1"/>
    <col min="6666" max="6666" width="6.7109375" style="36" customWidth="1"/>
    <col min="6667" max="6667" width="14.28515625" style="36" customWidth="1"/>
    <col min="6668" max="6668" width="17.5703125" style="36" customWidth="1"/>
    <col min="6669" max="6669" width="27.7109375" style="36" customWidth="1"/>
    <col min="6670" max="6672" width="9.140625" style="36" customWidth="1"/>
    <col min="6673" max="6673" width="14.85546875" style="36" customWidth="1"/>
    <col min="6674" max="6674" width="13.85546875" style="36" customWidth="1"/>
    <col min="6675" max="6896" width="9.140625" style="36" customWidth="1"/>
    <col min="6897" max="6897" width="9.140625" style="36"/>
    <col min="6898" max="6898" width="6.5703125" style="36" customWidth="1"/>
    <col min="6899" max="6899" width="79.5703125" style="36" customWidth="1"/>
    <col min="6900" max="6900" width="23.5703125" style="36" customWidth="1"/>
    <col min="6901" max="6901" width="27.85546875" style="36" customWidth="1"/>
    <col min="6902" max="6902" width="22.28515625" style="36" customWidth="1"/>
    <col min="6903" max="6903" width="23.5703125" style="36" customWidth="1"/>
    <col min="6904" max="6904" width="39" style="36" customWidth="1"/>
    <col min="6905" max="6905" width="36.42578125" style="36" customWidth="1"/>
    <col min="6906" max="6906" width="8" style="36" customWidth="1"/>
    <col min="6907" max="6907" width="15.5703125" style="36" customWidth="1"/>
    <col min="6908" max="6908" width="17.28515625" style="36" customWidth="1"/>
    <col min="6909" max="6909" width="18.85546875" style="36" customWidth="1"/>
    <col min="6910" max="6910" width="81" style="36" customWidth="1"/>
    <col min="6911" max="6911" width="14.85546875" style="36" customWidth="1"/>
    <col min="6912" max="6912" width="15.7109375" style="36" customWidth="1"/>
    <col min="6913" max="6913" width="17.5703125" style="36" customWidth="1"/>
    <col min="6914" max="6914" width="18.42578125" style="36" customWidth="1"/>
    <col min="6915" max="6915" width="16.5703125" style="36" customWidth="1"/>
    <col min="6916" max="6916" width="17.7109375" style="36" customWidth="1"/>
    <col min="6917" max="6917" width="17.85546875" style="36" customWidth="1"/>
    <col min="6918" max="6918" width="18.42578125" style="36" customWidth="1"/>
    <col min="6919" max="6919" width="15.42578125" style="36" customWidth="1"/>
    <col min="6920" max="6920" width="14.5703125" style="36" customWidth="1"/>
    <col min="6921" max="6921" width="15" style="36" customWidth="1"/>
    <col min="6922" max="6922" width="6.7109375" style="36" customWidth="1"/>
    <col min="6923" max="6923" width="14.28515625" style="36" customWidth="1"/>
    <col min="6924" max="6924" width="17.5703125" style="36" customWidth="1"/>
    <col min="6925" max="6925" width="27.7109375" style="36" customWidth="1"/>
    <col min="6926" max="6928" width="9.140625" style="36" customWidth="1"/>
    <col min="6929" max="6929" width="14.85546875" style="36" customWidth="1"/>
    <col min="6930" max="6930" width="13.85546875" style="36" customWidth="1"/>
    <col min="6931" max="7152" width="9.140625" style="36" customWidth="1"/>
    <col min="7153" max="7153" width="9.140625" style="36"/>
    <col min="7154" max="7154" width="6.5703125" style="36" customWidth="1"/>
    <col min="7155" max="7155" width="79.5703125" style="36" customWidth="1"/>
    <col min="7156" max="7156" width="23.5703125" style="36" customWidth="1"/>
    <col min="7157" max="7157" width="27.85546875" style="36" customWidth="1"/>
    <col min="7158" max="7158" width="22.28515625" style="36" customWidth="1"/>
    <col min="7159" max="7159" width="23.5703125" style="36" customWidth="1"/>
    <col min="7160" max="7160" width="39" style="36" customWidth="1"/>
    <col min="7161" max="7161" width="36.42578125" style="36" customWidth="1"/>
    <col min="7162" max="7162" width="8" style="36" customWidth="1"/>
    <col min="7163" max="7163" width="15.5703125" style="36" customWidth="1"/>
    <col min="7164" max="7164" width="17.28515625" style="36" customWidth="1"/>
    <col min="7165" max="7165" width="18.85546875" style="36" customWidth="1"/>
    <col min="7166" max="7166" width="81" style="36" customWidth="1"/>
    <col min="7167" max="7167" width="14.85546875" style="36" customWidth="1"/>
    <col min="7168" max="7168" width="15.7109375" style="36" customWidth="1"/>
    <col min="7169" max="7169" width="17.5703125" style="36" customWidth="1"/>
    <col min="7170" max="7170" width="18.42578125" style="36" customWidth="1"/>
    <col min="7171" max="7171" width="16.5703125" style="36" customWidth="1"/>
    <col min="7172" max="7172" width="17.7109375" style="36" customWidth="1"/>
    <col min="7173" max="7173" width="17.85546875" style="36" customWidth="1"/>
    <col min="7174" max="7174" width="18.42578125" style="36" customWidth="1"/>
    <col min="7175" max="7175" width="15.42578125" style="36" customWidth="1"/>
    <col min="7176" max="7176" width="14.5703125" style="36" customWidth="1"/>
    <col min="7177" max="7177" width="15" style="36" customWidth="1"/>
    <col min="7178" max="7178" width="6.7109375" style="36" customWidth="1"/>
    <col min="7179" max="7179" width="14.28515625" style="36" customWidth="1"/>
    <col min="7180" max="7180" width="17.5703125" style="36" customWidth="1"/>
    <col min="7181" max="7181" width="27.7109375" style="36" customWidth="1"/>
    <col min="7182" max="7184" width="9.140625" style="36" customWidth="1"/>
    <col min="7185" max="7185" width="14.85546875" style="36" customWidth="1"/>
    <col min="7186" max="7186" width="13.85546875" style="36" customWidth="1"/>
    <col min="7187" max="7408" width="9.140625" style="36" customWidth="1"/>
    <col min="7409" max="7409" width="9.140625" style="36"/>
    <col min="7410" max="7410" width="6.5703125" style="36" customWidth="1"/>
    <col min="7411" max="7411" width="79.5703125" style="36" customWidth="1"/>
    <col min="7412" max="7412" width="23.5703125" style="36" customWidth="1"/>
    <col min="7413" max="7413" width="27.85546875" style="36" customWidth="1"/>
    <col min="7414" max="7414" width="22.28515625" style="36" customWidth="1"/>
    <col min="7415" max="7415" width="23.5703125" style="36" customWidth="1"/>
    <col min="7416" max="7416" width="39" style="36" customWidth="1"/>
    <col min="7417" max="7417" width="36.42578125" style="36" customWidth="1"/>
    <col min="7418" max="7418" width="8" style="36" customWidth="1"/>
    <col min="7419" max="7419" width="15.5703125" style="36" customWidth="1"/>
    <col min="7420" max="7420" width="17.28515625" style="36" customWidth="1"/>
    <col min="7421" max="7421" width="18.85546875" style="36" customWidth="1"/>
    <col min="7422" max="7422" width="81" style="36" customWidth="1"/>
    <col min="7423" max="7423" width="14.85546875" style="36" customWidth="1"/>
    <col min="7424" max="7424" width="15.7109375" style="36" customWidth="1"/>
    <col min="7425" max="7425" width="17.5703125" style="36" customWidth="1"/>
    <col min="7426" max="7426" width="18.42578125" style="36" customWidth="1"/>
    <col min="7427" max="7427" width="16.5703125" style="36" customWidth="1"/>
    <col min="7428" max="7428" width="17.7109375" style="36" customWidth="1"/>
    <col min="7429" max="7429" width="17.85546875" style="36" customWidth="1"/>
    <col min="7430" max="7430" width="18.42578125" style="36" customWidth="1"/>
    <col min="7431" max="7431" width="15.42578125" style="36" customWidth="1"/>
    <col min="7432" max="7432" width="14.5703125" style="36" customWidth="1"/>
    <col min="7433" max="7433" width="15" style="36" customWidth="1"/>
    <col min="7434" max="7434" width="6.7109375" style="36" customWidth="1"/>
    <col min="7435" max="7435" width="14.28515625" style="36" customWidth="1"/>
    <col min="7436" max="7436" width="17.5703125" style="36" customWidth="1"/>
    <col min="7437" max="7437" width="27.7109375" style="36" customWidth="1"/>
    <col min="7438" max="7440" width="9.140625" style="36" customWidth="1"/>
    <col min="7441" max="7441" width="14.85546875" style="36" customWidth="1"/>
    <col min="7442" max="7442" width="13.85546875" style="36" customWidth="1"/>
    <col min="7443" max="7664" width="9.140625" style="36" customWidth="1"/>
    <col min="7665" max="7665" width="9.140625" style="36"/>
    <col min="7666" max="7666" width="6.5703125" style="36" customWidth="1"/>
    <col min="7667" max="7667" width="79.5703125" style="36" customWidth="1"/>
    <col min="7668" max="7668" width="23.5703125" style="36" customWidth="1"/>
    <col min="7669" max="7669" width="27.85546875" style="36" customWidth="1"/>
    <col min="7670" max="7670" width="22.28515625" style="36" customWidth="1"/>
    <col min="7671" max="7671" width="23.5703125" style="36" customWidth="1"/>
    <col min="7672" max="7672" width="39" style="36" customWidth="1"/>
    <col min="7673" max="7673" width="36.42578125" style="36" customWidth="1"/>
    <col min="7674" max="7674" width="8" style="36" customWidth="1"/>
    <col min="7675" max="7675" width="15.5703125" style="36" customWidth="1"/>
    <col min="7676" max="7676" width="17.28515625" style="36" customWidth="1"/>
    <col min="7677" max="7677" width="18.85546875" style="36" customWidth="1"/>
    <col min="7678" max="7678" width="81" style="36" customWidth="1"/>
    <col min="7679" max="7679" width="14.85546875" style="36" customWidth="1"/>
    <col min="7680" max="7680" width="15.7109375" style="36" customWidth="1"/>
    <col min="7681" max="7681" width="17.5703125" style="36" customWidth="1"/>
    <col min="7682" max="7682" width="18.42578125" style="36" customWidth="1"/>
    <col min="7683" max="7683" width="16.5703125" style="36" customWidth="1"/>
    <col min="7684" max="7684" width="17.7109375" style="36" customWidth="1"/>
    <col min="7685" max="7685" width="17.85546875" style="36" customWidth="1"/>
    <col min="7686" max="7686" width="18.42578125" style="36" customWidth="1"/>
    <col min="7687" max="7687" width="15.42578125" style="36" customWidth="1"/>
    <col min="7688" max="7688" width="14.5703125" style="36" customWidth="1"/>
    <col min="7689" max="7689" width="15" style="36" customWidth="1"/>
    <col min="7690" max="7690" width="6.7109375" style="36" customWidth="1"/>
    <col min="7691" max="7691" width="14.28515625" style="36" customWidth="1"/>
    <col min="7692" max="7692" width="17.5703125" style="36" customWidth="1"/>
    <col min="7693" max="7693" width="27.7109375" style="36" customWidth="1"/>
    <col min="7694" max="7696" width="9.140625" style="36" customWidth="1"/>
    <col min="7697" max="7697" width="14.85546875" style="36" customWidth="1"/>
    <col min="7698" max="7698" width="13.85546875" style="36" customWidth="1"/>
    <col min="7699" max="7920" width="9.140625" style="36" customWidth="1"/>
    <col min="7921" max="7921" width="9.140625" style="36"/>
    <col min="7922" max="7922" width="6.5703125" style="36" customWidth="1"/>
    <col min="7923" max="7923" width="79.5703125" style="36" customWidth="1"/>
    <col min="7924" max="7924" width="23.5703125" style="36" customWidth="1"/>
    <col min="7925" max="7925" width="27.85546875" style="36" customWidth="1"/>
    <col min="7926" max="7926" width="22.28515625" style="36" customWidth="1"/>
    <col min="7927" max="7927" width="23.5703125" style="36" customWidth="1"/>
    <col min="7928" max="7928" width="39" style="36" customWidth="1"/>
    <col min="7929" max="7929" width="36.42578125" style="36" customWidth="1"/>
    <col min="7930" max="7930" width="8" style="36" customWidth="1"/>
    <col min="7931" max="7931" width="15.5703125" style="36" customWidth="1"/>
    <col min="7932" max="7932" width="17.28515625" style="36" customWidth="1"/>
    <col min="7933" max="7933" width="18.85546875" style="36" customWidth="1"/>
    <col min="7934" max="7934" width="81" style="36" customWidth="1"/>
    <col min="7935" max="7935" width="14.85546875" style="36" customWidth="1"/>
    <col min="7936" max="7936" width="15.7109375" style="36" customWidth="1"/>
    <col min="7937" max="7937" width="17.5703125" style="36" customWidth="1"/>
    <col min="7938" max="7938" width="18.42578125" style="36" customWidth="1"/>
    <col min="7939" max="7939" width="16.5703125" style="36" customWidth="1"/>
    <col min="7940" max="7940" width="17.7109375" style="36" customWidth="1"/>
    <col min="7941" max="7941" width="17.85546875" style="36" customWidth="1"/>
    <col min="7942" max="7942" width="18.42578125" style="36" customWidth="1"/>
    <col min="7943" max="7943" width="15.42578125" style="36" customWidth="1"/>
    <col min="7944" max="7944" width="14.5703125" style="36" customWidth="1"/>
    <col min="7945" max="7945" width="15" style="36" customWidth="1"/>
    <col min="7946" max="7946" width="6.7109375" style="36" customWidth="1"/>
    <col min="7947" max="7947" width="14.28515625" style="36" customWidth="1"/>
    <col min="7948" max="7948" width="17.5703125" style="36" customWidth="1"/>
    <col min="7949" max="7949" width="27.7109375" style="36" customWidth="1"/>
    <col min="7950" max="7952" width="9.140625" style="36" customWidth="1"/>
    <col min="7953" max="7953" width="14.85546875" style="36" customWidth="1"/>
    <col min="7954" max="7954" width="13.85546875" style="36" customWidth="1"/>
    <col min="7955" max="8176" width="9.140625" style="36" customWidth="1"/>
    <col min="8177" max="8177" width="9.140625" style="36"/>
    <col min="8178" max="8178" width="6.5703125" style="36" customWidth="1"/>
    <col min="8179" max="8179" width="79.5703125" style="36" customWidth="1"/>
    <col min="8180" max="8180" width="23.5703125" style="36" customWidth="1"/>
    <col min="8181" max="8181" width="27.85546875" style="36" customWidth="1"/>
    <col min="8182" max="8182" width="22.28515625" style="36" customWidth="1"/>
    <col min="8183" max="8183" width="23.5703125" style="36" customWidth="1"/>
    <col min="8184" max="8184" width="39" style="36" customWidth="1"/>
    <col min="8185" max="8185" width="36.42578125" style="36" customWidth="1"/>
    <col min="8186" max="8186" width="8" style="36" customWidth="1"/>
    <col min="8187" max="8187" width="15.5703125" style="36" customWidth="1"/>
    <col min="8188" max="8188" width="17.28515625" style="36" customWidth="1"/>
    <col min="8189" max="8189" width="18.85546875" style="36" customWidth="1"/>
    <col min="8190" max="8190" width="81" style="36" customWidth="1"/>
    <col min="8191" max="8191" width="14.85546875" style="36" customWidth="1"/>
    <col min="8192" max="8192" width="15.7109375" style="36" customWidth="1"/>
    <col min="8193" max="8193" width="17.5703125" style="36" customWidth="1"/>
    <col min="8194" max="8194" width="18.42578125" style="36" customWidth="1"/>
    <col min="8195" max="8195" width="16.5703125" style="36" customWidth="1"/>
    <col min="8196" max="8196" width="17.7109375" style="36" customWidth="1"/>
    <col min="8197" max="8197" width="17.85546875" style="36" customWidth="1"/>
    <col min="8198" max="8198" width="18.42578125" style="36" customWidth="1"/>
    <col min="8199" max="8199" width="15.42578125" style="36" customWidth="1"/>
    <col min="8200" max="8200" width="14.5703125" style="36" customWidth="1"/>
    <col min="8201" max="8201" width="15" style="36" customWidth="1"/>
    <col min="8202" max="8202" width="6.7109375" style="36" customWidth="1"/>
    <col min="8203" max="8203" width="14.28515625" style="36" customWidth="1"/>
    <col min="8204" max="8204" width="17.5703125" style="36" customWidth="1"/>
    <col min="8205" max="8205" width="27.7109375" style="36" customWidth="1"/>
    <col min="8206" max="8208" width="9.140625" style="36" customWidth="1"/>
    <col min="8209" max="8209" width="14.85546875" style="36" customWidth="1"/>
    <col min="8210" max="8210" width="13.85546875" style="36" customWidth="1"/>
    <col min="8211" max="8432" width="9.140625" style="36" customWidth="1"/>
    <col min="8433" max="8433" width="9.140625" style="36"/>
    <col min="8434" max="8434" width="6.5703125" style="36" customWidth="1"/>
    <col min="8435" max="8435" width="79.5703125" style="36" customWidth="1"/>
    <col min="8436" max="8436" width="23.5703125" style="36" customWidth="1"/>
    <col min="8437" max="8437" width="27.85546875" style="36" customWidth="1"/>
    <col min="8438" max="8438" width="22.28515625" style="36" customWidth="1"/>
    <col min="8439" max="8439" width="23.5703125" style="36" customWidth="1"/>
    <col min="8440" max="8440" width="39" style="36" customWidth="1"/>
    <col min="8441" max="8441" width="36.42578125" style="36" customWidth="1"/>
    <col min="8442" max="8442" width="8" style="36" customWidth="1"/>
    <col min="8443" max="8443" width="15.5703125" style="36" customWidth="1"/>
    <col min="8444" max="8444" width="17.28515625" style="36" customWidth="1"/>
    <col min="8445" max="8445" width="18.85546875" style="36" customWidth="1"/>
    <col min="8446" max="8446" width="81" style="36" customWidth="1"/>
    <col min="8447" max="8447" width="14.85546875" style="36" customWidth="1"/>
    <col min="8448" max="8448" width="15.7109375" style="36" customWidth="1"/>
    <col min="8449" max="8449" width="17.5703125" style="36" customWidth="1"/>
    <col min="8450" max="8450" width="18.42578125" style="36" customWidth="1"/>
    <col min="8451" max="8451" width="16.5703125" style="36" customWidth="1"/>
    <col min="8452" max="8452" width="17.7109375" style="36" customWidth="1"/>
    <col min="8453" max="8453" width="17.85546875" style="36" customWidth="1"/>
    <col min="8454" max="8454" width="18.42578125" style="36" customWidth="1"/>
    <col min="8455" max="8455" width="15.42578125" style="36" customWidth="1"/>
    <col min="8456" max="8456" width="14.5703125" style="36" customWidth="1"/>
    <col min="8457" max="8457" width="15" style="36" customWidth="1"/>
    <col min="8458" max="8458" width="6.7109375" style="36" customWidth="1"/>
    <col min="8459" max="8459" width="14.28515625" style="36" customWidth="1"/>
    <col min="8460" max="8460" width="17.5703125" style="36" customWidth="1"/>
    <col min="8461" max="8461" width="27.7109375" style="36" customWidth="1"/>
    <col min="8462" max="8464" width="9.140625" style="36" customWidth="1"/>
    <col min="8465" max="8465" width="14.85546875" style="36" customWidth="1"/>
    <col min="8466" max="8466" width="13.85546875" style="36" customWidth="1"/>
    <col min="8467" max="8688" width="9.140625" style="36" customWidth="1"/>
    <col min="8689" max="8689" width="9.140625" style="36"/>
    <col min="8690" max="8690" width="6.5703125" style="36" customWidth="1"/>
    <col min="8691" max="8691" width="79.5703125" style="36" customWidth="1"/>
    <col min="8692" max="8692" width="23.5703125" style="36" customWidth="1"/>
    <col min="8693" max="8693" width="27.85546875" style="36" customWidth="1"/>
    <col min="8694" max="8694" width="22.28515625" style="36" customWidth="1"/>
    <col min="8695" max="8695" width="23.5703125" style="36" customWidth="1"/>
    <col min="8696" max="8696" width="39" style="36" customWidth="1"/>
    <col min="8697" max="8697" width="36.42578125" style="36" customWidth="1"/>
    <col min="8698" max="8698" width="8" style="36" customWidth="1"/>
    <col min="8699" max="8699" width="15.5703125" style="36" customWidth="1"/>
    <col min="8700" max="8700" width="17.28515625" style="36" customWidth="1"/>
    <col min="8701" max="8701" width="18.85546875" style="36" customWidth="1"/>
    <col min="8702" max="8702" width="81" style="36" customWidth="1"/>
    <col min="8703" max="8703" width="14.85546875" style="36" customWidth="1"/>
    <col min="8704" max="8704" width="15.7109375" style="36" customWidth="1"/>
    <col min="8705" max="8705" width="17.5703125" style="36" customWidth="1"/>
    <col min="8706" max="8706" width="18.42578125" style="36" customWidth="1"/>
    <col min="8707" max="8707" width="16.5703125" style="36" customWidth="1"/>
    <col min="8708" max="8708" width="17.7109375" style="36" customWidth="1"/>
    <col min="8709" max="8709" width="17.85546875" style="36" customWidth="1"/>
    <col min="8710" max="8710" width="18.42578125" style="36" customWidth="1"/>
    <col min="8711" max="8711" width="15.42578125" style="36" customWidth="1"/>
    <col min="8712" max="8712" width="14.5703125" style="36" customWidth="1"/>
    <col min="8713" max="8713" width="15" style="36" customWidth="1"/>
    <col min="8714" max="8714" width="6.7109375" style="36" customWidth="1"/>
    <col min="8715" max="8715" width="14.28515625" style="36" customWidth="1"/>
    <col min="8716" max="8716" width="17.5703125" style="36" customWidth="1"/>
    <col min="8717" max="8717" width="27.7109375" style="36" customWidth="1"/>
    <col min="8718" max="8720" width="9.140625" style="36" customWidth="1"/>
    <col min="8721" max="8721" width="14.85546875" style="36" customWidth="1"/>
    <col min="8722" max="8722" width="13.85546875" style="36" customWidth="1"/>
    <col min="8723" max="8944" width="9.140625" style="36" customWidth="1"/>
    <col min="8945" max="8945" width="9.140625" style="36"/>
    <col min="8946" max="8946" width="6.5703125" style="36" customWidth="1"/>
    <col min="8947" max="8947" width="79.5703125" style="36" customWidth="1"/>
    <col min="8948" max="8948" width="23.5703125" style="36" customWidth="1"/>
    <col min="8949" max="8949" width="27.85546875" style="36" customWidth="1"/>
    <col min="8950" max="8950" width="22.28515625" style="36" customWidth="1"/>
    <col min="8951" max="8951" width="23.5703125" style="36" customWidth="1"/>
    <col min="8952" max="8952" width="39" style="36" customWidth="1"/>
    <col min="8953" max="8953" width="36.42578125" style="36" customWidth="1"/>
    <col min="8954" max="8954" width="8" style="36" customWidth="1"/>
    <col min="8955" max="8955" width="15.5703125" style="36" customWidth="1"/>
    <col min="8956" max="8956" width="17.28515625" style="36" customWidth="1"/>
    <col min="8957" max="8957" width="18.85546875" style="36" customWidth="1"/>
    <col min="8958" max="8958" width="81" style="36" customWidth="1"/>
    <col min="8959" max="8959" width="14.85546875" style="36" customWidth="1"/>
    <col min="8960" max="8960" width="15.7109375" style="36" customWidth="1"/>
    <col min="8961" max="8961" width="17.5703125" style="36" customWidth="1"/>
    <col min="8962" max="8962" width="18.42578125" style="36" customWidth="1"/>
    <col min="8963" max="8963" width="16.5703125" style="36" customWidth="1"/>
    <col min="8964" max="8964" width="17.7109375" style="36" customWidth="1"/>
    <col min="8965" max="8965" width="17.85546875" style="36" customWidth="1"/>
    <col min="8966" max="8966" width="18.42578125" style="36" customWidth="1"/>
    <col min="8967" max="8967" width="15.42578125" style="36" customWidth="1"/>
    <col min="8968" max="8968" width="14.5703125" style="36" customWidth="1"/>
    <col min="8969" max="8969" width="15" style="36" customWidth="1"/>
    <col min="8970" max="8970" width="6.7109375" style="36" customWidth="1"/>
    <col min="8971" max="8971" width="14.28515625" style="36" customWidth="1"/>
    <col min="8972" max="8972" width="17.5703125" style="36" customWidth="1"/>
    <col min="8973" max="8973" width="27.7109375" style="36" customWidth="1"/>
    <col min="8974" max="8976" width="9.140625" style="36" customWidth="1"/>
    <col min="8977" max="8977" width="14.85546875" style="36" customWidth="1"/>
    <col min="8978" max="8978" width="13.85546875" style="36" customWidth="1"/>
    <col min="8979" max="9200" width="9.140625" style="36" customWidth="1"/>
    <col min="9201" max="9201" width="9.140625" style="36"/>
    <col min="9202" max="9202" width="6.5703125" style="36" customWidth="1"/>
    <col min="9203" max="9203" width="79.5703125" style="36" customWidth="1"/>
    <col min="9204" max="9204" width="23.5703125" style="36" customWidth="1"/>
    <col min="9205" max="9205" width="27.85546875" style="36" customWidth="1"/>
    <col min="9206" max="9206" width="22.28515625" style="36" customWidth="1"/>
    <col min="9207" max="9207" width="23.5703125" style="36" customWidth="1"/>
    <col min="9208" max="9208" width="39" style="36" customWidth="1"/>
    <col min="9209" max="9209" width="36.42578125" style="36" customWidth="1"/>
    <col min="9210" max="9210" width="8" style="36" customWidth="1"/>
    <col min="9211" max="9211" width="15.5703125" style="36" customWidth="1"/>
    <col min="9212" max="9212" width="17.28515625" style="36" customWidth="1"/>
    <col min="9213" max="9213" width="18.85546875" style="36" customWidth="1"/>
    <col min="9214" max="9214" width="81" style="36" customWidth="1"/>
    <col min="9215" max="9215" width="14.85546875" style="36" customWidth="1"/>
    <col min="9216" max="9216" width="15.7109375" style="36" customWidth="1"/>
    <col min="9217" max="9217" width="17.5703125" style="36" customWidth="1"/>
    <col min="9218" max="9218" width="18.42578125" style="36" customWidth="1"/>
    <col min="9219" max="9219" width="16.5703125" style="36" customWidth="1"/>
    <col min="9220" max="9220" width="17.7109375" style="36" customWidth="1"/>
    <col min="9221" max="9221" width="17.85546875" style="36" customWidth="1"/>
    <col min="9222" max="9222" width="18.42578125" style="36" customWidth="1"/>
    <col min="9223" max="9223" width="15.42578125" style="36" customWidth="1"/>
    <col min="9224" max="9224" width="14.5703125" style="36" customWidth="1"/>
    <col min="9225" max="9225" width="15" style="36" customWidth="1"/>
    <col min="9226" max="9226" width="6.7109375" style="36" customWidth="1"/>
    <col min="9227" max="9227" width="14.28515625" style="36" customWidth="1"/>
    <col min="9228" max="9228" width="17.5703125" style="36" customWidth="1"/>
    <col min="9229" max="9229" width="27.7109375" style="36" customWidth="1"/>
    <col min="9230" max="9232" width="9.140625" style="36" customWidth="1"/>
    <col min="9233" max="9233" width="14.85546875" style="36" customWidth="1"/>
    <col min="9234" max="9234" width="13.85546875" style="36" customWidth="1"/>
    <col min="9235" max="9456" width="9.140625" style="36" customWidth="1"/>
    <col min="9457" max="9457" width="9.140625" style="36"/>
    <col min="9458" max="9458" width="6.5703125" style="36" customWidth="1"/>
    <col min="9459" max="9459" width="79.5703125" style="36" customWidth="1"/>
    <col min="9460" max="9460" width="23.5703125" style="36" customWidth="1"/>
    <col min="9461" max="9461" width="27.85546875" style="36" customWidth="1"/>
    <col min="9462" max="9462" width="22.28515625" style="36" customWidth="1"/>
    <col min="9463" max="9463" width="23.5703125" style="36" customWidth="1"/>
    <col min="9464" max="9464" width="39" style="36" customWidth="1"/>
    <col min="9465" max="9465" width="36.42578125" style="36" customWidth="1"/>
    <col min="9466" max="9466" width="8" style="36" customWidth="1"/>
    <col min="9467" max="9467" width="15.5703125" style="36" customWidth="1"/>
    <col min="9468" max="9468" width="17.28515625" style="36" customWidth="1"/>
    <col min="9469" max="9469" width="18.85546875" style="36" customWidth="1"/>
    <col min="9470" max="9470" width="81" style="36" customWidth="1"/>
    <col min="9471" max="9471" width="14.85546875" style="36" customWidth="1"/>
    <col min="9472" max="9472" width="15.7109375" style="36" customWidth="1"/>
    <col min="9473" max="9473" width="17.5703125" style="36" customWidth="1"/>
    <col min="9474" max="9474" width="18.42578125" style="36" customWidth="1"/>
    <col min="9475" max="9475" width="16.5703125" style="36" customWidth="1"/>
    <col min="9476" max="9476" width="17.7109375" style="36" customWidth="1"/>
    <col min="9477" max="9477" width="17.85546875" style="36" customWidth="1"/>
    <col min="9478" max="9478" width="18.42578125" style="36" customWidth="1"/>
    <col min="9479" max="9479" width="15.42578125" style="36" customWidth="1"/>
    <col min="9480" max="9480" width="14.5703125" style="36" customWidth="1"/>
    <col min="9481" max="9481" width="15" style="36" customWidth="1"/>
    <col min="9482" max="9482" width="6.7109375" style="36" customWidth="1"/>
    <col min="9483" max="9483" width="14.28515625" style="36" customWidth="1"/>
    <col min="9484" max="9484" width="17.5703125" style="36" customWidth="1"/>
    <col min="9485" max="9485" width="27.7109375" style="36" customWidth="1"/>
    <col min="9486" max="9488" width="9.140625" style="36" customWidth="1"/>
    <col min="9489" max="9489" width="14.85546875" style="36" customWidth="1"/>
    <col min="9490" max="9490" width="13.85546875" style="36" customWidth="1"/>
    <col min="9491" max="9712" width="9.140625" style="36" customWidth="1"/>
    <col min="9713" max="9713" width="9.140625" style="36"/>
    <col min="9714" max="9714" width="6.5703125" style="36" customWidth="1"/>
    <col min="9715" max="9715" width="79.5703125" style="36" customWidth="1"/>
    <col min="9716" max="9716" width="23.5703125" style="36" customWidth="1"/>
    <col min="9717" max="9717" width="27.85546875" style="36" customWidth="1"/>
    <col min="9718" max="9718" width="22.28515625" style="36" customWidth="1"/>
    <col min="9719" max="9719" width="23.5703125" style="36" customWidth="1"/>
    <col min="9720" max="9720" width="39" style="36" customWidth="1"/>
    <col min="9721" max="9721" width="36.42578125" style="36" customWidth="1"/>
    <col min="9722" max="9722" width="8" style="36" customWidth="1"/>
    <col min="9723" max="9723" width="15.5703125" style="36" customWidth="1"/>
    <col min="9724" max="9724" width="17.28515625" style="36" customWidth="1"/>
    <col min="9725" max="9725" width="18.85546875" style="36" customWidth="1"/>
    <col min="9726" max="9726" width="81" style="36" customWidth="1"/>
    <col min="9727" max="9727" width="14.85546875" style="36" customWidth="1"/>
    <col min="9728" max="9728" width="15.7109375" style="36" customWidth="1"/>
    <col min="9729" max="9729" width="17.5703125" style="36" customWidth="1"/>
    <col min="9730" max="9730" width="18.42578125" style="36" customWidth="1"/>
    <col min="9731" max="9731" width="16.5703125" style="36" customWidth="1"/>
    <col min="9732" max="9732" width="17.7109375" style="36" customWidth="1"/>
    <col min="9733" max="9733" width="17.85546875" style="36" customWidth="1"/>
    <col min="9734" max="9734" width="18.42578125" style="36" customWidth="1"/>
    <col min="9735" max="9735" width="15.42578125" style="36" customWidth="1"/>
    <col min="9736" max="9736" width="14.5703125" style="36" customWidth="1"/>
    <col min="9737" max="9737" width="15" style="36" customWidth="1"/>
    <col min="9738" max="9738" width="6.7109375" style="36" customWidth="1"/>
    <col min="9739" max="9739" width="14.28515625" style="36" customWidth="1"/>
    <col min="9740" max="9740" width="17.5703125" style="36" customWidth="1"/>
    <col min="9741" max="9741" width="27.7109375" style="36" customWidth="1"/>
    <col min="9742" max="9744" width="9.140625" style="36" customWidth="1"/>
    <col min="9745" max="9745" width="14.85546875" style="36" customWidth="1"/>
    <col min="9746" max="9746" width="13.85546875" style="36" customWidth="1"/>
    <col min="9747" max="9968" width="9.140625" style="36" customWidth="1"/>
    <col min="9969" max="9969" width="9.140625" style="36"/>
    <col min="9970" max="9970" width="6.5703125" style="36" customWidth="1"/>
    <col min="9971" max="9971" width="79.5703125" style="36" customWidth="1"/>
    <col min="9972" max="9972" width="23.5703125" style="36" customWidth="1"/>
    <col min="9973" max="9973" width="27.85546875" style="36" customWidth="1"/>
    <col min="9974" max="9974" width="22.28515625" style="36" customWidth="1"/>
    <col min="9975" max="9975" width="23.5703125" style="36" customWidth="1"/>
    <col min="9976" max="9976" width="39" style="36" customWidth="1"/>
    <col min="9977" max="9977" width="36.42578125" style="36" customWidth="1"/>
    <col min="9978" max="9978" width="8" style="36" customWidth="1"/>
    <col min="9979" max="9979" width="15.5703125" style="36" customWidth="1"/>
    <col min="9980" max="9980" width="17.28515625" style="36" customWidth="1"/>
    <col min="9981" max="9981" width="18.85546875" style="36" customWidth="1"/>
    <col min="9982" max="9982" width="81" style="36" customWidth="1"/>
    <col min="9983" max="9983" width="14.85546875" style="36" customWidth="1"/>
    <col min="9984" max="9984" width="15.7109375" style="36" customWidth="1"/>
    <col min="9985" max="9985" width="17.5703125" style="36" customWidth="1"/>
    <col min="9986" max="9986" width="18.42578125" style="36" customWidth="1"/>
    <col min="9987" max="9987" width="16.5703125" style="36" customWidth="1"/>
    <col min="9988" max="9988" width="17.7109375" style="36" customWidth="1"/>
    <col min="9989" max="9989" width="17.85546875" style="36" customWidth="1"/>
    <col min="9990" max="9990" width="18.42578125" style="36" customWidth="1"/>
    <col min="9991" max="9991" width="15.42578125" style="36" customWidth="1"/>
    <col min="9992" max="9992" width="14.5703125" style="36" customWidth="1"/>
    <col min="9993" max="9993" width="15" style="36" customWidth="1"/>
    <col min="9994" max="9994" width="6.7109375" style="36" customWidth="1"/>
    <col min="9995" max="9995" width="14.28515625" style="36" customWidth="1"/>
    <col min="9996" max="9996" width="17.5703125" style="36" customWidth="1"/>
    <col min="9997" max="9997" width="27.7109375" style="36" customWidth="1"/>
    <col min="9998" max="10000" width="9.140625" style="36" customWidth="1"/>
    <col min="10001" max="10001" width="14.85546875" style="36" customWidth="1"/>
    <col min="10002" max="10002" width="13.85546875" style="36" customWidth="1"/>
    <col min="10003" max="10224" width="9.140625" style="36" customWidth="1"/>
    <col min="10225" max="10225" width="9.140625" style="36"/>
    <col min="10226" max="10226" width="6.5703125" style="36" customWidth="1"/>
    <col min="10227" max="10227" width="79.5703125" style="36" customWidth="1"/>
    <col min="10228" max="10228" width="23.5703125" style="36" customWidth="1"/>
    <col min="10229" max="10229" width="27.85546875" style="36" customWidth="1"/>
    <col min="10230" max="10230" width="22.28515625" style="36" customWidth="1"/>
    <col min="10231" max="10231" width="23.5703125" style="36" customWidth="1"/>
    <col min="10232" max="10232" width="39" style="36" customWidth="1"/>
    <col min="10233" max="10233" width="36.42578125" style="36" customWidth="1"/>
    <col min="10234" max="10234" width="8" style="36" customWidth="1"/>
    <col min="10235" max="10235" width="15.5703125" style="36" customWidth="1"/>
    <col min="10236" max="10236" width="17.28515625" style="36" customWidth="1"/>
    <col min="10237" max="10237" width="18.85546875" style="36" customWidth="1"/>
    <col min="10238" max="10238" width="81" style="36" customWidth="1"/>
    <col min="10239" max="10239" width="14.85546875" style="36" customWidth="1"/>
    <col min="10240" max="10240" width="15.7109375" style="36" customWidth="1"/>
    <col min="10241" max="10241" width="17.5703125" style="36" customWidth="1"/>
    <col min="10242" max="10242" width="18.42578125" style="36" customWidth="1"/>
    <col min="10243" max="10243" width="16.5703125" style="36" customWidth="1"/>
    <col min="10244" max="10244" width="17.7109375" style="36" customWidth="1"/>
    <col min="10245" max="10245" width="17.85546875" style="36" customWidth="1"/>
    <col min="10246" max="10246" width="18.42578125" style="36" customWidth="1"/>
    <col min="10247" max="10247" width="15.42578125" style="36" customWidth="1"/>
    <col min="10248" max="10248" width="14.5703125" style="36" customWidth="1"/>
    <col min="10249" max="10249" width="15" style="36" customWidth="1"/>
    <col min="10250" max="10250" width="6.7109375" style="36" customWidth="1"/>
    <col min="10251" max="10251" width="14.28515625" style="36" customWidth="1"/>
    <col min="10252" max="10252" width="17.5703125" style="36" customWidth="1"/>
    <col min="10253" max="10253" width="27.7109375" style="36" customWidth="1"/>
    <col min="10254" max="10256" width="9.140625" style="36" customWidth="1"/>
    <col min="10257" max="10257" width="14.85546875" style="36" customWidth="1"/>
    <col min="10258" max="10258" width="13.85546875" style="36" customWidth="1"/>
    <col min="10259" max="10480" width="9.140625" style="36" customWidth="1"/>
    <col min="10481" max="10481" width="9.140625" style="36"/>
    <col min="10482" max="10482" width="6.5703125" style="36" customWidth="1"/>
    <col min="10483" max="10483" width="79.5703125" style="36" customWidth="1"/>
    <col min="10484" max="10484" width="23.5703125" style="36" customWidth="1"/>
    <col min="10485" max="10485" width="27.85546875" style="36" customWidth="1"/>
    <col min="10486" max="10486" width="22.28515625" style="36" customWidth="1"/>
    <col min="10487" max="10487" width="23.5703125" style="36" customWidth="1"/>
    <col min="10488" max="10488" width="39" style="36" customWidth="1"/>
    <col min="10489" max="10489" width="36.42578125" style="36" customWidth="1"/>
    <col min="10490" max="10490" width="8" style="36" customWidth="1"/>
    <col min="10491" max="10491" width="15.5703125" style="36" customWidth="1"/>
    <col min="10492" max="10492" width="17.28515625" style="36" customWidth="1"/>
    <col min="10493" max="10493" width="18.85546875" style="36" customWidth="1"/>
    <col min="10494" max="10494" width="81" style="36" customWidth="1"/>
    <col min="10495" max="10495" width="14.85546875" style="36" customWidth="1"/>
    <col min="10496" max="10496" width="15.7109375" style="36" customWidth="1"/>
    <col min="10497" max="10497" width="17.5703125" style="36" customWidth="1"/>
    <col min="10498" max="10498" width="18.42578125" style="36" customWidth="1"/>
    <col min="10499" max="10499" width="16.5703125" style="36" customWidth="1"/>
    <col min="10500" max="10500" width="17.7109375" style="36" customWidth="1"/>
    <col min="10501" max="10501" width="17.85546875" style="36" customWidth="1"/>
    <col min="10502" max="10502" width="18.42578125" style="36" customWidth="1"/>
    <col min="10503" max="10503" width="15.42578125" style="36" customWidth="1"/>
    <col min="10504" max="10504" width="14.5703125" style="36" customWidth="1"/>
    <col min="10505" max="10505" width="15" style="36" customWidth="1"/>
    <col min="10506" max="10506" width="6.7109375" style="36" customWidth="1"/>
    <col min="10507" max="10507" width="14.28515625" style="36" customWidth="1"/>
    <col min="10508" max="10508" width="17.5703125" style="36" customWidth="1"/>
    <col min="10509" max="10509" width="27.7109375" style="36" customWidth="1"/>
    <col min="10510" max="10512" width="9.140625" style="36" customWidth="1"/>
    <col min="10513" max="10513" width="14.85546875" style="36" customWidth="1"/>
    <col min="10514" max="10514" width="13.85546875" style="36" customWidth="1"/>
    <col min="10515" max="10736" width="9.140625" style="36" customWidth="1"/>
    <col min="10737" max="10737" width="9.140625" style="36"/>
    <col min="10738" max="10738" width="6.5703125" style="36" customWidth="1"/>
    <col min="10739" max="10739" width="79.5703125" style="36" customWidth="1"/>
    <col min="10740" max="10740" width="23.5703125" style="36" customWidth="1"/>
    <col min="10741" max="10741" width="27.85546875" style="36" customWidth="1"/>
    <col min="10742" max="10742" width="22.28515625" style="36" customWidth="1"/>
    <col min="10743" max="10743" width="23.5703125" style="36" customWidth="1"/>
    <col min="10744" max="10744" width="39" style="36" customWidth="1"/>
    <col min="10745" max="10745" width="36.42578125" style="36" customWidth="1"/>
    <col min="10746" max="10746" width="8" style="36" customWidth="1"/>
    <col min="10747" max="10747" width="15.5703125" style="36" customWidth="1"/>
    <col min="10748" max="10748" width="17.28515625" style="36" customWidth="1"/>
    <col min="10749" max="10749" width="18.85546875" style="36" customWidth="1"/>
    <col min="10750" max="10750" width="81" style="36" customWidth="1"/>
    <col min="10751" max="10751" width="14.85546875" style="36" customWidth="1"/>
    <col min="10752" max="10752" width="15.7109375" style="36" customWidth="1"/>
    <col min="10753" max="10753" width="17.5703125" style="36" customWidth="1"/>
    <col min="10754" max="10754" width="18.42578125" style="36" customWidth="1"/>
    <col min="10755" max="10755" width="16.5703125" style="36" customWidth="1"/>
    <col min="10756" max="10756" width="17.7109375" style="36" customWidth="1"/>
    <col min="10757" max="10757" width="17.85546875" style="36" customWidth="1"/>
    <col min="10758" max="10758" width="18.42578125" style="36" customWidth="1"/>
    <col min="10759" max="10759" width="15.42578125" style="36" customWidth="1"/>
    <col min="10760" max="10760" width="14.5703125" style="36" customWidth="1"/>
    <col min="10761" max="10761" width="15" style="36" customWidth="1"/>
    <col min="10762" max="10762" width="6.7109375" style="36" customWidth="1"/>
    <col min="10763" max="10763" width="14.28515625" style="36" customWidth="1"/>
    <col min="10764" max="10764" width="17.5703125" style="36" customWidth="1"/>
    <col min="10765" max="10765" width="27.7109375" style="36" customWidth="1"/>
    <col min="10766" max="10768" width="9.140625" style="36" customWidth="1"/>
    <col min="10769" max="10769" width="14.85546875" style="36" customWidth="1"/>
    <col min="10770" max="10770" width="13.85546875" style="36" customWidth="1"/>
    <col min="10771" max="10992" width="9.140625" style="36" customWidth="1"/>
    <col min="10993" max="10993" width="9.140625" style="36"/>
    <col min="10994" max="10994" width="6.5703125" style="36" customWidth="1"/>
    <col min="10995" max="10995" width="79.5703125" style="36" customWidth="1"/>
    <col min="10996" max="10996" width="23.5703125" style="36" customWidth="1"/>
    <col min="10997" max="10997" width="27.85546875" style="36" customWidth="1"/>
    <col min="10998" max="10998" width="22.28515625" style="36" customWidth="1"/>
    <col min="10999" max="10999" width="23.5703125" style="36" customWidth="1"/>
    <col min="11000" max="11000" width="39" style="36" customWidth="1"/>
    <col min="11001" max="11001" width="36.42578125" style="36" customWidth="1"/>
    <col min="11002" max="11002" width="8" style="36" customWidth="1"/>
    <col min="11003" max="11003" width="15.5703125" style="36" customWidth="1"/>
    <col min="11004" max="11004" width="17.28515625" style="36" customWidth="1"/>
    <col min="11005" max="11005" width="18.85546875" style="36" customWidth="1"/>
    <col min="11006" max="11006" width="81" style="36" customWidth="1"/>
    <col min="11007" max="11007" width="14.85546875" style="36" customWidth="1"/>
    <col min="11008" max="11008" width="15.7109375" style="36" customWidth="1"/>
    <col min="11009" max="11009" width="17.5703125" style="36" customWidth="1"/>
    <col min="11010" max="11010" width="18.42578125" style="36" customWidth="1"/>
    <col min="11011" max="11011" width="16.5703125" style="36" customWidth="1"/>
    <col min="11012" max="11012" width="17.7109375" style="36" customWidth="1"/>
    <col min="11013" max="11013" width="17.85546875" style="36" customWidth="1"/>
    <col min="11014" max="11014" width="18.42578125" style="36" customWidth="1"/>
    <col min="11015" max="11015" width="15.42578125" style="36" customWidth="1"/>
    <col min="11016" max="11016" width="14.5703125" style="36" customWidth="1"/>
    <col min="11017" max="11017" width="15" style="36" customWidth="1"/>
    <col min="11018" max="11018" width="6.7109375" style="36" customWidth="1"/>
    <col min="11019" max="11019" width="14.28515625" style="36" customWidth="1"/>
    <col min="11020" max="11020" width="17.5703125" style="36" customWidth="1"/>
    <col min="11021" max="11021" width="27.7109375" style="36" customWidth="1"/>
    <col min="11022" max="11024" width="9.140625" style="36" customWidth="1"/>
    <col min="11025" max="11025" width="14.85546875" style="36" customWidth="1"/>
    <col min="11026" max="11026" width="13.85546875" style="36" customWidth="1"/>
    <col min="11027" max="11248" width="9.140625" style="36" customWidth="1"/>
    <col min="11249" max="11249" width="9.140625" style="36"/>
    <col min="11250" max="11250" width="6.5703125" style="36" customWidth="1"/>
    <col min="11251" max="11251" width="79.5703125" style="36" customWidth="1"/>
    <col min="11252" max="11252" width="23.5703125" style="36" customWidth="1"/>
    <col min="11253" max="11253" width="27.85546875" style="36" customWidth="1"/>
    <col min="11254" max="11254" width="22.28515625" style="36" customWidth="1"/>
    <col min="11255" max="11255" width="23.5703125" style="36" customWidth="1"/>
    <col min="11256" max="11256" width="39" style="36" customWidth="1"/>
    <col min="11257" max="11257" width="36.42578125" style="36" customWidth="1"/>
    <col min="11258" max="11258" width="8" style="36" customWidth="1"/>
    <col min="11259" max="11259" width="15.5703125" style="36" customWidth="1"/>
    <col min="11260" max="11260" width="17.28515625" style="36" customWidth="1"/>
    <col min="11261" max="11261" width="18.85546875" style="36" customWidth="1"/>
    <col min="11262" max="11262" width="81" style="36" customWidth="1"/>
    <col min="11263" max="11263" width="14.85546875" style="36" customWidth="1"/>
    <col min="11264" max="11264" width="15.7109375" style="36" customWidth="1"/>
    <col min="11265" max="11265" width="17.5703125" style="36" customWidth="1"/>
    <col min="11266" max="11266" width="18.42578125" style="36" customWidth="1"/>
    <col min="11267" max="11267" width="16.5703125" style="36" customWidth="1"/>
    <col min="11268" max="11268" width="17.7109375" style="36" customWidth="1"/>
    <col min="11269" max="11269" width="17.85546875" style="36" customWidth="1"/>
    <col min="11270" max="11270" width="18.42578125" style="36" customWidth="1"/>
    <col min="11271" max="11271" width="15.42578125" style="36" customWidth="1"/>
    <col min="11272" max="11272" width="14.5703125" style="36" customWidth="1"/>
    <col min="11273" max="11273" width="15" style="36" customWidth="1"/>
    <col min="11274" max="11274" width="6.7109375" style="36" customWidth="1"/>
    <col min="11275" max="11275" width="14.28515625" style="36" customWidth="1"/>
    <col min="11276" max="11276" width="17.5703125" style="36" customWidth="1"/>
    <col min="11277" max="11277" width="27.7109375" style="36" customWidth="1"/>
    <col min="11278" max="11280" width="9.140625" style="36" customWidth="1"/>
    <col min="11281" max="11281" width="14.85546875" style="36" customWidth="1"/>
    <col min="11282" max="11282" width="13.85546875" style="36" customWidth="1"/>
    <col min="11283" max="11504" width="9.140625" style="36" customWidth="1"/>
    <col min="11505" max="11505" width="9.140625" style="36"/>
    <col min="11506" max="11506" width="6.5703125" style="36" customWidth="1"/>
    <col min="11507" max="11507" width="79.5703125" style="36" customWidth="1"/>
    <col min="11508" max="11508" width="23.5703125" style="36" customWidth="1"/>
    <col min="11509" max="11509" width="27.85546875" style="36" customWidth="1"/>
    <col min="11510" max="11510" width="22.28515625" style="36" customWidth="1"/>
    <col min="11511" max="11511" width="23.5703125" style="36" customWidth="1"/>
    <col min="11512" max="11512" width="39" style="36" customWidth="1"/>
    <col min="11513" max="11513" width="36.42578125" style="36" customWidth="1"/>
    <col min="11514" max="11514" width="8" style="36" customWidth="1"/>
    <col min="11515" max="11515" width="15.5703125" style="36" customWidth="1"/>
    <col min="11516" max="11516" width="17.28515625" style="36" customWidth="1"/>
    <col min="11517" max="11517" width="18.85546875" style="36" customWidth="1"/>
    <col min="11518" max="11518" width="81" style="36" customWidth="1"/>
    <col min="11519" max="11519" width="14.85546875" style="36" customWidth="1"/>
    <col min="11520" max="11520" width="15.7109375" style="36" customWidth="1"/>
    <col min="11521" max="11521" width="17.5703125" style="36" customWidth="1"/>
    <col min="11522" max="11522" width="18.42578125" style="36" customWidth="1"/>
    <col min="11523" max="11523" width="16.5703125" style="36" customWidth="1"/>
    <col min="11524" max="11524" width="17.7109375" style="36" customWidth="1"/>
    <col min="11525" max="11525" width="17.85546875" style="36" customWidth="1"/>
    <col min="11526" max="11526" width="18.42578125" style="36" customWidth="1"/>
    <col min="11527" max="11527" width="15.42578125" style="36" customWidth="1"/>
    <col min="11528" max="11528" width="14.5703125" style="36" customWidth="1"/>
    <col min="11529" max="11529" width="15" style="36" customWidth="1"/>
    <col min="11530" max="11530" width="6.7109375" style="36" customWidth="1"/>
    <col min="11531" max="11531" width="14.28515625" style="36" customWidth="1"/>
    <col min="11532" max="11532" width="17.5703125" style="36" customWidth="1"/>
    <col min="11533" max="11533" width="27.7109375" style="36" customWidth="1"/>
    <col min="11534" max="11536" width="9.140625" style="36" customWidth="1"/>
    <col min="11537" max="11537" width="14.85546875" style="36" customWidth="1"/>
    <col min="11538" max="11538" width="13.85546875" style="36" customWidth="1"/>
    <col min="11539" max="11760" width="9.140625" style="36" customWidth="1"/>
    <col min="11761" max="11761" width="9.140625" style="36"/>
    <col min="11762" max="11762" width="6.5703125" style="36" customWidth="1"/>
    <col min="11763" max="11763" width="79.5703125" style="36" customWidth="1"/>
    <col min="11764" max="11764" width="23.5703125" style="36" customWidth="1"/>
    <col min="11765" max="11765" width="27.85546875" style="36" customWidth="1"/>
    <col min="11766" max="11766" width="22.28515625" style="36" customWidth="1"/>
    <col min="11767" max="11767" width="23.5703125" style="36" customWidth="1"/>
    <col min="11768" max="11768" width="39" style="36" customWidth="1"/>
    <col min="11769" max="11769" width="36.42578125" style="36" customWidth="1"/>
    <col min="11770" max="11770" width="8" style="36" customWidth="1"/>
    <col min="11771" max="11771" width="15.5703125" style="36" customWidth="1"/>
    <col min="11772" max="11772" width="17.28515625" style="36" customWidth="1"/>
    <col min="11773" max="11773" width="18.85546875" style="36" customWidth="1"/>
    <col min="11774" max="11774" width="81" style="36" customWidth="1"/>
    <col min="11775" max="11775" width="14.85546875" style="36" customWidth="1"/>
    <col min="11776" max="11776" width="15.7109375" style="36" customWidth="1"/>
    <col min="11777" max="11777" width="17.5703125" style="36" customWidth="1"/>
    <col min="11778" max="11778" width="18.42578125" style="36" customWidth="1"/>
    <col min="11779" max="11779" width="16.5703125" style="36" customWidth="1"/>
    <col min="11780" max="11780" width="17.7109375" style="36" customWidth="1"/>
    <col min="11781" max="11781" width="17.85546875" style="36" customWidth="1"/>
    <col min="11782" max="11782" width="18.42578125" style="36" customWidth="1"/>
    <col min="11783" max="11783" width="15.42578125" style="36" customWidth="1"/>
    <col min="11784" max="11784" width="14.5703125" style="36" customWidth="1"/>
    <col min="11785" max="11785" width="15" style="36" customWidth="1"/>
    <col min="11786" max="11786" width="6.7109375" style="36" customWidth="1"/>
    <col min="11787" max="11787" width="14.28515625" style="36" customWidth="1"/>
    <col min="11788" max="11788" width="17.5703125" style="36" customWidth="1"/>
    <col min="11789" max="11789" width="27.7109375" style="36" customWidth="1"/>
    <col min="11790" max="11792" width="9.140625" style="36" customWidth="1"/>
    <col min="11793" max="11793" width="14.85546875" style="36" customWidth="1"/>
    <col min="11794" max="11794" width="13.85546875" style="36" customWidth="1"/>
    <col min="11795" max="12016" width="9.140625" style="36" customWidth="1"/>
    <col min="12017" max="12017" width="9.140625" style="36"/>
    <col min="12018" max="12018" width="6.5703125" style="36" customWidth="1"/>
    <col min="12019" max="12019" width="79.5703125" style="36" customWidth="1"/>
    <col min="12020" max="12020" width="23.5703125" style="36" customWidth="1"/>
    <col min="12021" max="12021" width="27.85546875" style="36" customWidth="1"/>
    <col min="12022" max="12022" width="22.28515625" style="36" customWidth="1"/>
    <col min="12023" max="12023" width="23.5703125" style="36" customWidth="1"/>
    <col min="12024" max="12024" width="39" style="36" customWidth="1"/>
    <col min="12025" max="12025" width="36.42578125" style="36" customWidth="1"/>
    <col min="12026" max="12026" width="8" style="36" customWidth="1"/>
    <col min="12027" max="12027" width="15.5703125" style="36" customWidth="1"/>
    <col min="12028" max="12028" width="17.28515625" style="36" customWidth="1"/>
    <col min="12029" max="12029" width="18.85546875" style="36" customWidth="1"/>
    <col min="12030" max="12030" width="81" style="36" customWidth="1"/>
    <col min="12031" max="12031" width="14.85546875" style="36" customWidth="1"/>
    <col min="12032" max="12032" width="15.7109375" style="36" customWidth="1"/>
    <col min="12033" max="12033" width="17.5703125" style="36" customWidth="1"/>
    <col min="12034" max="12034" width="18.42578125" style="36" customWidth="1"/>
    <col min="12035" max="12035" width="16.5703125" style="36" customWidth="1"/>
    <col min="12036" max="12036" width="17.7109375" style="36" customWidth="1"/>
    <col min="12037" max="12037" width="17.85546875" style="36" customWidth="1"/>
    <col min="12038" max="12038" width="18.42578125" style="36" customWidth="1"/>
    <col min="12039" max="12039" width="15.42578125" style="36" customWidth="1"/>
    <col min="12040" max="12040" width="14.5703125" style="36" customWidth="1"/>
    <col min="12041" max="12041" width="15" style="36" customWidth="1"/>
    <col min="12042" max="12042" width="6.7109375" style="36" customWidth="1"/>
    <col min="12043" max="12043" width="14.28515625" style="36" customWidth="1"/>
    <col min="12044" max="12044" width="17.5703125" style="36" customWidth="1"/>
    <col min="12045" max="12045" width="27.7109375" style="36" customWidth="1"/>
    <col min="12046" max="12048" width="9.140625" style="36" customWidth="1"/>
    <col min="12049" max="12049" width="14.85546875" style="36" customWidth="1"/>
    <col min="12050" max="12050" width="13.85546875" style="36" customWidth="1"/>
    <col min="12051" max="12272" width="9.140625" style="36" customWidth="1"/>
    <col min="12273" max="12273" width="9.140625" style="36"/>
    <col min="12274" max="12274" width="6.5703125" style="36" customWidth="1"/>
    <col min="12275" max="12275" width="79.5703125" style="36" customWidth="1"/>
    <col min="12276" max="12276" width="23.5703125" style="36" customWidth="1"/>
    <col min="12277" max="12277" width="27.85546875" style="36" customWidth="1"/>
    <col min="12278" max="12278" width="22.28515625" style="36" customWidth="1"/>
    <col min="12279" max="12279" width="23.5703125" style="36" customWidth="1"/>
    <col min="12280" max="12280" width="39" style="36" customWidth="1"/>
    <col min="12281" max="12281" width="36.42578125" style="36" customWidth="1"/>
    <col min="12282" max="12282" width="8" style="36" customWidth="1"/>
    <col min="12283" max="12283" width="15.5703125" style="36" customWidth="1"/>
    <col min="12284" max="12284" width="17.28515625" style="36" customWidth="1"/>
    <col min="12285" max="12285" width="18.85546875" style="36" customWidth="1"/>
    <col min="12286" max="12286" width="81" style="36" customWidth="1"/>
    <col min="12287" max="12287" width="14.85546875" style="36" customWidth="1"/>
    <col min="12288" max="12288" width="15.7109375" style="36" customWidth="1"/>
    <col min="12289" max="12289" width="17.5703125" style="36" customWidth="1"/>
    <col min="12290" max="12290" width="18.42578125" style="36" customWidth="1"/>
    <col min="12291" max="12291" width="16.5703125" style="36" customWidth="1"/>
    <col min="12292" max="12292" width="17.7109375" style="36" customWidth="1"/>
    <col min="12293" max="12293" width="17.85546875" style="36" customWidth="1"/>
    <col min="12294" max="12294" width="18.42578125" style="36" customWidth="1"/>
    <col min="12295" max="12295" width="15.42578125" style="36" customWidth="1"/>
    <col min="12296" max="12296" width="14.5703125" style="36" customWidth="1"/>
    <col min="12297" max="12297" width="15" style="36" customWidth="1"/>
    <col min="12298" max="12298" width="6.7109375" style="36" customWidth="1"/>
    <col min="12299" max="12299" width="14.28515625" style="36" customWidth="1"/>
    <col min="12300" max="12300" width="17.5703125" style="36" customWidth="1"/>
    <col min="12301" max="12301" width="27.7109375" style="36" customWidth="1"/>
    <col min="12302" max="12304" width="9.140625" style="36" customWidth="1"/>
    <col min="12305" max="12305" width="14.85546875" style="36" customWidth="1"/>
    <col min="12306" max="12306" width="13.85546875" style="36" customWidth="1"/>
    <col min="12307" max="12528" width="9.140625" style="36" customWidth="1"/>
    <col min="12529" max="12529" width="9.140625" style="36"/>
    <col min="12530" max="12530" width="6.5703125" style="36" customWidth="1"/>
    <col min="12531" max="12531" width="79.5703125" style="36" customWidth="1"/>
    <col min="12532" max="12532" width="23.5703125" style="36" customWidth="1"/>
    <col min="12533" max="12533" width="27.85546875" style="36" customWidth="1"/>
    <col min="12534" max="12534" width="22.28515625" style="36" customWidth="1"/>
    <col min="12535" max="12535" width="23.5703125" style="36" customWidth="1"/>
    <col min="12536" max="12536" width="39" style="36" customWidth="1"/>
    <col min="12537" max="12537" width="36.42578125" style="36" customWidth="1"/>
    <col min="12538" max="12538" width="8" style="36" customWidth="1"/>
    <col min="12539" max="12539" width="15.5703125" style="36" customWidth="1"/>
    <col min="12540" max="12540" width="17.28515625" style="36" customWidth="1"/>
    <col min="12541" max="12541" width="18.85546875" style="36" customWidth="1"/>
    <col min="12542" max="12542" width="81" style="36" customWidth="1"/>
    <col min="12543" max="12543" width="14.85546875" style="36" customWidth="1"/>
    <col min="12544" max="12544" width="15.7109375" style="36" customWidth="1"/>
    <col min="12545" max="12545" width="17.5703125" style="36" customWidth="1"/>
    <col min="12546" max="12546" width="18.42578125" style="36" customWidth="1"/>
    <col min="12547" max="12547" width="16.5703125" style="36" customWidth="1"/>
    <col min="12548" max="12548" width="17.7109375" style="36" customWidth="1"/>
    <col min="12549" max="12549" width="17.85546875" style="36" customWidth="1"/>
    <col min="12550" max="12550" width="18.42578125" style="36" customWidth="1"/>
    <col min="12551" max="12551" width="15.42578125" style="36" customWidth="1"/>
    <col min="12552" max="12552" width="14.5703125" style="36" customWidth="1"/>
    <col min="12553" max="12553" width="15" style="36" customWidth="1"/>
    <col min="12554" max="12554" width="6.7109375" style="36" customWidth="1"/>
    <col min="12555" max="12555" width="14.28515625" style="36" customWidth="1"/>
    <col min="12556" max="12556" width="17.5703125" style="36" customWidth="1"/>
    <col min="12557" max="12557" width="27.7109375" style="36" customWidth="1"/>
    <col min="12558" max="12560" width="9.140625" style="36" customWidth="1"/>
    <col min="12561" max="12561" width="14.85546875" style="36" customWidth="1"/>
    <col min="12562" max="12562" width="13.85546875" style="36" customWidth="1"/>
    <col min="12563" max="12784" width="9.140625" style="36" customWidth="1"/>
    <col min="12785" max="12785" width="9.140625" style="36"/>
    <col min="12786" max="12786" width="6.5703125" style="36" customWidth="1"/>
    <col min="12787" max="12787" width="79.5703125" style="36" customWidth="1"/>
    <col min="12788" max="12788" width="23.5703125" style="36" customWidth="1"/>
    <col min="12789" max="12789" width="27.85546875" style="36" customWidth="1"/>
    <col min="12790" max="12790" width="22.28515625" style="36" customWidth="1"/>
    <col min="12791" max="12791" width="23.5703125" style="36" customWidth="1"/>
    <col min="12792" max="12792" width="39" style="36" customWidth="1"/>
    <col min="12793" max="12793" width="36.42578125" style="36" customWidth="1"/>
    <col min="12794" max="12794" width="8" style="36" customWidth="1"/>
    <col min="12795" max="12795" width="15.5703125" style="36" customWidth="1"/>
    <col min="12796" max="12796" width="17.28515625" style="36" customWidth="1"/>
    <col min="12797" max="12797" width="18.85546875" style="36" customWidth="1"/>
    <col min="12798" max="12798" width="81" style="36" customWidth="1"/>
    <col min="12799" max="12799" width="14.85546875" style="36" customWidth="1"/>
    <col min="12800" max="12800" width="15.7109375" style="36" customWidth="1"/>
    <col min="12801" max="12801" width="17.5703125" style="36" customWidth="1"/>
    <col min="12802" max="12802" width="18.42578125" style="36" customWidth="1"/>
    <col min="12803" max="12803" width="16.5703125" style="36" customWidth="1"/>
    <col min="12804" max="12804" width="17.7109375" style="36" customWidth="1"/>
    <col min="12805" max="12805" width="17.85546875" style="36" customWidth="1"/>
    <col min="12806" max="12806" width="18.42578125" style="36" customWidth="1"/>
    <col min="12807" max="12807" width="15.42578125" style="36" customWidth="1"/>
    <col min="12808" max="12808" width="14.5703125" style="36" customWidth="1"/>
    <col min="12809" max="12809" width="15" style="36" customWidth="1"/>
    <col min="12810" max="12810" width="6.7109375" style="36" customWidth="1"/>
    <col min="12811" max="12811" width="14.28515625" style="36" customWidth="1"/>
    <col min="12812" max="12812" width="17.5703125" style="36" customWidth="1"/>
    <col min="12813" max="12813" width="27.7109375" style="36" customWidth="1"/>
    <col min="12814" max="12816" width="9.140625" style="36" customWidth="1"/>
    <col min="12817" max="12817" width="14.85546875" style="36" customWidth="1"/>
    <col min="12818" max="12818" width="13.85546875" style="36" customWidth="1"/>
    <col min="12819" max="13040" width="9.140625" style="36" customWidth="1"/>
    <col min="13041" max="13041" width="9.140625" style="36"/>
    <col min="13042" max="13042" width="6.5703125" style="36" customWidth="1"/>
    <col min="13043" max="13043" width="79.5703125" style="36" customWidth="1"/>
    <col min="13044" max="13044" width="23.5703125" style="36" customWidth="1"/>
    <col min="13045" max="13045" width="27.85546875" style="36" customWidth="1"/>
    <col min="13046" max="13046" width="22.28515625" style="36" customWidth="1"/>
    <col min="13047" max="13047" width="23.5703125" style="36" customWidth="1"/>
    <col min="13048" max="13048" width="39" style="36" customWidth="1"/>
    <col min="13049" max="13049" width="36.42578125" style="36" customWidth="1"/>
    <col min="13050" max="13050" width="8" style="36" customWidth="1"/>
    <col min="13051" max="13051" width="15.5703125" style="36" customWidth="1"/>
    <col min="13052" max="13052" width="17.28515625" style="36" customWidth="1"/>
    <col min="13053" max="13053" width="18.85546875" style="36" customWidth="1"/>
    <col min="13054" max="13054" width="81" style="36" customWidth="1"/>
    <col min="13055" max="13055" width="14.85546875" style="36" customWidth="1"/>
    <col min="13056" max="13056" width="15.7109375" style="36" customWidth="1"/>
    <col min="13057" max="13057" width="17.5703125" style="36" customWidth="1"/>
    <col min="13058" max="13058" width="18.42578125" style="36" customWidth="1"/>
    <col min="13059" max="13059" width="16.5703125" style="36" customWidth="1"/>
    <col min="13060" max="13060" width="17.7109375" style="36" customWidth="1"/>
    <col min="13061" max="13061" width="17.85546875" style="36" customWidth="1"/>
    <col min="13062" max="13062" width="18.42578125" style="36" customWidth="1"/>
    <col min="13063" max="13063" width="15.42578125" style="36" customWidth="1"/>
    <col min="13064" max="13064" width="14.5703125" style="36" customWidth="1"/>
    <col min="13065" max="13065" width="15" style="36" customWidth="1"/>
    <col min="13066" max="13066" width="6.7109375" style="36" customWidth="1"/>
    <col min="13067" max="13067" width="14.28515625" style="36" customWidth="1"/>
    <col min="13068" max="13068" width="17.5703125" style="36" customWidth="1"/>
    <col min="13069" max="13069" width="27.7109375" style="36" customWidth="1"/>
    <col min="13070" max="13072" width="9.140625" style="36" customWidth="1"/>
    <col min="13073" max="13073" width="14.85546875" style="36" customWidth="1"/>
    <col min="13074" max="13074" width="13.85546875" style="36" customWidth="1"/>
    <col min="13075" max="13296" width="9.140625" style="36" customWidth="1"/>
    <col min="13297" max="13297" width="9.140625" style="36"/>
    <col min="13298" max="13298" width="6.5703125" style="36" customWidth="1"/>
    <col min="13299" max="13299" width="79.5703125" style="36" customWidth="1"/>
    <col min="13300" max="13300" width="23.5703125" style="36" customWidth="1"/>
    <col min="13301" max="13301" width="27.85546875" style="36" customWidth="1"/>
    <col min="13302" max="13302" width="22.28515625" style="36" customWidth="1"/>
    <col min="13303" max="13303" width="23.5703125" style="36" customWidth="1"/>
    <col min="13304" max="13304" width="39" style="36" customWidth="1"/>
    <col min="13305" max="13305" width="36.42578125" style="36" customWidth="1"/>
    <col min="13306" max="13306" width="8" style="36" customWidth="1"/>
    <col min="13307" max="13307" width="15.5703125" style="36" customWidth="1"/>
    <col min="13308" max="13308" width="17.28515625" style="36" customWidth="1"/>
    <col min="13309" max="13309" width="18.85546875" style="36" customWidth="1"/>
    <col min="13310" max="13310" width="81" style="36" customWidth="1"/>
    <col min="13311" max="13311" width="14.85546875" style="36" customWidth="1"/>
    <col min="13312" max="13312" width="15.7109375" style="36" customWidth="1"/>
    <col min="13313" max="13313" width="17.5703125" style="36" customWidth="1"/>
    <col min="13314" max="13314" width="18.42578125" style="36" customWidth="1"/>
    <col min="13315" max="13315" width="16.5703125" style="36" customWidth="1"/>
    <col min="13316" max="13316" width="17.7109375" style="36" customWidth="1"/>
    <col min="13317" max="13317" width="17.85546875" style="36" customWidth="1"/>
    <col min="13318" max="13318" width="18.42578125" style="36" customWidth="1"/>
    <col min="13319" max="13319" width="15.42578125" style="36" customWidth="1"/>
    <col min="13320" max="13320" width="14.5703125" style="36" customWidth="1"/>
    <col min="13321" max="13321" width="15" style="36" customWidth="1"/>
    <col min="13322" max="13322" width="6.7109375" style="36" customWidth="1"/>
    <col min="13323" max="13323" width="14.28515625" style="36" customWidth="1"/>
    <col min="13324" max="13324" width="17.5703125" style="36" customWidth="1"/>
    <col min="13325" max="13325" width="27.7109375" style="36" customWidth="1"/>
    <col min="13326" max="13328" width="9.140625" style="36" customWidth="1"/>
    <col min="13329" max="13329" width="14.85546875" style="36" customWidth="1"/>
    <col min="13330" max="13330" width="13.85546875" style="36" customWidth="1"/>
    <col min="13331" max="13552" width="9.140625" style="36" customWidth="1"/>
    <col min="13553" max="13553" width="9.140625" style="36"/>
    <col min="13554" max="13554" width="6.5703125" style="36" customWidth="1"/>
    <col min="13555" max="13555" width="79.5703125" style="36" customWidth="1"/>
    <col min="13556" max="13556" width="23.5703125" style="36" customWidth="1"/>
    <col min="13557" max="13557" width="27.85546875" style="36" customWidth="1"/>
    <col min="13558" max="13558" width="22.28515625" style="36" customWidth="1"/>
    <col min="13559" max="13559" width="23.5703125" style="36" customWidth="1"/>
    <col min="13560" max="13560" width="39" style="36" customWidth="1"/>
    <col min="13561" max="13561" width="36.42578125" style="36" customWidth="1"/>
    <col min="13562" max="13562" width="8" style="36" customWidth="1"/>
    <col min="13563" max="13563" width="15.5703125" style="36" customWidth="1"/>
    <col min="13564" max="13564" width="17.28515625" style="36" customWidth="1"/>
    <col min="13565" max="13565" width="18.85546875" style="36" customWidth="1"/>
    <col min="13566" max="13566" width="81" style="36" customWidth="1"/>
    <col min="13567" max="13567" width="14.85546875" style="36" customWidth="1"/>
    <col min="13568" max="13568" width="15.7109375" style="36" customWidth="1"/>
    <col min="13569" max="13569" width="17.5703125" style="36" customWidth="1"/>
    <col min="13570" max="13570" width="18.42578125" style="36" customWidth="1"/>
    <col min="13571" max="13571" width="16.5703125" style="36" customWidth="1"/>
    <col min="13572" max="13572" width="17.7109375" style="36" customWidth="1"/>
    <col min="13573" max="13573" width="17.85546875" style="36" customWidth="1"/>
    <col min="13574" max="13574" width="18.42578125" style="36" customWidth="1"/>
    <col min="13575" max="13575" width="15.42578125" style="36" customWidth="1"/>
    <col min="13576" max="13576" width="14.5703125" style="36" customWidth="1"/>
    <col min="13577" max="13577" width="15" style="36" customWidth="1"/>
    <col min="13578" max="13578" width="6.7109375" style="36" customWidth="1"/>
    <col min="13579" max="13579" width="14.28515625" style="36" customWidth="1"/>
    <col min="13580" max="13580" width="17.5703125" style="36" customWidth="1"/>
    <col min="13581" max="13581" width="27.7109375" style="36" customWidth="1"/>
    <col min="13582" max="13584" width="9.140625" style="36" customWidth="1"/>
    <col min="13585" max="13585" width="14.85546875" style="36" customWidth="1"/>
    <col min="13586" max="13586" width="13.85546875" style="36" customWidth="1"/>
    <col min="13587" max="13808" width="9.140625" style="36" customWidth="1"/>
    <col min="13809" max="13809" width="9.140625" style="36"/>
    <col min="13810" max="13810" width="6.5703125" style="36" customWidth="1"/>
    <col min="13811" max="13811" width="79.5703125" style="36" customWidth="1"/>
    <col min="13812" max="13812" width="23.5703125" style="36" customWidth="1"/>
    <col min="13813" max="13813" width="27.85546875" style="36" customWidth="1"/>
    <col min="13814" max="13814" width="22.28515625" style="36" customWidth="1"/>
    <col min="13815" max="13815" width="23.5703125" style="36" customWidth="1"/>
    <col min="13816" max="13816" width="39" style="36" customWidth="1"/>
    <col min="13817" max="13817" width="36.42578125" style="36" customWidth="1"/>
    <col min="13818" max="13818" width="8" style="36" customWidth="1"/>
    <col min="13819" max="13819" width="15.5703125" style="36" customWidth="1"/>
    <col min="13820" max="13820" width="17.28515625" style="36" customWidth="1"/>
    <col min="13821" max="13821" width="18.85546875" style="36" customWidth="1"/>
    <col min="13822" max="13822" width="81" style="36" customWidth="1"/>
    <col min="13823" max="13823" width="14.85546875" style="36" customWidth="1"/>
    <col min="13824" max="13824" width="15.7109375" style="36" customWidth="1"/>
    <col min="13825" max="13825" width="17.5703125" style="36" customWidth="1"/>
    <col min="13826" max="13826" width="18.42578125" style="36" customWidth="1"/>
    <col min="13827" max="13827" width="16.5703125" style="36" customWidth="1"/>
    <col min="13828" max="13828" width="17.7109375" style="36" customWidth="1"/>
    <col min="13829" max="13829" width="17.85546875" style="36" customWidth="1"/>
    <col min="13830" max="13830" width="18.42578125" style="36" customWidth="1"/>
    <col min="13831" max="13831" width="15.42578125" style="36" customWidth="1"/>
    <col min="13832" max="13832" width="14.5703125" style="36" customWidth="1"/>
    <col min="13833" max="13833" width="15" style="36" customWidth="1"/>
    <col min="13834" max="13834" width="6.7109375" style="36" customWidth="1"/>
    <col min="13835" max="13835" width="14.28515625" style="36" customWidth="1"/>
    <col min="13836" max="13836" width="17.5703125" style="36" customWidth="1"/>
    <col min="13837" max="13837" width="27.7109375" style="36" customWidth="1"/>
    <col min="13838" max="13840" width="9.140625" style="36" customWidth="1"/>
    <col min="13841" max="13841" width="14.85546875" style="36" customWidth="1"/>
    <col min="13842" max="13842" width="13.85546875" style="36" customWidth="1"/>
    <col min="13843" max="14064" width="9.140625" style="36" customWidth="1"/>
    <col min="14065" max="14065" width="9.140625" style="36"/>
    <col min="14066" max="14066" width="6.5703125" style="36" customWidth="1"/>
    <col min="14067" max="14067" width="79.5703125" style="36" customWidth="1"/>
    <col min="14068" max="14068" width="23.5703125" style="36" customWidth="1"/>
    <col min="14069" max="14069" width="27.85546875" style="36" customWidth="1"/>
    <col min="14070" max="14070" width="22.28515625" style="36" customWidth="1"/>
    <col min="14071" max="14071" width="23.5703125" style="36" customWidth="1"/>
    <col min="14072" max="14072" width="39" style="36" customWidth="1"/>
    <col min="14073" max="14073" width="36.42578125" style="36" customWidth="1"/>
    <col min="14074" max="14074" width="8" style="36" customWidth="1"/>
    <col min="14075" max="14075" width="15.5703125" style="36" customWidth="1"/>
    <col min="14076" max="14076" width="17.28515625" style="36" customWidth="1"/>
    <col min="14077" max="14077" width="18.85546875" style="36" customWidth="1"/>
    <col min="14078" max="14078" width="81" style="36" customWidth="1"/>
    <col min="14079" max="14079" width="14.85546875" style="36" customWidth="1"/>
    <col min="14080" max="14080" width="15.7109375" style="36" customWidth="1"/>
    <col min="14081" max="14081" width="17.5703125" style="36" customWidth="1"/>
    <col min="14082" max="14082" width="18.42578125" style="36" customWidth="1"/>
    <col min="14083" max="14083" width="16.5703125" style="36" customWidth="1"/>
    <col min="14084" max="14084" width="17.7109375" style="36" customWidth="1"/>
    <col min="14085" max="14085" width="17.85546875" style="36" customWidth="1"/>
    <col min="14086" max="14086" width="18.42578125" style="36" customWidth="1"/>
    <col min="14087" max="14087" width="15.42578125" style="36" customWidth="1"/>
    <col min="14088" max="14088" width="14.5703125" style="36" customWidth="1"/>
    <col min="14089" max="14089" width="15" style="36" customWidth="1"/>
    <col min="14090" max="14090" width="6.7109375" style="36" customWidth="1"/>
    <col min="14091" max="14091" width="14.28515625" style="36" customWidth="1"/>
    <col min="14092" max="14092" width="17.5703125" style="36" customWidth="1"/>
    <col min="14093" max="14093" width="27.7109375" style="36" customWidth="1"/>
    <col min="14094" max="14096" width="9.140625" style="36" customWidth="1"/>
    <col min="14097" max="14097" width="14.85546875" style="36" customWidth="1"/>
    <col min="14098" max="14098" width="13.85546875" style="36" customWidth="1"/>
    <col min="14099" max="14320" width="9.140625" style="36" customWidth="1"/>
    <col min="14321" max="14321" width="9.140625" style="36"/>
    <col min="14322" max="14322" width="6.5703125" style="36" customWidth="1"/>
    <col min="14323" max="14323" width="79.5703125" style="36" customWidth="1"/>
    <col min="14324" max="14324" width="23.5703125" style="36" customWidth="1"/>
    <col min="14325" max="14325" width="27.85546875" style="36" customWidth="1"/>
    <col min="14326" max="14326" width="22.28515625" style="36" customWidth="1"/>
    <col min="14327" max="14327" width="23.5703125" style="36" customWidth="1"/>
    <col min="14328" max="14328" width="39" style="36" customWidth="1"/>
    <col min="14329" max="14329" width="36.42578125" style="36" customWidth="1"/>
    <col min="14330" max="14330" width="8" style="36" customWidth="1"/>
    <col min="14331" max="14331" width="15.5703125" style="36" customWidth="1"/>
    <col min="14332" max="14332" width="17.28515625" style="36" customWidth="1"/>
    <col min="14333" max="14333" width="18.85546875" style="36" customWidth="1"/>
    <col min="14334" max="14334" width="81" style="36" customWidth="1"/>
    <col min="14335" max="14335" width="14.85546875" style="36" customWidth="1"/>
    <col min="14336" max="14336" width="15.7109375" style="36" customWidth="1"/>
    <col min="14337" max="14337" width="17.5703125" style="36" customWidth="1"/>
    <col min="14338" max="14338" width="18.42578125" style="36" customWidth="1"/>
    <col min="14339" max="14339" width="16.5703125" style="36" customWidth="1"/>
    <col min="14340" max="14340" width="17.7109375" style="36" customWidth="1"/>
    <col min="14341" max="14341" width="17.85546875" style="36" customWidth="1"/>
    <col min="14342" max="14342" width="18.42578125" style="36" customWidth="1"/>
    <col min="14343" max="14343" width="15.42578125" style="36" customWidth="1"/>
    <col min="14344" max="14344" width="14.5703125" style="36" customWidth="1"/>
    <col min="14345" max="14345" width="15" style="36" customWidth="1"/>
    <col min="14346" max="14346" width="6.7109375" style="36" customWidth="1"/>
    <col min="14347" max="14347" width="14.28515625" style="36" customWidth="1"/>
    <col min="14348" max="14348" width="17.5703125" style="36" customWidth="1"/>
    <col min="14349" max="14349" width="27.7109375" style="36" customWidth="1"/>
    <col min="14350" max="14352" width="9.140625" style="36" customWidth="1"/>
    <col min="14353" max="14353" width="14.85546875" style="36" customWidth="1"/>
    <col min="14354" max="14354" width="13.85546875" style="36" customWidth="1"/>
    <col min="14355" max="14576" width="9.140625" style="36" customWidth="1"/>
    <col min="14577" max="14577" width="9.140625" style="36"/>
    <col min="14578" max="14578" width="6.5703125" style="36" customWidth="1"/>
    <col min="14579" max="14579" width="79.5703125" style="36" customWidth="1"/>
    <col min="14580" max="14580" width="23.5703125" style="36" customWidth="1"/>
    <col min="14581" max="14581" width="27.85546875" style="36" customWidth="1"/>
    <col min="14582" max="14582" width="22.28515625" style="36" customWidth="1"/>
    <col min="14583" max="14583" width="23.5703125" style="36" customWidth="1"/>
    <col min="14584" max="14584" width="39" style="36" customWidth="1"/>
    <col min="14585" max="14585" width="36.42578125" style="36" customWidth="1"/>
    <col min="14586" max="14586" width="8" style="36" customWidth="1"/>
    <col min="14587" max="14587" width="15.5703125" style="36" customWidth="1"/>
    <col min="14588" max="14588" width="17.28515625" style="36" customWidth="1"/>
    <col min="14589" max="14589" width="18.85546875" style="36" customWidth="1"/>
    <col min="14590" max="14590" width="81" style="36" customWidth="1"/>
    <col min="14591" max="14591" width="14.85546875" style="36" customWidth="1"/>
    <col min="14592" max="14592" width="15.7109375" style="36" customWidth="1"/>
    <col min="14593" max="14593" width="17.5703125" style="36" customWidth="1"/>
    <col min="14594" max="14594" width="18.42578125" style="36" customWidth="1"/>
    <col min="14595" max="14595" width="16.5703125" style="36" customWidth="1"/>
    <col min="14596" max="14596" width="17.7109375" style="36" customWidth="1"/>
    <col min="14597" max="14597" width="17.85546875" style="36" customWidth="1"/>
    <col min="14598" max="14598" width="18.42578125" style="36" customWidth="1"/>
    <col min="14599" max="14599" width="15.42578125" style="36" customWidth="1"/>
    <col min="14600" max="14600" width="14.5703125" style="36" customWidth="1"/>
    <col min="14601" max="14601" width="15" style="36" customWidth="1"/>
    <col min="14602" max="14602" width="6.7109375" style="36" customWidth="1"/>
    <col min="14603" max="14603" width="14.28515625" style="36" customWidth="1"/>
    <col min="14604" max="14604" width="17.5703125" style="36" customWidth="1"/>
    <col min="14605" max="14605" width="27.7109375" style="36" customWidth="1"/>
    <col min="14606" max="14608" width="9.140625" style="36" customWidth="1"/>
    <col min="14609" max="14609" width="14.85546875" style="36" customWidth="1"/>
    <col min="14610" max="14610" width="13.85546875" style="36" customWidth="1"/>
    <col min="14611" max="14832" width="9.140625" style="36" customWidth="1"/>
    <col min="14833" max="14833" width="9.140625" style="36"/>
    <col min="14834" max="14834" width="6.5703125" style="36" customWidth="1"/>
    <col min="14835" max="14835" width="79.5703125" style="36" customWidth="1"/>
    <col min="14836" max="14836" width="23.5703125" style="36" customWidth="1"/>
    <col min="14837" max="14837" width="27.85546875" style="36" customWidth="1"/>
    <col min="14838" max="14838" width="22.28515625" style="36" customWidth="1"/>
    <col min="14839" max="14839" width="23.5703125" style="36" customWidth="1"/>
    <col min="14840" max="14840" width="39" style="36" customWidth="1"/>
    <col min="14841" max="14841" width="36.42578125" style="36" customWidth="1"/>
    <col min="14842" max="14842" width="8" style="36" customWidth="1"/>
    <col min="14843" max="14843" width="15.5703125" style="36" customWidth="1"/>
    <col min="14844" max="14844" width="17.28515625" style="36" customWidth="1"/>
    <col min="14845" max="14845" width="18.85546875" style="36" customWidth="1"/>
    <col min="14846" max="14846" width="81" style="36" customWidth="1"/>
    <col min="14847" max="14847" width="14.85546875" style="36" customWidth="1"/>
    <col min="14848" max="14848" width="15.7109375" style="36" customWidth="1"/>
    <col min="14849" max="14849" width="17.5703125" style="36" customWidth="1"/>
    <col min="14850" max="14850" width="18.42578125" style="36" customWidth="1"/>
    <col min="14851" max="14851" width="16.5703125" style="36" customWidth="1"/>
    <col min="14852" max="14852" width="17.7109375" style="36" customWidth="1"/>
    <col min="14853" max="14853" width="17.85546875" style="36" customWidth="1"/>
    <col min="14854" max="14854" width="18.42578125" style="36" customWidth="1"/>
    <col min="14855" max="14855" width="15.42578125" style="36" customWidth="1"/>
    <col min="14856" max="14856" width="14.5703125" style="36" customWidth="1"/>
    <col min="14857" max="14857" width="15" style="36" customWidth="1"/>
    <col min="14858" max="14858" width="6.7109375" style="36" customWidth="1"/>
    <col min="14859" max="14859" width="14.28515625" style="36" customWidth="1"/>
    <col min="14860" max="14860" width="17.5703125" style="36" customWidth="1"/>
    <col min="14861" max="14861" width="27.7109375" style="36" customWidth="1"/>
    <col min="14862" max="14864" width="9.140625" style="36" customWidth="1"/>
    <col min="14865" max="14865" width="14.85546875" style="36" customWidth="1"/>
    <col min="14866" max="14866" width="13.85546875" style="36" customWidth="1"/>
    <col min="14867" max="15088" width="9.140625" style="36" customWidth="1"/>
    <col min="15089" max="15089" width="9.140625" style="36"/>
    <col min="15090" max="15090" width="6.5703125" style="36" customWidth="1"/>
    <col min="15091" max="15091" width="79.5703125" style="36" customWidth="1"/>
    <col min="15092" max="15092" width="23.5703125" style="36" customWidth="1"/>
    <col min="15093" max="15093" width="27.85546875" style="36" customWidth="1"/>
    <col min="15094" max="15094" width="22.28515625" style="36" customWidth="1"/>
    <col min="15095" max="15095" width="23.5703125" style="36" customWidth="1"/>
    <col min="15096" max="15096" width="39" style="36" customWidth="1"/>
    <col min="15097" max="15097" width="36.42578125" style="36" customWidth="1"/>
    <col min="15098" max="15098" width="8" style="36" customWidth="1"/>
    <col min="15099" max="15099" width="15.5703125" style="36" customWidth="1"/>
    <col min="15100" max="15100" width="17.28515625" style="36" customWidth="1"/>
    <col min="15101" max="15101" width="18.85546875" style="36" customWidth="1"/>
    <col min="15102" max="15102" width="81" style="36" customWidth="1"/>
    <col min="15103" max="15103" width="14.85546875" style="36" customWidth="1"/>
    <col min="15104" max="15104" width="15.7109375" style="36" customWidth="1"/>
    <col min="15105" max="15105" width="17.5703125" style="36" customWidth="1"/>
    <col min="15106" max="15106" width="18.42578125" style="36" customWidth="1"/>
    <col min="15107" max="15107" width="16.5703125" style="36" customWidth="1"/>
    <col min="15108" max="15108" width="17.7109375" style="36" customWidth="1"/>
    <col min="15109" max="15109" width="17.85546875" style="36" customWidth="1"/>
    <col min="15110" max="15110" width="18.42578125" style="36" customWidth="1"/>
    <col min="15111" max="15111" width="15.42578125" style="36" customWidth="1"/>
    <col min="15112" max="15112" width="14.5703125" style="36" customWidth="1"/>
    <col min="15113" max="15113" width="15" style="36" customWidth="1"/>
    <col min="15114" max="15114" width="6.7109375" style="36" customWidth="1"/>
    <col min="15115" max="15115" width="14.28515625" style="36" customWidth="1"/>
    <col min="15116" max="15116" width="17.5703125" style="36" customWidth="1"/>
    <col min="15117" max="15117" width="27.7109375" style="36" customWidth="1"/>
    <col min="15118" max="15120" width="9.140625" style="36" customWidth="1"/>
    <col min="15121" max="15121" width="14.85546875" style="36" customWidth="1"/>
    <col min="15122" max="15122" width="13.85546875" style="36" customWidth="1"/>
    <col min="15123" max="15344" width="9.140625" style="36" customWidth="1"/>
    <col min="15345" max="15345" width="9.140625" style="36"/>
    <col min="15346" max="15346" width="6.5703125" style="36" customWidth="1"/>
    <col min="15347" max="15347" width="79.5703125" style="36" customWidth="1"/>
    <col min="15348" max="15348" width="23.5703125" style="36" customWidth="1"/>
    <col min="15349" max="15349" width="27.85546875" style="36" customWidth="1"/>
    <col min="15350" max="15350" width="22.28515625" style="36" customWidth="1"/>
    <col min="15351" max="15351" width="23.5703125" style="36" customWidth="1"/>
    <col min="15352" max="15352" width="39" style="36" customWidth="1"/>
    <col min="15353" max="15353" width="36.42578125" style="36" customWidth="1"/>
    <col min="15354" max="15354" width="8" style="36" customWidth="1"/>
    <col min="15355" max="15355" width="15.5703125" style="36" customWidth="1"/>
    <col min="15356" max="15356" width="17.28515625" style="36" customWidth="1"/>
    <col min="15357" max="15357" width="18.85546875" style="36" customWidth="1"/>
    <col min="15358" max="15358" width="81" style="36" customWidth="1"/>
    <col min="15359" max="15359" width="14.85546875" style="36" customWidth="1"/>
    <col min="15360" max="15360" width="15.7109375" style="36" customWidth="1"/>
    <col min="15361" max="15361" width="17.5703125" style="36" customWidth="1"/>
    <col min="15362" max="15362" width="18.42578125" style="36" customWidth="1"/>
    <col min="15363" max="15363" width="16.5703125" style="36" customWidth="1"/>
    <col min="15364" max="15364" width="17.7109375" style="36" customWidth="1"/>
    <col min="15365" max="15365" width="17.85546875" style="36" customWidth="1"/>
    <col min="15366" max="15366" width="18.42578125" style="36" customWidth="1"/>
    <col min="15367" max="15367" width="15.42578125" style="36" customWidth="1"/>
    <col min="15368" max="15368" width="14.5703125" style="36" customWidth="1"/>
    <col min="15369" max="15369" width="15" style="36" customWidth="1"/>
    <col min="15370" max="15370" width="6.7109375" style="36" customWidth="1"/>
    <col min="15371" max="15371" width="14.28515625" style="36" customWidth="1"/>
    <col min="15372" max="15372" width="17.5703125" style="36" customWidth="1"/>
    <col min="15373" max="15373" width="27.7109375" style="36" customWidth="1"/>
    <col min="15374" max="15376" width="9.140625" style="36" customWidth="1"/>
    <col min="15377" max="15377" width="14.85546875" style="36" customWidth="1"/>
    <col min="15378" max="15378" width="13.85546875" style="36" customWidth="1"/>
    <col min="15379" max="15600" width="9.140625" style="36" customWidth="1"/>
    <col min="15601" max="15601" width="9.140625" style="36"/>
    <col min="15602" max="15602" width="6.5703125" style="36" customWidth="1"/>
    <col min="15603" max="15603" width="79.5703125" style="36" customWidth="1"/>
    <col min="15604" max="15604" width="23.5703125" style="36" customWidth="1"/>
    <col min="15605" max="15605" width="27.85546875" style="36" customWidth="1"/>
    <col min="15606" max="15606" width="22.28515625" style="36" customWidth="1"/>
    <col min="15607" max="15607" width="23.5703125" style="36" customWidth="1"/>
    <col min="15608" max="15608" width="39" style="36" customWidth="1"/>
    <col min="15609" max="15609" width="36.42578125" style="36" customWidth="1"/>
    <col min="15610" max="15610" width="8" style="36" customWidth="1"/>
    <col min="15611" max="15611" width="15.5703125" style="36" customWidth="1"/>
    <col min="15612" max="15612" width="17.28515625" style="36" customWidth="1"/>
    <col min="15613" max="15613" width="18.85546875" style="36" customWidth="1"/>
    <col min="15614" max="15614" width="81" style="36" customWidth="1"/>
    <col min="15615" max="15615" width="14.85546875" style="36" customWidth="1"/>
    <col min="15616" max="15616" width="15.7109375" style="36" customWidth="1"/>
    <col min="15617" max="15617" width="17.5703125" style="36" customWidth="1"/>
    <col min="15618" max="15618" width="18.42578125" style="36" customWidth="1"/>
    <col min="15619" max="15619" width="16.5703125" style="36" customWidth="1"/>
    <col min="15620" max="15620" width="17.7109375" style="36" customWidth="1"/>
    <col min="15621" max="15621" width="17.85546875" style="36" customWidth="1"/>
    <col min="15622" max="15622" width="18.42578125" style="36" customWidth="1"/>
    <col min="15623" max="15623" width="15.42578125" style="36" customWidth="1"/>
    <col min="15624" max="15624" width="14.5703125" style="36" customWidth="1"/>
    <col min="15625" max="15625" width="15" style="36" customWidth="1"/>
    <col min="15626" max="15626" width="6.7109375" style="36" customWidth="1"/>
    <col min="15627" max="15627" width="14.28515625" style="36" customWidth="1"/>
    <col min="15628" max="15628" width="17.5703125" style="36" customWidth="1"/>
    <col min="15629" max="15629" width="27.7109375" style="36" customWidth="1"/>
    <col min="15630" max="15632" width="9.140625" style="36" customWidth="1"/>
    <col min="15633" max="15633" width="14.85546875" style="36" customWidth="1"/>
    <col min="15634" max="15634" width="13.85546875" style="36" customWidth="1"/>
    <col min="15635" max="15856" width="9.140625" style="36" customWidth="1"/>
    <col min="15857" max="15857" width="9.140625" style="36"/>
    <col min="15858" max="15858" width="6.5703125" style="36" customWidth="1"/>
    <col min="15859" max="15859" width="79.5703125" style="36" customWidth="1"/>
    <col min="15860" max="15860" width="23.5703125" style="36" customWidth="1"/>
    <col min="15861" max="15861" width="27.85546875" style="36" customWidth="1"/>
    <col min="15862" max="15862" width="22.28515625" style="36" customWidth="1"/>
    <col min="15863" max="15863" width="23.5703125" style="36" customWidth="1"/>
    <col min="15864" max="15864" width="39" style="36" customWidth="1"/>
    <col min="15865" max="15865" width="36.42578125" style="36" customWidth="1"/>
    <col min="15866" max="15866" width="8" style="36" customWidth="1"/>
    <col min="15867" max="15867" width="15.5703125" style="36" customWidth="1"/>
    <col min="15868" max="15868" width="17.28515625" style="36" customWidth="1"/>
    <col min="15869" max="15869" width="18.85546875" style="36" customWidth="1"/>
    <col min="15870" max="15870" width="81" style="36" customWidth="1"/>
    <col min="15871" max="15871" width="14.85546875" style="36" customWidth="1"/>
    <col min="15872" max="15872" width="15.7109375" style="36" customWidth="1"/>
    <col min="15873" max="15873" width="17.5703125" style="36" customWidth="1"/>
    <col min="15874" max="15874" width="18.42578125" style="36" customWidth="1"/>
    <col min="15875" max="15875" width="16.5703125" style="36" customWidth="1"/>
    <col min="15876" max="15876" width="17.7109375" style="36" customWidth="1"/>
    <col min="15877" max="15877" width="17.85546875" style="36" customWidth="1"/>
    <col min="15878" max="15878" width="18.42578125" style="36" customWidth="1"/>
    <col min="15879" max="15879" width="15.42578125" style="36" customWidth="1"/>
    <col min="15880" max="15880" width="14.5703125" style="36" customWidth="1"/>
    <col min="15881" max="15881" width="15" style="36" customWidth="1"/>
    <col min="15882" max="15882" width="6.7109375" style="36" customWidth="1"/>
    <col min="15883" max="15883" width="14.28515625" style="36" customWidth="1"/>
    <col min="15884" max="15884" width="17.5703125" style="36" customWidth="1"/>
    <col min="15885" max="15885" width="27.7109375" style="36" customWidth="1"/>
    <col min="15886" max="15888" width="9.140625" style="36" customWidth="1"/>
    <col min="15889" max="15889" width="14.85546875" style="36" customWidth="1"/>
    <col min="15890" max="15890" width="13.85546875" style="36" customWidth="1"/>
    <col min="15891" max="16112" width="9.140625" style="36" customWidth="1"/>
    <col min="16113" max="16113" width="9.140625" style="36"/>
    <col min="16114" max="16114" width="6.5703125" style="36" customWidth="1"/>
    <col min="16115" max="16115" width="79.5703125" style="36" customWidth="1"/>
    <col min="16116" max="16116" width="23.5703125" style="36" customWidth="1"/>
    <col min="16117" max="16117" width="27.85546875" style="36" customWidth="1"/>
    <col min="16118" max="16118" width="22.28515625" style="36" customWidth="1"/>
    <col min="16119" max="16119" width="23.5703125" style="36" customWidth="1"/>
    <col min="16120" max="16120" width="39" style="36" customWidth="1"/>
    <col min="16121" max="16121" width="36.42578125" style="36" customWidth="1"/>
    <col min="16122" max="16122" width="8" style="36" customWidth="1"/>
    <col min="16123" max="16123" width="15.5703125" style="36" customWidth="1"/>
    <col min="16124" max="16124" width="17.28515625" style="36" customWidth="1"/>
    <col min="16125" max="16125" width="18.85546875" style="36" customWidth="1"/>
    <col min="16126" max="16126" width="81" style="36" customWidth="1"/>
    <col min="16127" max="16127" width="14.85546875" style="36" customWidth="1"/>
    <col min="16128" max="16128" width="15.7109375" style="36" customWidth="1"/>
    <col min="16129" max="16129" width="17.5703125" style="36" customWidth="1"/>
    <col min="16130" max="16130" width="18.42578125" style="36" customWidth="1"/>
    <col min="16131" max="16131" width="16.5703125" style="36" customWidth="1"/>
    <col min="16132" max="16132" width="17.7109375" style="36" customWidth="1"/>
    <col min="16133" max="16133" width="17.85546875" style="36" customWidth="1"/>
    <col min="16134" max="16134" width="18.42578125" style="36" customWidth="1"/>
    <col min="16135" max="16135" width="15.42578125" style="36" customWidth="1"/>
    <col min="16136" max="16136" width="14.5703125" style="36" customWidth="1"/>
    <col min="16137" max="16137" width="15" style="36" customWidth="1"/>
    <col min="16138" max="16138" width="6.7109375" style="36" customWidth="1"/>
    <col min="16139" max="16139" width="14.28515625" style="36" customWidth="1"/>
    <col min="16140" max="16140" width="17.5703125" style="36" customWidth="1"/>
    <col min="16141" max="16141" width="27.7109375" style="36" customWidth="1"/>
    <col min="16142" max="16144" width="9.140625" style="36" customWidth="1"/>
    <col min="16145" max="16145" width="14.85546875" style="36" customWidth="1"/>
    <col min="16146" max="16146" width="13.85546875" style="36" customWidth="1"/>
    <col min="16147" max="16362" width="9.140625" style="36" customWidth="1"/>
    <col min="16363" max="16384" width="9.140625" style="36"/>
  </cols>
  <sheetData>
    <row r="1" spans="1:20" s="5" customFormat="1" ht="31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20" s="18" customFormat="1" x14ac:dyDescent="0.2">
      <c r="A2" s="6" t="s">
        <v>16</v>
      </c>
      <c r="B2" s="7" t="s">
        <v>17</v>
      </c>
      <c r="C2" s="8">
        <v>66832667434</v>
      </c>
      <c r="D2" s="9" t="s">
        <v>18</v>
      </c>
      <c r="E2" s="10">
        <v>2</v>
      </c>
      <c r="F2" s="11" t="s">
        <v>19</v>
      </c>
      <c r="G2" s="12" t="s">
        <v>20</v>
      </c>
      <c r="H2" s="13">
        <v>1</v>
      </c>
      <c r="I2" s="14">
        <v>44</v>
      </c>
      <c r="J2" s="15">
        <v>1212.4000000000001</v>
      </c>
      <c r="K2" s="15">
        <v>0</v>
      </c>
      <c r="L2" s="15">
        <v>0</v>
      </c>
      <c r="M2" s="15">
        <v>209</v>
      </c>
      <c r="N2" s="15">
        <v>0</v>
      </c>
      <c r="O2" s="15">
        <f>112.24+72.74</f>
        <v>184.98</v>
      </c>
      <c r="P2" s="16">
        <f t="shared" ref="P2:P33" si="0">SUM(J2:N2)-O2</f>
        <v>1236.42</v>
      </c>
      <c r="Q2" s="17"/>
      <c r="R2" s="17"/>
      <c r="S2" s="17"/>
      <c r="T2" s="17"/>
    </row>
    <row r="3" spans="1:20" s="18" customFormat="1" x14ac:dyDescent="0.2">
      <c r="A3" s="6" t="s">
        <v>16</v>
      </c>
      <c r="B3" s="7" t="s">
        <v>17</v>
      </c>
      <c r="C3" s="8" t="s">
        <v>21</v>
      </c>
      <c r="D3" s="9" t="s">
        <v>22</v>
      </c>
      <c r="E3" s="10">
        <v>3</v>
      </c>
      <c r="F3" s="11" t="s">
        <v>23</v>
      </c>
      <c r="G3" s="12" t="s">
        <v>20</v>
      </c>
      <c r="H3" s="13">
        <v>1</v>
      </c>
      <c r="I3" s="14">
        <v>44</v>
      </c>
      <c r="J3" s="15">
        <v>1045</v>
      </c>
      <c r="K3" s="15">
        <v>0</v>
      </c>
      <c r="L3" s="15">
        <v>0</v>
      </c>
      <c r="M3" s="15">
        <f>209+36.23+181.13</f>
        <v>426.36</v>
      </c>
      <c r="N3" s="15">
        <v>0</v>
      </c>
      <c r="O3" s="15">
        <f>20.9+116.74+62.7</f>
        <v>200.33999999999997</v>
      </c>
      <c r="P3" s="16">
        <f t="shared" si="0"/>
        <v>1271.0200000000002</v>
      </c>
      <c r="Q3" s="17"/>
      <c r="R3" s="17"/>
      <c r="S3" s="17"/>
      <c r="T3" s="17"/>
    </row>
    <row r="4" spans="1:20" s="18" customFormat="1" x14ac:dyDescent="0.2">
      <c r="A4" s="6" t="s">
        <v>16</v>
      </c>
      <c r="B4" s="7" t="s">
        <v>17</v>
      </c>
      <c r="C4" s="8">
        <v>13595668480</v>
      </c>
      <c r="D4" s="9" t="s">
        <v>24</v>
      </c>
      <c r="E4" s="10">
        <v>3</v>
      </c>
      <c r="F4" s="19" t="s">
        <v>25</v>
      </c>
      <c r="G4" s="12" t="s">
        <v>20</v>
      </c>
      <c r="H4" s="13">
        <v>1</v>
      </c>
      <c r="I4" s="14">
        <v>44</v>
      </c>
      <c r="J4" s="15">
        <v>1055.93</v>
      </c>
      <c r="K4" s="15">
        <v>0</v>
      </c>
      <c r="L4" s="15">
        <v>0</v>
      </c>
      <c r="M4" s="15">
        <f>209+14.05+70.27</f>
        <v>293.32</v>
      </c>
      <c r="N4" s="15">
        <v>0</v>
      </c>
      <c r="O4" s="15">
        <f>21.12+105.75+63.36</f>
        <v>190.23000000000002</v>
      </c>
      <c r="P4" s="16">
        <f t="shared" si="0"/>
        <v>1159.02</v>
      </c>
      <c r="Q4" s="17"/>
      <c r="R4" s="17"/>
      <c r="S4" s="17"/>
      <c r="T4" s="17"/>
    </row>
    <row r="5" spans="1:20" s="18" customFormat="1" x14ac:dyDescent="0.2">
      <c r="A5" s="6" t="s">
        <v>16</v>
      </c>
      <c r="B5" s="7" t="s">
        <v>17</v>
      </c>
      <c r="C5" s="8" t="s">
        <v>26</v>
      </c>
      <c r="D5" s="9" t="s">
        <v>27</v>
      </c>
      <c r="E5" s="10">
        <v>3</v>
      </c>
      <c r="F5" s="11" t="s">
        <v>28</v>
      </c>
      <c r="G5" s="12" t="s">
        <v>20</v>
      </c>
      <c r="H5" s="13">
        <v>2</v>
      </c>
      <c r="I5" s="14">
        <v>44</v>
      </c>
      <c r="J5" s="15">
        <v>3387.62</v>
      </c>
      <c r="K5" s="15">
        <v>0</v>
      </c>
      <c r="L5" s="15">
        <v>0</v>
      </c>
      <c r="M5" s="15">
        <v>209</v>
      </c>
      <c r="N5" s="15">
        <v>0</v>
      </c>
      <c r="O5" s="15">
        <f>67.75+362.46+130.32</f>
        <v>560.53</v>
      </c>
      <c r="P5" s="16">
        <f t="shared" si="0"/>
        <v>3036.09</v>
      </c>
      <c r="Q5" s="17"/>
      <c r="R5" s="17"/>
      <c r="S5" s="17"/>
      <c r="T5" s="17"/>
    </row>
    <row r="6" spans="1:20" s="21" customFormat="1" x14ac:dyDescent="0.25">
      <c r="A6" s="6" t="s">
        <v>16</v>
      </c>
      <c r="B6" s="7" t="s">
        <v>17</v>
      </c>
      <c r="C6" s="8">
        <v>10004995457</v>
      </c>
      <c r="D6" s="9" t="s">
        <v>29</v>
      </c>
      <c r="E6" s="10">
        <v>2</v>
      </c>
      <c r="F6" s="11" t="s">
        <v>30</v>
      </c>
      <c r="G6" s="12" t="s">
        <v>20</v>
      </c>
      <c r="H6" s="13">
        <v>2</v>
      </c>
      <c r="I6" s="14">
        <v>44</v>
      </c>
      <c r="J6" s="15">
        <v>1715.49</v>
      </c>
      <c r="K6" s="15">
        <v>0</v>
      </c>
      <c r="L6" s="15">
        <v>857.75</v>
      </c>
      <c r="M6" s="15">
        <f>209+39.96+199.79</f>
        <v>448.75</v>
      </c>
      <c r="N6" s="15">
        <v>0</v>
      </c>
      <c r="O6" s="15">
        <f>2.43+181.33</f>
        <v>183.76000000000002</v>
      </c>
      <c r="P6" s="16">
        <f t="shared" si="0"/>
        <v>2838.2299999999996</v>
      </c>
      <c r="Q6" s="20"/>
      <c r="R6" s="20"/>
      <c r="S6" s="20"/>
      <c r="T6" s="20"/>
    </row>
    <row r="7" spans="1:20" s="21" customFormat="1" x14ac:dyDescent="0.25">
      <c r="A7" s="6" t="s">
        <v>16</v>
      </c>
      <c r="B7" s="7" t="s">
        <v>17</v>
      </c>
      <c r="C7" s="8" t="s">
        <v>31</v>
      </c>
      <c r="D7" s="9" t="s">
        <v>32</v>
      </c>
      <c r="E7" s="10">
        <v>2</v>
      </c>
      <c r="F7" s="11" t="s">
        <v>19</v>
      </c>
      <c r="G7" s="12" t="s">
        <v>20</v>
      </c>
      <c r="H7" s="13">
        <v>1</v>
      </c>
      <c r="I7" s="14">
        <v>44</v>
      </c>
      <c r="J7" s="15">
        <v>1212.4000000000001</v>
      </c>
      <c r="K7" s="15">
        <v>0</v>
      </c>
      <c r="L7" s="15">
        <v>0</v>
      </c>
      <c r="M7" s="15">
        <f>209+34.57+172.86</f>
        <v>416.43</v>
      </c>
      <c r="N7" s="15">
        <v>0</v>
      </c>
      <c r="O7" s="15">
        <v>130.91</v>
      </c>
      <c r="P7" s="16">
        <f t="shared" si="0"/>
        <v>1497.92</v>
      </c>
      <c r="Q7" s="20"/>
      <c r="R7" s="20"/>
      <c r="S7" s="20"/>
      <c r="T7" s="20"/>
    </row>
    <row r="8" spans="1:20" s="21" customFormat="1" x14ac:dyDescent="0.25">
      <c r="A8" s="6" t="s">
        <v>16</v>
      </c>
      <c r="B8" s="7" t="s">
        <v>17</v>
      </c>
      <c r="C8" s="8" t="s">
        <v>33</v>
      </c>
      <c r="D8" s="9" t="s">
        <v>34</v>
      </c>
      <c r="E8" s="10">
        <v>2</v>
      </c>
      <c r="F8" s="11" t="s">
        <v>35</v>
      </c>
      <c r="G8" s="12" t="s">
        <v>20</v>
      </c>
      <c r="H8" s="13">
        <v>1</v>
      </c>
      <c r="I8" s="14">
        <v>44</v>
      </c>
      <c r="J8" s="15">
        <v>2030.47</v>
      </c>
      <c r="K8" s="15">
        <v>0</v>
      </c>
      <c r="L8" s="15">
        <v>0</v>
      </c>
      <c r="M8" s="15">
        <f>56.85+284.27+812.19</f>
        <v>1153.31</v>
      </c>
      <c r="N8" s="15">
        <v>0</v>
      </c>
      <c r="O8" s="15">
        <f>304.66+44.7</f>
        <v>349.36</v>
      </c>
      <c r="P8" s="16">
        <f t="shared" si="0"/>
        <v>2834.4199999999996</v>
      </c>
      <c r="Q8" s="20"/>
      <c r="R8" s="20"/>
      <c r="S8" s="20"/>
      <c r="T8" s="20"/>
    </row>
    <row r="9" spans="1:20" s="18" customFormat="1" x14ac:dyDescent="0.2">
      <c r="A9" s="6" t="s">
        <v>16</v>
      </c>
      <c r="B9" s="7" t="s">
        <v>17</v>
      </c>
      <c r="C9" s="8" t="s">
        <v>36</v>
      </c>
      <c r="D9" s="9" t="s">
        <v>37</v>
      </c>
      <c r="E9" s="10">
        <v>2</v>
      </c>
      <c r="F9" s="11" t="s">
        <v>19</v>
      </c>
      <c r="G9" s="12" t="s">
        <v>20</v>
      </c>
      <c r="H9" s="13">
        <v>1</v>
      </c>
      <c r="I9" s="14">
        <v>44</v>
      </c>
      <c r="J9" s="15">
        <v>1212.4000000000001</v>
      </c>
      <c r="K9" s="15">
        <v>0</v>
      </c>
      <c r="L9" s="15">
        <v>0</v>
      </c>
      <c r="M9" s="15">
        <f>209+15.79+78.97</f>
        <v>303.76</v>
      </c>
      <c r="N9" s="15">
        <v>0</v>
      </c>
      <c r="O9" s="15">
        <f>120.77+72.74</f>
        <v>193.51</v>
      </c>
      <c r="P9" s="16">
        <f t="shared" si="0"/>
        <v>1322.65</v>
      </c>
      <c r="Q9" s="17"/>
      <c r="R9" s="17"/>
      <c r="S9" s="17"/>
      <c r="T9" s="17"/>
    </row>
    <row r="10" spans="1:20" s="18" customFormat="1" x14ac:dyDescent="0.2">
      <c r="A10" s="6" t="s">
        <v>16</v>
      </c>
      <c r="B10" s="7" t="s">
        <v>17</v>
      </c>
      <c r="C10" s="8" t="s">
        <v>38</v>
      </c>
      <c r="D10" s="9" t="s">
        <v>39</v>
      </c>
      <c r="E10" s="10">
        <v>3</v>
      </c>
      <c r="F10" s="19" t="s">
        <v>25</v>
      </c>
      <c r="G10" s="12" t="s">
        <v>20</v>
      </c>
      <c r="H10" s="13">
        <v>1</v>
      </c>
      <c r="I10" s="14">
        <v>44</v>
      </c>
      <c r="J10" s="15">
        <v>1055.93</v>
      </c>
      <c r="K10" s="15">
        <v>0</v>
      </c>
      <c r="L10" s="15">
        <v>0</v>
      </c>
      <c r="M10" s="15">
        <f>209</f>
        <v>209</v>
      </c>
      <c r="N10" s="15">
        <v>0</v>
      </c>
      <c r="O10" s="15">
        <f>21.12+98.16</f>
        <v>119.28</v>
      </c>
      <c r="P10" s="16">
        <f t="shared" si="0"/>
        <v>1145.6500000000001</v>
      </c>
      <c r="Q10" s="17"/>
      <c r="R10" s="17"/>
      <c r="S10" s="17"/>
      <c r="T10" s="17"/>
    </row>
    <row r="11" spans="1:20" s="21" customFormat="1" x14ac:dyDescent="0.25">
      <c r="A11" s="6" t="s">
        <v>16</v>
      </c>
      <c r="B11" s="7" t="s">
        <v>17</v>
      </c>
      <c r="C11" s="8">
        <v>88999882420</v>
      </c>
      <c r="D11" s="9" t="s">
        <v>40</v>
      </c>
      <c r="E11" s="10">
        <v>3</v>
      </c>
      <c r="F11" s="19" t="s">
        <v>25</v>
      </c>
      <c r="G11" s="12" t="s">
        <v>20</v>
      </c>
      <c r="H11" s="13">
        <v>1</v>
      </c>
      <c r="I11" s="14">
        <v>44</v>
      </c>
      <c r="J11" s="15">
        <v>1055.93</v>
      </c>
      <c r="K11" s="15">
        <v>0</v>
      </c>
      <c r="L11" s="15">
        <v>0</v>
      </c>
      <c r="M11" s="15">
        <f>209+33.48+167.38</f>
        <v>409.86</v>
      </c>
      <c r="N11" s="15">
        <v>0</v>
      </c>
      <c r="O11" s="15">
        <f>21.12+116.24+63.36</f>
        <v>200.71999999999997</v>
      </c>
      <c r="P11" s="16">
        <f t="shared" si="0"/>
        <v>1265.07</v>
      </c>
      <c r="Q11" s="20"/>
      <c r="R11" s="20"/>
      <c r="S11" s="20"/>
      <c r="T11" s="20"/>
    </row>
    <row r="12" spans="1:20" s="21" customFormat="1" x14ac:dyDescent="0.25">
      <c r="A12" s="6" t="s">
        <v>16</v>
      </c>
      <c r="B12" s="7" t="s">
        <v>17</v>
      </c>
      <c r="C12" s="8" t="s">
        <v>41</v>
      </c>
      <c r="D12" s="9" t="s">
        <v>42</v>
      </c>
      <c r="E12" s="10">
        <v>2</v>
      </c>
      <c r="F12" s="11" t="s">
        <v>19</v>
      </c>
      <c r="G12" s="12" t="s">
        <v>20</v>
      </c>
      <c r="H12" s="13">
        <v>1</v>
      </c>
      <c r="I12" s="14">
        <v>44</v>
      </c>
      <c r="J12" s="15">
        <v>1212.4000000000001</v>
      </c>
      <c r="K12" s="15">
        <v>0</v>
      </c>
      <c r="L12" s="15">
        <v>0</v>
      </c>
      <c r="M12" s="15">
        <f>209</f>
        <v>209</v>
      </c>
      <c r="N12" s="15">
        <v>0</v>
      </c>
      <c r="O12" s="15">
        <f>112.24+72.74</f>
        <v>184.98</v>
      </c>
      <c r="P12" s="16">
        <f t="shared" si="0"/>
        <v>1236.42</v>
      </c>
      <c r="Q12" s="20"/>
      <c r="R12" s="20"/>
      <c r="S12" s="20"/>
      <c r="T12" s="20"/>
    </row>
    <row r="13" spans="1:20" s="21" customFormat="1" x14ac:dyDescent="0.25">
      <c r="A13" s="6" t="s">
        <v>16</v>
      </c>
      <c r="B13" s="7" t="s">
        <v>17</v>
      </c>
      <c r="C13" s="8" t="s">
        <v>43</v>
      </c>
      <c r="D13" s="22" t="s">
        <v>44</v>
      </c>
      <c r="E13" s="10">
        <v>2</v>
      </c>
      <c r="F13" s="11" t="s">
        <v>19</v>
      </c>
      <c r="G13" s="12" t="s">
        <v>20</v>
      </c>
      <c r="H13" s="13">
        <v>1</v>
      </c>
      <c r="I13" s="14">
        <v>44</v>
      </c>
      <c r="J13" s="15">
        <v>1212.4000000000001</v>
      </c>
      <c r="K13" s="15">
        <v>0</v>
      </c>
      <c r="L13" s="15">
        <v>0</v>
      </c>
      <c r="M13" s="15">
        <f>209+31.61+158.03</f>
        <v>398.64</v>
      </c>
      <c r="N13" s="15">
        <v>0</v>
      </c>
      <c r="O13" s="15">
        <f>72.74+129.31</f>
        <v>202.05</v>
      </c>
      <c r="P13" s="16">
        <f t="shared" si="0"/>
        <v>1408.99</v>
      </c>
      <c r="Q13" s="20"/>
      <c r="R13" s="20"/>
      <c r="S13" s="20"/>
      <c r="T13" s="20"/>
    </row>
    <row r="14" spans="1:20" s="21" customFormat="1" x14ac:dyDescent="0.25">
      <c r="A14" s="6" t="s">
        <v>16</v>
      </c>
      <c r="B14" s="7" t="s">
        <v>17</v>
      </c>
      <c r="C14" s="8" t="s">
        <v>45</v>
      </c>
      <c r="D14" s="9" t="s">
        <v>46</v>
      </c>
      <c r="E14" s="10">
        <v>2</v>
      </c>
      <c r="F14" s="11" t="s">
        <v>19</v>
      </c>
      <c r="G14" s="12" t="s">
        <v>20</v>
      </c>
      <c r="H14" s="13">
        <v>1</v>
      </c>
      <c r="I14" s="14">
        <v>44</v>
      </c>
      <c r="J14" s="15">
        <v>1212.4000000000001</v>
      </c>
      <c r="K14" s="15">
        <v>0</v>
      </c>
      <c r="L14" s="15">
        <v>0</v>
      </c>
      <c r="M14" s="15">
        <f>48.62+209</f>
        <v>257.62</v>
      </c>
      <c r="N14" s="15">
        <v>0</v>
      </c>
      <c r="O14" s="15">
        <f>112.24+72.74</f>
        <v>184.98</v>
      </c>
      <c r="P14" s="16">
        <f t="shared" si="0"/>
        <v>1285.04</v>
      </c>
      <c r="Q14" s="20"/>
      <c r="R14" s="20"/>
      <c r="S14" s="20"/>
      <c r="T14" s="20"/>
    </row>
    <row r="15" spans="1:20" s="21" customFormat="1" x14ac:dyDescent="0.25">
      <c r="A15" s="6" t="s">
        <v>16</v>
      </c>
      <c r="B15" s="7" t="s">
        <v>17</v>
      </c>
      <c r="C15" s="8" t="s">
        <v>47</v>
      </c>
      <c r="D15" s="9" t="s">
        <v>48</v>
      </c>
      <c r="E15" s="10">
        <v>2</v>
      </c>
      <c r="F15" s="11" t="s">
        <v>35</v>
      </c>
      <c r="G15" s="12" t="s">
        <v>20</v>
      </c>
      <c r="H15" s="13">
        <v>1</v>
      </c>
      <c r="I15" s="14">
        <v>44</v>
      </c>
      <c r="J15" s="15">
        <v>2030.47</v>
      </c>
      <c r="K15" s="15">
        <v>0</v>
      </c>
      <c r="L15" s="15">
        <v>0</v>
      </c>
      <c r="M15" s="15">
        <f>56.85+284.27+812.19</f>
        <v>1153.31</v>
      </c>
      <c r="N15" s="15">
        <v>0</v>
      </c>
      <c r="O15" s="15">
        <f>304.66+77.07</f>
        <v>381.73</v>
      </c>
      <c r="P15" s="16">
        <f t="shared" si="0"/>
        <v>2802.0499999999997</v>
      </c>
      <c r="Q15" s="20"/>
      <c r="R15" s="20"/>
      <c r="S15" s="20"/>
      <c r="T15" s="20"/>
    </row>
    <row r="16" spans="1:20" s="21" customFormat="1" x14ac:dyDescent="0.25">
      <c r="A16" s="6" t="s">
        <v>16</v>
      </c>
      <c r="B16" s="7" t="s">
        <v>17</v>
      </c>
      <c r="C16" s="8" t="s">
        <v>49</v>
      </c>
      <c r="D16" s="9" t="s">
        <v>50</v>
      </c>
      <c r="E16" s="10">
        <v>2</v>
      </c>
      <c r="F16" s="11" t="s">
        <v>30</v>
      </c>
      <c r="G16" s="12" t="s">
        <v>20</v>
      </c>
      <c r="H16" s="13">
        <v>1</v>
      </c>
      <c r="I16" s="14">
        <v>44</v>
      </c>
      <c r="J16" s="15">
        <v>1847.47</v>
      </c>
      <c r="K16" s="15">
        <v>0</v>
      </c>
      <c r="L16" s="15">
        <v>923.74</v>
      </c>
      <c r="M16" s="15">
        <f>209+65.81+329.04+81.14</f>
        <v>684.99</v>
      </c>
      <c r="N16" s="15">
        <v>0</v>
      </c>
      <c r="O16" s="15">
        <f>2.43+225.52</f>
        <v>227.95000000000002</v>
      </c>
      <c r="P16" s="16">
        <f t="shared" si="0"/>
        <v>3228.25</v>
      </c>
      <c r="Q16" s="20"/>
      <c r="R16" s="20"/>
      <c r="S16" s="20"/>
      <c r="T16" s="20"/>
    </row>
    <row r="17" spans="1:20" s="21" customFormat="1" x14ac:dyDescent="0.25">
      <c r="A17" s="6" t="s">
        <v>16</v>
      </c>
      <c r="B17" s="7" t="s">
        <v>17</v>
      </c>
      <c r="C17" s="8" t="s">
        <v>51</v>
      </c>
      <c r="D17" s="9" t="s">
        <v>52</v>
      </c>
      <c r="E17" s="10">
        <v>2</v>
      </c>
      <c r="F17" s="23" t="s">
        <v>53</v>
      </c>
      <c r="G17" s="12" t="s">
        <v>20</v>
      </c>
      <c r="H17" s="13">
        <v>1</v>
      </c>
      <c r="I17" s="14">
        <v>44</v>
      </c>
      <c r="J17" s="15">
        <v>1500</v>
      </c>
      <c r="K17" s="15">
        <v>0</v>
      </c>
      <c r="L17" s="15">
        <v>0</v>
      </c>
      <c r="M17" s="15">
        <v>209</v>
      </c>
      <c r="N17" s="15">
        <v>0</v>
      </c>
      <c r="O17" s="15">
        <v>138.13</v>
      </c>
      <c r="P17" s="16">
        <f t="shared" si="0"/>
        <v>1570.87</v>
      </c>
      <c r="Q17" s="20"/>
      <c r="R17" s="20"/>
      <c r="S17" s="20"/>
      <c r="T17" s="20"/>
    </row>
    <row r="18" spans="1:20" s="21" customFormat="1" x14ac:dyDescent="0.25">
      <c r="A18" s="6" t="s">
        <v>16</v>
      </c>
      <c r="B18" s="7" t="s">
        <v>17</v>
      </c>
      <c r="C18" s="8">
        <v>10283186429</v>
      </c>
      <c r="D18" s="9" t="s">
        <v>54</v>
      </c>
      <c r="E18" s="10">
        <v>2</v>
      </c>
      <c r="F18" s="19" t="s">
        <v>55</v>
      </c>
      <c r="G18" s="12" t="s">
        <v>20</v>
      </c>
      <c r="H18" s="13">
        <v>1</v>
      </c>
      <c r="I18" s="14">
        <v>44</v>
      </c>
      <c r="J18" s="15">
        <v>1208.82</v>
      </c>
      <c r="K18" s="15">
        <v>0</v>
      </c>
      <c r="L18" s="15">
        <v>0</v>
      </c>
      <c r="M18" s="15">
        <f>209+3.15+15.75</f>
        <v>227.9</v>
      </c>
      <c r="N18" s="15">
        <v>0</v>
      </c>
      <c r="O18" s="15">
        <f>24.18+113.62+72.53</f>
        <v>210.33</v>
      </c>
      <c r="P18" s="16">
        <f t="shared" si="0"/>
        <v>1226.3900000000001</v>
      </c>
      <c r="Q18" s="20"/>
      <c r="R18" s="20"/>
      <c r="S18" s="20"/>
      <c r="T18" s="20"/>
    </row>
    <row r="19" spans="1:20" s="21" customFormat="1" x14ac:dyDescent="0.25">
      <c r="A19" s="6" t="s">
        <v>16</v>
      </c>
      <c r="B19" s="7" t="s">
        <v>17</v>
      </c>
      <c r="C19" s="8" t="s">
        <v>56</v>
      </c>
      <c r="D19" s="22" t="s">
        <v>57</v>
      </c>
      <c r="E19" s="10">
        <v>2</v>
      </c>
      <c r="F19" s="19" t="s">
        <v>55</v>
      </c>
      <c r="G19" s="12" t="s">
        <v>20</v>
      </c>
      <c r="H19" s="13">
        <v>1</v>
      </c>
      <c r="I19" s="14">
        <v>44</v>
      </c>
      <c r="J19" s="15">
        <v>1208.82</v>
      </c>
      <c r="K19" s="15">
        <v>0</v>
      </c>
      <c r="L19" s="15">
        <v>0</v>
      </c>
      <c r="M19" s="15">
        <v>209</v>
      </c>
      <c r="N19" s="15">
        <v>0</v>
      </c>
      <c r="O19" s="15">
        <f>24.18+111.92+72.53</f>
        <v>208.63</v>
      </c>
      <c r="P19" s="16">
        <f t="shared" si="0"/>
        <v>1209.19</v>
      </c>
      <c r="Q19" s="20"/>
      <c r="R19" s="20"/>
      <c r="S19" s="20"/>
      <c r="T19" s="20"/>
    </row>
    <row r="20" spans="1:20" s="21" customFormat="1" x14ac:dyDescent="0.25">
      <c r="A20" s="6" t="s">
        <v>16</v>
      </c>
      <c r="B20" s="7" t="s">
        <v>17</v>
      </c>
      <c r="C20" s="8" t="s">
        <v>58</v>
      </c>
      <c r="D20" s="9" t="s">
        <v>59</v>
      </c>
      <c r="E20" s="10">
        <v>3</v>
      </c>
      <c r="F20" s="24" t="s">
        <v>60</v>
      </c>
      <c r="G20" s="12" t="s">
        <v>20</v>
      </c>
      <c r="H20" s="13">
        <v>1</v>
      </c>
      <c r="I20" s="14">
        <v>44</v>
      </c>
      <c r="J20" s="15">
        <v>1045</v>
      </c>
      <c r="K20" s="15">
        <v>0</v>
      </c>
      <c r="L20" s="15">
        <v>0</v>
      </c>
      <c r="M20" s="15">
        <f>209+36.23+181.13</f>
        <v>426.36</v>
      </c>
      <c r="N20" s="15">
        <v>0</v>
      </c>
      <c r="O20" s="15">
        <f>20.9+116.74</f>
        <v>137.63999999999999</v>
      </c>
      <c r="P20" s="16">
        <f t="shared" si="0"/>
        <v>1333.7200000000003</v>
      </c>
      <c r="Q20" s="20"/>
      <c r="R20" s="20"/>
      <c r="S20" s="20"/>
      <c r="T20" s="20"/>
    </row>
    <row r="21" spans="1:20" s="21" customFormat="1" x14ac:dyDescent="0.25">
      <c r="A21" s="6" t="s">
        <v>16</v>
      </c>
      <c r="B21" s="7" t="s">
        <v>17</v>
      </c>
      <c r="C21" s="8">
        <v>70178717401</v>
      </c>
      <c r="D21" s="9" t="s">
        <v>61</v>
      </c>
      <c r="E21" s="10">
        <v>3</v>
      </c>
      <c r="F21" s="24" t="s">
        <v>60</v>
      </c>
      <c r="G21" s="12" t="s">
        <v>20</v>
      </c>
      <c r="H21" s="13">
        <v>1</v>
      </c>
      <c r="I21" s="14">
        <v>44</v>
      </c>
      <c r="J21" s="15">
        <v>1045</v>
      </c>
      <c r="K21" s="15">
        <v>0</v>
      </c>
      <c r="L21" s="15">
        <v>0</v>
      </c>
      <c r="M21" s="15">
        <f>209+8.36+41.8</f>
        <v>259.16000000000003</v>
      </c>
      <c r="N21" s="15">
        <v>0</v>
      </c>
      <c r="O21" s="15">
        <f>20.9+101.69+62.7</f>
        <v>185.29000000000002</v>
      </c>
      <c r="P21" s="16">
        <f t="shared" si="0"/>
        <v>1118.8700000000001</v>
      </c>
      <c r="Q21" s="20"/>
      <c r="R21" s="20"/>
      <c r="S21" s="20"/>
      <c r="T21" s="20"/>
    </row>
    <row r="22" spans="1:20" s="21" customFormat="1" x14ac:dyDescent="0.25">
      <c r="A22" s="6" t="s">
        <v>16</v>
      </c>
      <c r="B22" s="7" t="s">
        <v>17</v>
      </c>
      <c r="C22" s="8">
        <v>76801144472</v>
      </c>
      <c r="D22" s="9" t="s">
        <v>62</v>
      </c>
      <c r="E22" s="10">
        <v>3</v>
      </c>
      <c r="F22" s="11" t="s">
        <v>63</v>
      </c>
      <c r="G22" s="12" t="s">
        <v>20</v>
      </c>
      <c r="H22" s="13">
        <v>1</v>
      </c>
      <c r="I22" s="14">
        <v>44</v>
      </c>
      <c r="J22" s="15">
        <v>522.5</v>
      </c>
      <c r="K22" s="15">
        <v>0</v>
      </c>
      <c r="L22" s="15">
        <v>0</v>
      </c>
      <c r="M22" s="15">
        <f>522.5+104.5+19.29+125.4</f>
        <v>771.68999999999994</v>
      </c>
      <c r="N22" s="15">
        <v>0</v>
      </c>
      <c r="O22" s="15">
        <f>20.9+100.79+62.7</f>
        <v>184.39</v>
      </c>
      <c r="P22" s="16">
        <f t="shared" si="0"/>
        <v>1109.8000000000002</v>
      </c>
      <c r="Q22" s="20"/>
      <c r="R22" s="20"/>
      <c r="S22" s="20"/>
      <c r="T22" s="20"/>
    </row>
    <row r="23" spans="1:20" s="21" customFormat="1" x14ac:dyDescent="0.25">
      <c r="A23" s="6" t="s">
        <v>16</v>
      </c>
      <c r="B23" s="7" t="s">
        <v>17</v>
      </c>
      <c r="C23" s="8" t="s">
        <v>64</v>
      </c>
      <c r="D23" s="22" t="s">
        <v>65</v>
      </c>
      <c r="E23" s="10">
        <v>2</v>
      </c>
      <c r="F23" s="11" t="s">
        <v>19</v>
      </c>
      <c r="G23" s="12" t="s">
        <v>20</v>
      </c>
      <c r="H23" s="13">
        <v>1</v>
      </c>
      <c r="I23" s="14">
        <v>44</v>
      </c>
      <c r="J23" s="15">
        <v>1212.4000000000001</v>
      </c>
      <c r="K23" s="15">
        <v>0</v>
      </c>
      <c r="L23" s="15">
        <v>0</v>
      </c>
      <c r="M23" s="15">
        <f>209</f>
        <v>209</v>
      </c>
      <c r="N23" s="15">
        <v>0</v>
      </c>
      <c r="O23" s="15">
        <f>112.24+72.74</f>
        <v>184.98</v>
      </c>
      <c r="P23" s="16">
        <f t="shared" si="0"/>
        <v>1236.42</v>
      </c>
      <c r="Q23" s="20"/>
      <c r="R23" s="20"/>
      <c r="S23" s="20"/>
      <c r="T23" s="20"/>
    </row>
    <row r="24" spans="1:20" s="21" customFormat="1" x14ac:dyDescent="0.25">
      <c r="A24" s="6" t="s">
        <v>16</v>
      </c>
      <c r="B24" s="7" t="s">
        <v>17</v>
      </c>
      <c r="C24" s="8" t="s">
        <v>66</v>
      </c>
      <c r="D24" s="9" t="s">
        <v>67</v>
      </c>
      <c r="E24" s="10">
        <v>3</v>
      </c>
      <c r="F24" s="19" t="s">
        <v>68</v>
      </c>
      <c r="G24" s="12" t="s">
        <v>20</v>
      </c>
      <c r="H24" s="13">
        <v>1</v>
      </c>
      <c r="I24" s="14">
        <v>44</v>
      </c>
      <c r="J24" s="15">
        <v>1254.55</v>
      </c>
      <c r="K24" s="15">
        <v>0</v>
      </c>
      <c r="L24" s="15">
        <v>0</v>
      </c>
      <c r="M24" s="15">
        <f>209+19.51+97.57</f>
        <v>326.08</v>
      </c>
      <c r="N24" s="15">
        <v>0</v>
      </c>
      <c r="O24" s="15">
        <f>25.09+126.57</f>
        <v>151.66</v>
      </c>
      <c r="P24" s="16">
        <f t="shared" si="0"/>
        <v>1428.9699999999998</v>
      </c>
      <c r="Q24" s="20"/>
      <c r="R24" s="20"/>
      <c r="S24" s="20"/>
      <c r="T24" s="20"/>
    </row>
    <row r="25" spans="1:20" s="21" customFormat="1" x14ac:dyDescent="0.25">
      <c r="A25" s="6" t="s">
        <v>16</v>
      </c>
      <c r="B25" s="7" t="s">
        <v>17</v>
      </c>
      <c r="C25" s="8" t="s">
        <v>69</v>
      </c>
      <c r="D25" s="9" t="s">
        <v>70</v>
      </c>
      <c r="E25" s="10">
        <v>3</v>
      </c>
      <c r="F25" s="19" t="s">
        <v>71</v>
      </c>
      <c r="G25" s="12" t="s">
        <v>20</v>
      </c>
      <c r="H25" s="13">
        <v>2</v>
      </c>
      <c r="I25" s="14">
        <v>44</v>
      </c>
      <c r="J25" s="15">
        <v>3000</v>
      </c>
      <c r="K25" s="15">
        <v>0</v>
      </c>
      <c r="L25" s="15">
        <v>0</v>
      </c>
      <c r="M25" s="15">
        <f>209</f>
        <v>209</v>
      </c>
      <c r="N25" s="15">
        <v>0</v>
      </c>
      <c r="O25" s="15">
        <f>308.19+60+80.32</f>
        <v>448.51</v>
      </c>
      <c r="P25" s="16">
        <f t="shared" si="0"/>
        <v>2760.49</v>
      </c>
      <c r="Q25" s="20"/>
      <c r="R25" s="20"/>
      <c r="S25" s="20"/>
      <c r="T25" s="20"/>
    </row>
    <row r="26" spans="1:20" s="21" customFormat="1" x14ac:dyDescent="0.25">
      <c r="A26" s="6" t="s">
        <v>16</v>
      </c>
      <c r="B26" s="7" t="s">
        <v>17</v>
      </c>
      <c r="C26" s="8">
        <v>78272203472</v>
      </c>
      <c r="D26" s="9" t="s">
        <v>72</v>
      </c>
      <c r="E26" s="10">
        <v>3</v>
      </c>
      <c r="F26" s="19" t="s">
        <v>68</v>
      </c>
      <c r="G26" s="12" t="s">
        <v>20</v>
      </c>
      <c r="H26" s="13">
        <v>1</v>
      </c>
      <c r="I26" s="14">
        <v>44</v>
      </c>
      <c r="J26" s="15">
        <v>1254.55</v>
      </c>
      <c r="K26" s="15">
        <v>0</v>
      </c>
      <c r="L26" s="15">
        <v>0</v>
      </c>
      <c r="M26" s="15">
        <f>209</f>
        <v>209</v>
      </c>
      <c r="N26" s="15">
        <v>0</v>
      </c>
      <c r="O26" s="15">
        <f>25.09+116.03</f>
        <v>141.12</v>
      </c>
      <c r="P26" s="16">
        <f t="shared" si="0"/>
        <v>1322.4299999999998</v>
      </c>
      <c r="Q26" s="20"/>
      <c r="R26" s="20"/>
      <c r="S26" s="20"/>
      <c r="T26" s="20"/>
    </row>
    <row r="27" spans="1:20" s="21" customFormat="1" x14ac:dyDescent="0.25">
      <c r="A27" s="6" t="s">
        <v>16</v>
      </c>
      <c r="B27" s="7" t="s">
        <v>17</v>
      </c>
      <c r="C27" s="8">
        <v>65002938434</v>
      </c>
      <c r="D27" s="9" t="s">
        <v>73</v>
      </c>
      <c r="E27" s="10">
        <v>2</v>
      </c>
      <c r="F27" s="19" t="s">
        <v>74</v>
      </c>
      <c r="G27" s="12" t="s">
        <v>20</v>
      </c>
      <c r="H27" s="13">
        <v>1</v>
      </c>
      <c r="I27" s="14">
        <v>44</v>
      </c>
      <c r="J27" s="15">
        <v>3132.6</v>
      </c>
      <c r="K27" s="15">
        <v>0</v>
      </c>
      <c r="L27" s="15">
        <v>1566.3</v>
      </c>
      <c r="M27" s="15">
        <v>209</v>
      </c>
      <c r="N27" s="15">
        <v>0</v>
      </c>
      <c r="O27" s="15">
        <f>326.75+69.09+14.92</f>
        <v>410.76000000000005</v>
      </c>
      <c r="P27" s="16">
        <f t="shared" si="0"/>
        <v>4497.1399999999994</v>
      </c>
      <c r="Q27" s="20"/>
      <c r="R27" s="20"/>
      <c r="S27" s="20"/>
      <c r="T27" s="20"/>
    </row>
    <row r="28" spans="1:20" s="21" customFormat="1" x14ac:dyDescent="0.25">
      <c r="A28" s="6" t="s">
        <v>16</v>
      </c>
      <c r="B28" s="7" t="s">
        <v>17</v>
      </c>
      <c r="C28" s="8" t="s">
        <v>75</v>
      </c>
      <c r="D28" s="9" t="s">
        <v>76</v>
      </c>
      <c r="E28" s="10">
        <v>2</v>
      </c>
      <c r="F28" s="11" t="s">
        <v>30</v>
      </c>
      <c r="G28" s="12" t="s">
        <v>20</v>
      </c>
      <c r="H28" s="13">
        <v>1</v>
      </c>
      <c r="I28" s="14">
        <v>44</v>
      </c>
      <c r="J28" s="15">
        <v>1715.49</v>
      </c>
      <c r="K28" s="15">
        <v>0</v>
      </c>
      <c r="L28" s="15">
        <v>571.83000000000004</v>
      </c>
      <c r="M28" s="15">
        <v>209</v>
      </c>
      <c r="N28" s="15">
        <v>0</v>
      </c>
      <c r="O28" s="15">
        <f>157.52+2.43</f>
        <v>159.95000000000002</v>
      </c>
      <c r="P28" s="16">
        <f t="shared" si="0"/>
        <v>2336.3700000000003</v>
      </c>
      <c r="Q28" s="20"/>
      <c r="R28" s="20"/>
      <c r="S28" s="20"/>
      <c r="T28" s="20"/>
    </row>
    <row r="29" spans="1:20" s="21" customFormat="1" x14ac:dyDescent="0.25">
      <c r="A29" s="6" t="s">
        <v>16</v>
      </c>
      <c r="B29" s="7" t="s">
        <v>17</v>
      </c>
      <c r="C29" s="8">
        <v>84767812453</v>
      </c>
      <c r="D29" s="22" t="s">
        <v>77</v>
      </c>
      <c r="E29" s="10">
        <v>3</v>
      </c>
      <c r="F29" s="19" t="s">
        <v>78</v>
      </c>
      <c r="G29" s="12" t="s">
        <v>20</v>
      </c>
      <c r="H29" s="13">
        <v>1</v>
      </c>
      <c r="I29" s="14">
        <v>44</v>
      </c>
      <c r="J29" s="15">
        <v>1702.86</v>
      </c>
      <c r="K29" s="15">
        <v>0</v>
      </c>
      <c r="L29" s="15">
        <v>0</v>
      </c>
      <c r="M29" s="15">
        <f>189.21+188.1</f>
        <v>377.31</v>
      </c>
      <c r="N29" s="15">
        <v>0</v>
      </c>
      <c r="O29" s="15">
        <f>37.84+171.53</f>
        <v>209.37</v>
      </c>
      <c r="P29" s="16">
        <f t="shared" si="0"/>
        <v>1870.8000000000002</v>
      </c>
      <c r="Q29" s="20"/>
      <c r="R29" s="20"/>
      <c r="S29" s="20"/>
      <c r="T29" s="20"/>
    </row>
    <row r="30" spans="1:20" s="21" customFormat="1" x14ac:dyDescent="0.25">
      <c r="A30" s="6" t="s">
        <v>16</v>
      </c>
      <c r="B30" s="7" t="s">
        <v>17</v>
      </c>
      <c r="C30" s="8">
        <v>77118162434</v>
      </c>
      <c r="D30" s="9" t="s">
        <v>79</v>
      </c>
      <c r="E30" s="10">
        <v>2</v>
      </c>
      <c r="F30" s="11" t="s">
        <v>30</v>
      </c>
      <c r="G30" s="12" t="s">
        <v>20</v>
      </c>
      <c r="H30" s="13">
        <v>1</v>
      </c>
      <c r="I30" s="14">
        <v>44</v>
      </c>
      <c r="J30" s="15">
        <v>1715.49</v>
      </c>
      <c r="K30" s="15">
        <v>0</v>
      </c>
      <c r="L30" s="15">
        <v>857.75</v>
      </c>
      <c r="M30" s="15">
        <f>209+81.14</f>
        <v>290.14</v>
      </c>
      <c r="N30" s="15">
        <v>0</v>
      </c>
      <c r="O30" s="15">
        <f>2.43+164.82</f>
        <v>167.25</v>
      </c>
      <c r="P30" s="16">
        <f t="shared" si="0"/>
        <v>2696.1299999999997</v>
      </c>
      <c r="Q30" s="20"/>
      <c r="R30" s="20"/>
      <c r="S30" s="20"/>
      <c r="T30" s="20"/>
    </row>
    <row r="31" spans="1:20" s="21" customFormat="1" x14ac:dyDescent="0.25">
      <c r="A31" s="6" t="s">
        <v>16</v>
      </c>
      <c r="B31" s="7" t="s">
        <v>17</v>
      </c>
      <c r="C31" s="8" t="s">
        <v>80</v>
      </c>
      <c r="D31" s="9" t="s">
        <v>81</v>
      </c>
      <c r="E31" s="10">
        <v>3</v>
      </c>
      <c r="F31" s="19" t="s">
        <v>68</v>
      </c>
      <c r="G31" s="12" t="s">
        <v>20</v>
      </c>
      <c r="H31" s="13">
        <v>1</v>
      </c>
      <c r="I31" s="14">
        <v>44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6">
        <f t="shared" si="0"/>
        <v>0</v>
      </c>
      <c r="Q31" s="20"/>
      <c r="R31" s="20"/>
      <c r="S31" s="20"/>
      <c r="T31" s="20"/>
    </row>
    <row r="32" spans="1:20" s="21" customFormat="1" x14ac:dyDescent="0.25">
      <c r="A32" s="6" t="s">
        <v>16</v>
      </c>
      <c r="B32" s="7" t="s">
        <v>17</v>
      </c>
      <c r="C32" s="8">
        <v>62012720463</v>
      </c>
      <c r="D32" s="9" t="s">
        <v>82</v>
      </c>
      <c r="E32" s="10">
        <v>3</v>
      </c>
      <c r="F32" s="19" t="s">
        <v>78</v>
      </c>
      <c r="G32" s="12" t="s">
        <v>20</v>
      </c>
      <c r="H32" s="13">
        <v>1</v>
      </c>
      <c r="I32" s="14">
        <v>44</v>
      </c>
      <c r="J32" s="15">
        <v>1892.07</v>
      </c>
      <c r="K32" s="15">
        <v>0</v>
      </c>
      <c r="L32" s="15">
        <v>0</v>
      </c>
      <c r="M32" s="15">
        <v>209</v>
      </c>
      <c r="N32" s="15">
        <v>0</v>
      </c>
      <c r="O32" s="15">
        <f>37.84+173.75</f>
        <v>211.59</v>
      </c>
      <c r="P32" s="16">
        <f t="shared" si="0"/>
        <v>1889.4799999999998</v>
      </c>
      <c r="Q32" s="20"/>
      <c r="R32" s="20"/>
      <c r="S32" s="20"/>
      <c r="T32" s="20"/>
    </row>
    <row r="33" spans="1:20" s="21" customFormat="1" x14ac:dyDescent="0.25">
      <c r="A33" s="6" t="s">
        <v>16</v>
      </c>
      <c r="B33" s="7" t="s">
        <v>17</v>
      </c>
      <c r="C33" s="8" t="s">
        <v>83</v>
      </c>
      <c r="D33" s="22" t="s">
        <v>84</v>
      </c>
      <c r="E33" s="10">
        <v>3</v>
      </c>
      <c r="F33" s="25" t="s">
        <v>85</v>
      </c>
      <c r="G33" s="12" t="s">
        <v>20</v>
      </c>
      <c r="H33" s="13">
        <v>2</v>
      </c>
      <c r="I33" s="14">
        <v>44</v>
      </c>
      <c r="J33" s="15">
        <v>1262.93</v>
      </c>
      <c r="K33" s="15">
        <v>0</v>
      </c>
      <c r="L33" s="15">
        <v>0</v>
      </c>
      <c r="M33" s="15">
        <f>209+64</f>
        <v>273</v>
      </c>
      <c r="N33" s="15">
        <v>0</v>
      </c>
      <c r="O33" s="15">
        <f>25.26+116.79</f>
        <v>142.05000000000001</v>
      </c>
      <c r="P33" s="16">
        <f t="shared" si="0"/>
        <v>1393.88</v>
      </c>
      <c r="Q33" s="20"/>
      <c r="R33" s="20"/>
      <c r="S33" s="20"/>
      <c r="T33" s="20"/>
    </row>
    <row r="34" spans="1:20" s="21" customFormat="1" x14ac:dyDescent="0.25">
      <c r="A34" s="6" t="s">
        <v>16</v>
      </c>
      <c r="B34" s="7" t="s">
        <v>17</v>
      </c>
      <c r="C34" s="8" t="s">
        <v>86</v>
      </c>
      <c r="D34" s="9" t="s">
        <v>87</v>
      </c>
      <c r="E34" s="10">
        <v>2</v>
      </c>
      <c r="F34" s="11" t="s">
        <v>19</v>
      </c>
      <c r="G34" s="12" t="s">
        <v>20</v>
      </c>
      <c r="H34" s="13">
        <v>1</v>
      </c>
      <c r="I34" s="14">
        <v>44</v>
      </c>
      <c r="J34" s="15">
        <v>1212.4000000000001</v>
      </c>
      <c r="K34" s="15">
        <v>0</v>
      </c>
      <c r="L34" s="15">
        <v>0</v>
      </c>
      <c r="M34" s="15">
        <f>209+48.62+64</f>
        <v>321.62</v>
      </c>
      <c r="N34" s="15">
        <v>0</v>
      </c>
      <c r="O34" s="15">
        <f>72.74+112.24</f>
        <v>184.98</v>
      </c>
      <c r="P34" s="16">
        <f t="shared" ref="P34:P65" si="1">SUM(J34:N34)-O34</f>
        <v>1349.04</v>
      </c>
      <c r="Q34" s="20"/>
      <c r="R34" s="20"/>
      <c r="S34" s="20"/>
      <c r="T34" s="20"/>
    </row>
    <row r="35" spans="1:20" s="21" customFormat="1" x14ac:dyDescent="0.25">
      <c r="A35" s="6" t="s">
        <v>16</v>
      </c>
      <c r="B35" s="7" t="s">
        <v>17</v>
      </c>
      <c r="C35" s="8" t="s">
        <v>88</v>
      </c>
      <c r="D35" s="9" t="s">
        <v>89</v>
      </c>
      <c r="E35" s="10">
        <v>2</v>
      </c>
      <c r="F35" s="11" t="s">
        <v>19</v>
      </c>
      <c r="G35" s="12" t="s">
        <v>20</v>
      </c>
      <c r="H35" s="13">
        <v>1</v>
      </c>
      <c r="I35" s="14">
        <v>44</v>
      </c>
      <c r="J35" s="15">
        <v>1212.4000000000001</v>
      </c>
      <c r="K35" s="15">
        <v>0</v>
      </c>
      <c r="L35" s="15">
        <v>0</v>
      </c>
      <c r="M35" s="15">
        <f>209+25.27+126.35</f>
        <v>360.62</v>
      </c>
      <c r="N35" s="15">
        <v>0</v>
      </c>
      <c r="O35" s="15">
        <v>125.89</v>
      </c>
      <c r="P35" s="16">
        <f t="shared" si="1"/>
        <v>1447.1299999999999</v>
      </c>
      <c r="Q35" s="20"/>
      <c r="R35" s="20"/>
      <c r="S35" s="20"/>
      <c r="T35" s="20"/>
    </row>
    <row r="36" spans="1:20" s="21" customFormat="1" x14ac:dyDescent="0.25">
      <c r="A36" s="6" t="s">
        <v>16</v>
      </c>
      <c r="B36" s="7" t="s">
        <v>17</v>
      </c>
      <c r="C36" s="8" t="s">
        <v>90</v>
      </c>
      <c r="D36" s="22" t="s">
        <v>91</v>
      </c>
      <c r="E36" s="10">
        <v>3</v>
      </c>
      <c r="F36" s="11" t="s">
        <v>63</v>
      </c>
      <c r="G36" s="12" t="s">
        <v>20</v>
      </c>
      <c r="H36" s="13">
        <v>1</v>
      </c>
      <c r="I36" s="14">
        <v>44</v>
      </c>
      <c r="J36" s="15">
        <v>1045</v>
      </c>
      <c r="K36" s="15">
        <v>0</v>
      </c>
      <c r="L36" s="15">
        <v>0</v>
      </c>
      <c r="M36" s="15">
        <f>209+36.23+181.13</f>
        <v>426.36</v>
      </c>
      <c r="N36" s="15">
        <v>0</v>
      </c>
      <c r="O36" s="15">
        <f>20.9+116.74</f>
        <v>137.63999999999999</v>
      </c>
      <c r="P36" s="16">
        <f t="shared" si="1"/>
        <v>1333.7200000000003</v>
      </c>
      <c r="Q36" s="20"/>
      <c r="R36" s="20"/>
      <c r="S36" s="20"/>
      <c r="T36" s="20"/>
    </row>
    <row r="37" spans="1:20" s="21" customFormat="1" x14ac:dyDescent="0.25">
      <c r="A37" s="6" t="s">
        <v>16</v>
      </c>
      <c r="B37" s="7" t="s">
        <v>17</v>
      </c>
      <c r="C37" s="8">
        <v>85625752400</v>
      </c>
      <c r="D37" s="9" t="s">
        <v>92</v>
      </c>
      <c r="E37" s="10">
        <v>2</v>
      </c>
      <c r="F37" s="11" t="s">
        <v>19</v>
      </c>
      <c r="G37" s="12" t="s">
        <v>20</v>
      </c>
      <c r="H37" s="13">
        <v>1</v>
      </c>
      <c r="I37" s="14">
        <v>44</v>
      </c>
      <c r="J37" s="15">
        <v>1212.4000000000001</v>
      </c>
      <c r="K37" s="15">
        <v>0</v>
      </c>
      <c r="L37" s="15">
        <v>0</v>
      </c>
      <c r="M37" s="15">
        <v>209</v>
      </c>
      <c r="N37" s="15">
        <v>0</v>
      </c>
      <c r="O37" s="15">
        <f>86.86+104.42</f>
        <v>191.28</v>
      </c>
      <c r="P37" s="16">
        <f t="shared" si="1"/>
        <v>1230.1200000000001</v>
      </c>
      <c r="Q37" s="20"/>
      <c r="R37" s="20"/>
      <c r="S37" s="20"/>
      <c r="T37" s="20"/>
    </row>
    <row r="38" spans="1:20" s="21" customFormat="1" x14ac:dyDescent="0.25">
      <c r="A38" s="6" t="s">
        <v>16</v>
      </c>
      <c r="B38" s="7" t="s">
        <v>17</v>
      </c>
      <c r="C38" s="8" t="s">
        <v>93</v>
      </c>
      <c r="D38" s="9" t="s">
        <v>94</v>
      </c>
      <c r="E38" s="10">
        <v>2</v>
      </c>
      <c r="F38" s="11" t="s">
        <v>19</v>
      </c>
      <c r="G38" s="12" t="s">
        <v>20</v>
      </c>
      <c r="H38" s="13">
        <v>1</v>
      </c>
      <c r="I38" s="14">
        <v>44</v>
      </c>
      <c r="J38" s="15">
        <v>1212.4000000000001</v>
      </c>
      <c r="K38" s="15">
        <v>0</v>
      </c>
      <c r="L38" s="15">
        <v>0</v>
      </c>
      <c r="M38" s="15">
        <f>209+25.14+125.68</f>
        <v>359.82</v>
      </c>
      <c r="N38" s="15">
        <v>0</v>
      </c>
      <c r="O38" s="15">
        <f>125.81+72.74</f>
        <v>198.55</v>
      </c>
      <c r="P38" s="16">
        <f t="shared" si="1"/>
        <v>1373.67</v>
      </c>
      <c r="Q38" s="20"/>
      <c r="R38" s="20"/>
      <c r="S38" s="20"/>
      <c r="T38" s="20"/>
    </row>
    <row r="39" spans="1:20" s="21" customFormat="1" x14ac:dyDescent="0.25">
      <c r="A39" s="6" t="s">
        <v>16</v>
      </c>
      <c r="B39" s="7" t="s">
        <v>17</v>
      </c>
      <c r="C39" s="8" t="s">
        <v>95</v>
      </c>
      <c r="D39" s="9" t="s">
        <v>96</v>
      </c>
      <c r="E39" s="10">
        <v>2</v>
      </c>
      <c r="F39" s="11" t="s">
        <v>19</v>
      </c>
      <c r="G39" s="12" t="s">
        <v>20</v>
      </c>
      <c r="H39" s="13">
        <v>1</v>
      </c>
      <c r="I39" s="14">
        <v>44</v>
      </c>
      <c r="J39" s="15">
        <v>1212.4000000000001</v>
      </c>
      <c r="K39" s="15">
        <v>0</v>
      </c>
      <c r="L39" s="15">
        <v>0</v>
      </c>
      <c r="M39" s="15">
        <f>209+41.06+205.31</f>
        <v>455.37</v>
      </c>
      <c r="N39" s="15">
        <v>0</v>
      </c>
      <c r="O39" s="15">
        <f>134.41+72.74</f>
        <v>207.14999999999998</v>
      </c>
      <c r="P39" s="16">
        <f t="shared" si="1"/>
        <v>1460.62</v>
      </c>
      <c r="Q39" s="20"/>
      <c r="R39" s="20"/>
      <c r="S39" s="20"/>
      <c r="T39" s="20"/>
    </row>
    <row r="40" spans="1:20" s="21" customFormat="1" x14ac:dyDescent="0.25">
      <c r="A40" s="6" t="s">
        <v>16</v>
      </c>
      <c r="B40" s="7" t="s">
        <v>17</v>
      </c>
      <c r="C40" s="8" t="s">
        <v>97</v>
      </c>
      <c r="D40" s="9" t="s">
        <v>98</v>
      </c>
      <c r="E40" s="10">
        <v>3</v>
      </c>
      <c r="F40" s="19" t="s">
        <v>99</v>
      </c>
      <c r="G40" s="12" t="s">
        <v>20</v>
      </c>
      <c r="H40" s="13">
        <v>1</v>
      </c>
      <c r="I40" s="14">
        <v>44</v>
      </c>
      <c r="J40" s="15">
        <v>1045</v>
      </c>
      <c r="K40" s="15">
        <v>0</v>
      </c>
      <c r="L40" s="15">
        <v>0</v>
      </c>
      <c r="M40" s="15">
        <f>48.62+209+2.79+13.93</f>
        <v>274.34000000000003</v>
      </c>
      <c r="N40" s="15">
        <v>0</v>
      </c>
      <c r="O40" s="15">
        <f>20.9+98.68</f>
        <v>119.58000000000001</v>
      </c>
      <c r="P40" s="16">
        <f t="shared" si="1"/>
        <v>1199.7600000000002</v>
      </c>
      <c r="Q40" s="20"/>
      <c r="R40" s="20"/>
      <c r="S40" s="20"/>
      <c r="T40" s="20"/>
    </row>
    <row r="41" spans="1:20" s="21" customFormat="1" x14ac:dyDescent="0.25">
      <c r="A41" s="6" t="s">
        <v>16</v>
      </c>
      <c r="B41" s="7" t="s">
        <v>17</v>
      </c>
      <c r="C41" s="8" t="s">
        <v>100</v>
      </c>
      <c r="D41" s="9" t="s">
        <v>101</v>
      </c>
      <c r="E41" s="10">
        <v>3</v>
      </c>
      <c r="F41" s="24" t="s">
        <v>60</v>
      </c>
      <c r="G41" s="12" t="s">
        <v>20</v>
      </c>
      <c r="H41" s="13">
        <v>1</v>
      </c>
      <c r="I41" s="14">
        <v>44</v>
      </c>
      <c r="J41" s="15">
        <v>1045</v>
      </c>
      <c r="K41" s="15">
        <v>0</v>
      </c>
      <c r="L41" s="15">
        <v>0</v>
      </c>
      <c r="M41" s="15">
        <f>48.62+209</f>
        <v>257.62</v>
      </c>
      <c r="N41" s="15">
        <v>0</v>
      </c>
      <c r="O41" s="15">
        <f>20.9+97.18+62.7</f>
        <v>180.78000000000003</v>
      </c>
      <c r="P41" s="16">
        <f t="shared" si="1"/>
        <v>1121.8399999999999</v>
      </c>
      <c r="Q41" s="20"/>
      <c r="R41" s="20"/>
      <c r="S41" s="20"/>
      <c r="T41" s="20"/>
    </row>
    <row r="42" spans="1:20" s="21" customFormat="1" x14ac:dyDescent="0.25">
      <c r="A42" s="6" t="s">
        <v>16</v>
      </c>
      <c r="B42" s="7" t="s">
        <v>17</v>
      </c>
      <c r="C42" s="8" t="s">
        <v>102</v>
      </c>
      <c r="D42" s="9" t="s">
        <v>103</v>
      </c>
      <c r="E42" s="10">
        <v>3</v>
      </c>
      <c r="F42" s="19" t="s">
        <v>99</v>
      </c>
      <c r="G42" s="12" t="s">
        <v>20</v>
      </c>
      <c r="H42" s="13">
        <v>1</v>
      </c>
      <c r="I42" s="14">
        <v>44</v>
      </c>
      <c r="J42" s="15">
        <v>1045</v>
      </c>
      <c r="K42" s="15">
        <v>0</v>
      </c>
      <c r="L42" s="15">
        <v>0</v>
      </c>
      <c r="M42" s="15">
        <f>209+33.44+167.2</f>
        <v>409.64</v>
      </c>
      <c r="N42" s="15">
        <v>0</v>
      </c>
      <c r="O42" s="15">
        <f>20.9+115.23+62.7</f>
        <v>198.82999999999998</v>
      </c>
      <c r="P42" s="16">
        <f t="shared" si="1"/>
        <v>1255.81</v>
      </c>
      <c r="Q42" s="20"/>
      <c r="R42" s="20"/>
      <c r="S42" s="20"/>
      <c r="T42" s="20"/>
    </row>
    <row r="43" spans="1:20" s="21" customFormat="1" x14ac:dyDescent="0.25">
      <c r="A43" s="6" t="s">
        <v>16</v>
      </c>
      <c r="B43" s="7" t="s">
        <v>17</v>
      </c>
      <c r="C43" s="8" t="s">
        <v>104</v>
      </c>
      <c r="D43" s="9" t="s">
        <v>105</v>
      </c>
      <c r="E43" s="10">
        <v>2</v>
      </c>
      <c r="F43" s="11" t="s">
        <v>30</v>
      </c>
      <c r="G43" s="12" t="s">
        <v>20</v>
      </c>
      <c r="H43" s="13">
        <v>1</v>
      </c>
      <c r="I43" s="14">
        <v>44</v>
      </c>
      <c r="J43" s="15">
        <v>1847.47</v>
      </c>
      <c r="K43" s="15">
        <v>0</v>
      </c>
      <c r="L43" s="15">
        <v>923.74</v>
      </c>
      <c r="M43" s="15">
        <f>209+100+48.15+240.77+81.14</f>
        <v>679.06</v>
      </c>
      <c r="N43" s="15">
        <v>0</v>
      </c>
      <c r="O43" s="15">
        <f>2.43+212.81</f>
        <v>215.24</v>
      </c>
      <c r="P43" s="16">
        <f t="shared" si="1"/>
        <v>3235.0299999999997</v>
      </c>
      <c r="Q43" s="20"/>
      <c r="R43" s="20"/>
      <c r="S43" s="20"/>
      <c r="T43" s="20"/>
    </row>
    <row r="44" spans="1:20" s="21" customFormat="1" x14ac:dyDescent="0.25">
      <c r="A44" s="6" t="s">
        <v>16</v>
      </c>
      <c r="B44" s="7" t="s">
        <v>17</v>
      </c>
      <c r="C44" s="8">
        <v>86643770491</v>
      </c>
      <c r="D44" s="9" t="s">
        <v>106</v>
      </c>
      <c r="E44" s="10">
        <v>2</v>
      </c>
      <c r="F44" s="11" t="s">
        <v>30</v>
      </c>
      <c r="G44" s="12" t="s">
        <v>20</v>
      </c>
      <c r="H44" s="13">
        <v>1</v>
      </c>
      <c r="I44" s="14">
        <v>44</v>
      </c>
      <c r="J44" s="15">
        <v>1847.47</v>
      </c>
      <c r="K44" s="15">
        <v>0</v>
      </c>
      <c r="L44" s="15">
        <v>923.74</v>
      </c>
      <c r="M44" s="15">
        <f>209+32.9+164.52+81.14</f>
        <v>487.56</v>
      </c>
      <c r="N44" s="15">
        <v>0</v>
      </c>
      <c r="O44" s="15">
        <f>2.43+201.83+17.19</f>
        <v>221.45000000000002</v>
      </c>
      <c r="P44" s="16">
        <f t="shared" si="1"/>
        <v>3037.32</v>
      </c>
      <c r="Q44" s="20"/>
      <c r="R44" s="20"/>
      <c r="S44" s="20"/>
      <c r="T44" s="20"/>
    </row>
    <row r="45" spans="1:20" s="21" customFormat="1" x14ac:dyDescent="0.25">
      <c r="A45" s="6" t="s">
        <v>16</v>
      </c>
      <c r="B45" s="7" t="s">
        <v>17</v>
      </c>
      <c r="C45" s="8" t="s">
        <v>107</v>
      </c>
      <c r="D45" s="9" t="s">
        <v>108</v>
      </c>
      <c r="E45" s="10">
        <v>3</v>
      </c>
      <c r="F45" s="26" t="s">
        <v>109</v>
      </c>
      <c r="G45" s="12" t="s">
        <v>20</v>
      </c>
      <c r="H45" s="13">
        <v>1</v>
      </c>
      <c r="I45" s="14">
        <v>44</v>
      </c>
      <c r="J45" s="15">
        <v>1261.3800000000001</v>
      </c>
      <c r="K45" s="15">
        <v>0</v>
      </c>
      <c r="L45" s="15">
        <v>0</v>
      </c>
      <c r="M45" s="15">
        <f>209+42.48+212.39</f>
        <v>463.87</v>
      </c>
      <c r="N45" s="15">
        <v>0</v>
      </c>
      <c r="O45" s="15">
        <f>25.23+139.59+75.68</f>
        <v>240.5</v>
      </c>
      <c r="P45" s="16">
        <f t="shared" si="1"/>
        <v>1484.75</v>
      </c>
      <c r="Q45" s="20"/>
      <c r="R45" s="20"/>
      <c r="S45" s="20"/>
      <c r="T45" s="20"/>
    </row>
    <row r="46" spans="1:20" s="21" customFormat="1" x14ac:dyDescent="0.25">
      <c r="A46" s="6" t="s">
        <v>16</v>
      </c>
      <c r="B46" s="7" t="s">
        <v>17</v>
      </c>
      <c r="C46" s="8" t="s">
        <v>110</v>
      </c>
      <c r="D46" s="9" t="s">
        <v>111</v>
      </c>
      <c r="E46" s="10">
        <v>2</v>
      </c>
      <c r="F46" s="11" t="s">
        <v>19</v>
      </c>
      <c r="G46" s="12" t="s">
        <v>20</v>
      </c>
      <c r="H46" s="13">
        <v>1</v>
      </c>
      <c r="I46" s="14">
        <v>44</v>
      </c>
      <c r="J46" s="15">
        <v>1212.4000000000001</v>
      </c>
      <c r="K46" s="15">
        <v>0</v>
      </c>
      <c r="L46" s="15">
        <v>0</v>
      </c>
      <c r="M46" s="15">
        <f>209+41.06+205.31</f>
        <v>455.37</v>
      </c>
      <c r="N46" s="15">
        <v>0</v>
      </c>
      <c r="O46" s="15">
        <f>134.41+72.74</f>
        <v>207.14999999999998</v>
      </c>
      <c r="P46" s="16">
        <f t="shared" si="1"/>
        <v>1460.62</v>
      </c>
      <c r="Q46" s="20"/>
      <c r="R46" s="20"/>
      <c r="S46" s="20"/>
      <c r="T46" s="20"/>
    </row>
    <row r="47" spans="1:20" s="21" customFormat="1" x14ac:dyDescent="0.25">
      <c r="A47" s="6" t="s">
        <v>16</v>
      </c>
      <c r="B47" s="7" t="s">
        <v>17</v>
      </c>
      <c r="C47" s="8" t="s">
        <v>112</v>
      </c>
      <c r="D47" s="9" t="s">
        <v>113</v>
      </c>
      <c r="E47" s="10">
        <v>3</v>
      </c>
      <c r="F47" s="11" t="s">
        <v>23</v>
      </c>
      <c r="G47" s="12" t="s">
        <v>20</v>
      </c>
      <c r="H47" s="13">
        <v>1</v>
      </c>
      <c r="I47" s="14">
        <v>44</v>
      </c>
      <c r="J47" s="15">
        <v>1045</v>
      </c>
      <c r="K47" s="15">
        <v>0</v>
      </c>
      <c r="L47" s="15">
        <v>0</v>
      </c>
      <c r="M47" s="15">
        <f>209+33.44+167.2</f>
        <v>409.64</v>
      </c>
      <c r="N47" s="15">
        <v>0</v>
      </c>
      <c r="O47" s="15">
        <f>20.9+115.23+62.7</f>
        <v>198.82999999999998</v>
      </c>
      <c r="P47" s="16">
        <f t="shared" si="1"/>
        <v>1255.81</v>
      </c>
      <c r="Q47" s="20"/>
      <c r="R47" s="20"/>
      <c r="S47" s="20"/>
      <c r="T47" s="20"/>
    </row>
    <row r="48" spans="1:20" s="29" customFormat="1" x14ac:dyDescent="0.25">
      <c r="A48" s="6" t="s">
        <v>16</v>
      </c>
      <c r="B48" s="7" t="s">
        <v>17</v>
      </c>
      <c r="C48" s="8" t="s">
        <v>114</v>
      </c>
      <c r="D48" s="22" t="s">
        <v>115</v>
      </c>
      <c r="E48" s="10">
        <v>2</v>
      </c>
      <c r="F48" s="27" t="s">
        <v>74</v>
      </c>
      <c r="G48" s="12" t="s">
        <v>20</v>
      </c>
      <c r="H48" s="13">
        <v>1</v>
      </c>
      <c r="I48" s="14">
        <v>44</v>
      </c>
      <c r="J48" s="15">
        <v>3132.6</v>
      </c>
      <c r="K48" s="15">
        <v>0</v>
      </c>
      <c r="L48" s="15">
        <v>1566.3</v>
      </c>
      <c r="M48" s="15">
        <f>892+209</f>
        <v>1101</v>
      </c>
      <c r="N48" s="15">
        <v>0</v>
      </c>
      <c r="O48" s="15">
        <f>14.92+451.63+214.81</f>
        <v>681.36</v>
      </c>
      <c r="P48" s="16">
        <f t="shared" si="1"/>
        <v>5118.54</v>
      </c>
      <c r="Q48" s="28"/>
      <c r="R48" s="28"/>
      <c r="S48" s="28"/>
      <c r="T48" s="28"/>
    </row>
    <row r="49" spans="1:20" s="31" customFormat="1" x14ac:dyDescent="0.25">
      <c r="A49" s="6" t="s">
        <v>16</v>
      </c>
      <c r="B49" s="7" t="s">
        <v>17</v>
      </c>
      <c r="C49" s="8" t="s">
        <v>116</v>
      </c>
      <c r="D49" s="9" t="s">
        <v>117</v>
      </c>
      <c r="E49" s="10">
        <v>2</v>
      </c>
      <c r="F49" s="11" t="s">
        <v>19</v>
      </c>
      <c r="G49" s="12" t="s">
        <v>20</v>
      </c>
      <c r="H49" s="13">
        <v>1</v>
      </c>
      <c r="I49" s="14">
        <v>44</v>
      </c>
      <c r="J49" s="15">
        <v>1010.33</v>
      </c>
      <c r="K49" s="15">
        <v>0</v>
      </c>
      <c r="L49" s="15">
        <v>0</v>
      </c>
      <c r="M49" s="15">
        <f>202.07+174.17+64</f>
        <v>440.24</v>
      </c>
      <c r="N49" s="15">
        <v>0</v>
      </c>
      <c r="O49" s="15">
        <f>109.11+72.74</f>
        <v>181.85</v>
      </c>
      <c r="P49" s="16">
        <f t="shared" si="1"/>
        <v>1268.7200000000003</v>
      </c>
      <c r="Q49" s="30"/>
      <c r="R49" s="30"/>
      <c r="S49" s="30"/>
      <c r="T49" s="30"/>
    </row>
    <row r="50" spans="1:20" s="31" customFormat="1" x14ac:dyDescent="0.25">
      <c r="A50" s="6" t="s">
        <v>16</v>
      </c>
      <c r="B50" s="7" t="s">
        <v>17</v>
      </c>
      <c r="C50" s="8" t="s">
        <v>118</v>
      </c>
      <c r="D50" s="9" t="s">
        <v>119</v>
      </c>
      <c r="E50" s="10">
        <v>2</v>
      </c>
      <c r="F50" s="32" t="s">
        <v>30</v>
      </c>
      <c r="G50" s="12" t="s">
        <v>20</v>
      </c>
      <c r="H50" s="13">
        <v>1</v>
      </c>
      <c r="I50" s="14">
        <v>44</v>
      </c>
      <c r="J50" s="15">
        <v>1487.02</v>
      </c>
      <c r="K50" s="15">
        <v>0</v>
      </c>
      <c r="L50" s="15">
        <v>500.44</v>
      </c>
      <c r="M50" s="15">
        <v>181.13</v>
      </c>
      <c r="N50" s="15">
        <v>0</v>
      </c>
      <c r="O50" s="15">
        <f>2.43+134.45</f>
        <v>136.88</v>
      </c>
      <c r="P50" s="16">
        <f t="shared" si="1"/>
        <v>2031.71</v>
      </c>
      <c r="Q50" s="30"/>
      <c r="R50" s="30"/>
      <c r="S50" s="30"/>
      <c r="T50" s="30"/>
    </row>
    <row r="51" spans="1:20" s="31" customFormat="1" x14ac:dyDescent="0.25">
      <c r="A51" s="6" t="s">
        <v>16</v>
      </c>
      <c r="B51" s="7" t="s">
        <v>17</v>
      </c>
      <c r="C51" s="8" t="s">
        <v>120</v>
      </c>
      <c r="D51" s="9" t="s">
        <v>121</v>
      </c>
      <c r="E51" s="10">
        <v>2</v>
      </c>
      <c r="F51" s="11" t="s">
        <v>35</v>
      </c>
      <c r="G51" s="12" t="s">
        <v>20</v>
      </c>
      <c r="H51" s="13">
        <v>1</v>
      </c>
      <c r="I51" s="14">
        <v>44</v>
      </c>
      <c r="J51" s="15">
        <v>2030.47</v>
      </c>
      <c r="K51" s="15">
        <v>0</v>
      </c>
      <c r="L51" s="15">
        <v>0</v>
      </c>
      <c r="M51" s="15">
        <f>56.85+284.27+812.19</f>
        <v>1153.31</v>
      </c>
      <c r="N51" s="15">
        <v>0</v>
      </c>
      <c r="O51" s="15">
        <f>304.66+58.91</f>
        <v>363.57000000000005</v>
      </c>
      <c r="P51" s="16">
        <f t="shared" si="1"/>
        <v>2820.2099999999996</v>
      </c>
      <c r="Q51" s="30"/>
      <c r="R51" s="30"/>
      <c r="S51" s="30"/>
      <c r="T51" s="30"/>
    </row>
    <row r="52" spans="1:20" s="31" customFormat="1" x14ac:dyDescent="0.25">
      <c r="A52" s="6" t="s">
        <v>16</v>
      </c>
      <c r="B52" s="7" t="s">
        <v>17</v>
      </c>
      <c r="C52" s="8" t="s">
        <v>122</v>
      </c>
      <c r="D52" s="9" t="s">
        <v>123</v>
      </c>
      <c r="E52" s="10">
        <v>3</v>
      </c>
      <c r="F52" s="11" t="s">
        <v>124</v>
      </c>
      <c r="G52" s="12" t="s">
        <v>20</v>
      </c>
      <c r="H52" s="13">
        <v>2</v>
      </c>
      <c r="I52" s="14">
        <v>44</v>
      </c>
      <c r="J52" s="15">
        <v>5175</v>
      </c>
      <c r="K52" s="15">
        <v>0</v>
      </c>
      <c r="L52" s="15">
        <v>0</v>
      </c>
      <c r="M52" s="15">
        <v>209</v>
      </c>
      <c r="N52" s="15">
        <v>0</v>
      </c>
      <c r="O52" s="15">
        <f>612.69+442.75</f>
        <v>1055.44</v>
      </c>
      <c r="P52" s="16">
        <f t="shared" si="1"/>
        <v>4328.5599999999995</v>
      </c>
      <c r="Q52" s="30"/>
      <c r="R52" s="30"/>
      <c r="S52" s="30"/>
      <c r="T52" s="30"/>
    </row>
    <row r="53" spans="1:20" s="31" customFormat="1" x14ac:dyDescent="0.25">
      <c r="A53" s="6" t="s">
        <v>16</v>
      </c>
      <c r="B53" s="7" t="s">
        <v>17</v>
      </c>
      <c r="C53" s="8" t="s">
        <v>125</v>
      </c>
      <c r="D53" s="22" t="s">
        <v>126</v>
      </c>
      <c r="E53" s="10">
        <v>3</v>
      </c>
      <c r="F53" s="26" t="s">
        <v>109</v>
      </c>
      <c r="G53" s="12" t="s">
        <v>20</v>
      </c>
      <c r="H53" s="13">
        <v>1</v>
      </c>
      <c r="I53" s="14">
        <v>44</v>
      </c>
      <c r="J53" s="15">
        <v>1261.3800000000001</v>
      </c>
      <c r="K53" s="15">
        <v>0</v>
      </c>
      <c r="L53" s="15">
        <v>0</v>
      </c>
      <c r="M53" s="15">
        <f>209+64+42.48+212.39</f>
        <v>527.87</v>
      </c>
      <c r="N53" s="15">
        <v>0</v>
      </c>
      <c r="O53" s="15">
        <f>25.23+139.59+75.68</f>
        <v>240.5</v>
      </c>
      <c r="P53" s="16">
        <f t="shared" si="1"/>
        <v>1548.75</v>
      </c>
      <c r="Q53" s="30"/>
      <c r="R53" s="30"/>
      <c r="S53" s="30"/>
      <c r="T53" s="30"/>
    </row>
    <row r="54" spans="1:20" s="31" customFormat="1" x14ac:dyDescent="0.25">
      <c r="A54" s="6" t="s">
        <v>16</v>
      </c>
      <c r="B54" s="7" t="s">
        <v>17</v>
      </c>
      <c r="C54" s="8">
        <v>39960544400</v>
      </c>
      <c r="D54" s="9" t="s">
        <v>127</v>
      </c>
      <c r="E54" s="10">
        <v>2</v>
      </c>
      <c r="F54" s="11" t="s">
        <v>35</v>
      </c>
      <c r="G54" s="12" t="s">
        <v>20</v>
      </c>
      <c r="H54" s="13">
        <v>1</v>
      </c>
      <c r="I54" s="14">
        <v>44</v>
      </c>
      <c r="J54" s="15">
        <v>2030.47</v>
      </c>
      <c r="K54" s="15">
        <v>0</v>
      </c>
      <c r="L54" s="15">
        <v>0</v>
      </c>
      <c r="M54" s="15">
        <f>56.85+284.27+812.19</f>
        <v>1153.31</v>
      </c>
      <c r="N54" s="15">
        <v>0</v>
      </c>
      <c r="O54" s="15">
        <f>304.66+77.07</f>
        <v>381.73</v>
      </c>
      <c r="P54" s="16">
        <f t="shared" si="1"/>
        <v>2802.0499999999997</v>
      </c>
      <c r="Q54" s="30"/>
      <c r="R54" s="30"/>
      <c r="S54" s="30"/>
      <c r="T54" s="30"/>
    </row>
    <row r="55" spans="1:20" s="31" customFormat="1" x14ac:dyDescent="0.25">
      <c r="A55" s="6" t="s">
        <v>16</v>
      </c>
      <c r="B55" s="7" t="s">
        <v>17</v>
      </c>
      <c r="C55" s="8" t="s">
        <v>128</v>
      </c>
      <c r="D55" s="9" t="s">
        <v>129</v>
      </c>
      <c r="E55" s="10">
        <v>2</v>
      </c>
      <c r="F55" s="11" t="s">
        <v>19</v>
      </c>
      <c r="G55" s="12" t="s">
        <v>20</v>
      </c>
      <c r="H55" s="13">
        <v>1</v>
      </c>
      <c r="I55" s="14">
        <v>44</v>
      </c>
      <c r="J55" s="15">
        <v>1212.4000000000001</v>
      </c>
      <c r="K55" s="15">
        <v>0</v>
      </c>
      <c r="L55" s="15">
        <v>0</v>
      </c>
      <c r="M55" s="15">
        <v>209</v>
      </c>
      <c r="N55" s="15">
        <v>0</v>
      </c>
      <c r="O55" s="15">
        <f>112.24+72.74</f>
        <v>184.98</v>
      </c>
      <c r="P55" s="16">
        <f t="shared" si="1"/>
        <v>1236.42</v>
      </c>
      <c r="Q55" s="30"/>
      <c r="R55" s="30"/>
      <c r="S55" s="30"/>
      <c r="T55" s="30"/>
    </row>
    <row r="56" spans="1:20" s="31" customFormat="1" x14ac:dyDescent="0.25">
      <c r="A56" s="6" t="s">
        <v>16</v>
      </c>
      <c r="B56" s="7" t="s">
        <v>17</v>
      </c>
      <c r="C56" s="8" t="s">
        <v>130</v>
      </c>
      <c r="D56" s="9" t="s">
        <v>131</v>
      </c>
      <c r="E56" s="10">
        <v>3</v>
      </c>
      <c r="F56" s="11" t="s">
        <v>23</v>
      </c>
      <c r="G56" s="12" t="s">
        <v>20</v>
      </c>
      <c r="H56" s="13">
        <v>2</v>
      </c>
      <c r="I56" s="14">
        <v>44</v>
      </c>
      <c r="J56" s="15">
        <v>766.33</v>
      </c>
      <c r="K56" s="15">
        <v>0</v>
      </c>
      <c r="L56" s="15">
        <v>0</v>
      </c>
      <c r="M56" s="15">
        <f>278.67+153.27</f>
        <v>431.94000000000005</v>
      </c>
      <c r="N56" s="15">
        <v>0</v>
      </c>
      <c r="O56" s="15">
        <f>20.9+92.16</f>
        <v>113.06</v>
      </c>
      <c r="P56" s="16">
        <f t="shared" si="1"/>
        <v>1085.21</v>
      </c>
      <c r="Q56" s="30"/>
      <c r="R56" s="30"/>
      <c r="S56" s="30"/>
      <c r="T56" s="30"/>
    </row>
    <row r="57" spans="1:20" s="31" customFormat="1" x14ac:dyDescent="0.25">
      <c r="A57" s="6" t="s">
        <v>16</v>
      </c>
      <c r="B57" s="7" t="s">
        <v>17</v>
      </c>
      <c r="C57" s="8" t="s">
        <v>132</v>
      </c>
      <c r="D57" s="9" t="s">
        <v>133</v>
      </c>
      <c r="E57" s="10">
        <v>2</v>
      </c>
      <c r="F57" s="19" t="s">
        <v>74</v>
      </c>
      <c r="G57" s="12" t="s">
        <v>20</v>
      </c>
      <c r="H57" s="13">
        <v>1</v>
      </c>
      <c r="I57" s="14">
        <v>44</v>
      </c>
      <c r="J57" s="15">
        <v>3132.6</v>
      </c>
      <c r="K57" s="15">
        <v>0</v>
      </c>
      <c r="L57" s="15">
        <v>1566.3</v>
      </c>
      <c r="M57" s="15">
        <f>209+106.93+534.66</f>
        <v>850.58999999999992</v>
      </c>
      <c r="N57" s="15">
        <v>0</v>
      </c>
      <c r="O57" s="15">
        <f>15.66+416.58+180.19</f>
        <v>612.43000000000006</v>
      </c>
      <c r="P57" s="16">
        <f t="shared" si="1"/>
        <v>4937.0599999999995</v>
      </c>
      <c r="Q57" s="30"/>
      <c r="R57" s="30"/>
      <c r="S57" s="30"/>
      <c r="T57" s="30"/>
    </row>
    <row r="58" spans="1:20" s="31" customFormat="1" x14ac:dyDescent="0.25">
      <c r="A58" s="6" t="s">
        <v>16</v>
      </c>
      <c r="B58" s="7" t="s">
        <v>17</v>
      </c>
      <c r="C58" s="8" t="s">
        <v>134</v>
      </c>
      <c r="D58" s="9" t="s">
        <v>135</v>
      </c>
      <c r="E58" s="10">
        <v>3</v>
      </c>
      <c r="F58" s="19" t="s">
        <v>136</v>
      </c>
      <c r="G58" s="12" t="s">
        <v>20</v>
      </c>
      <c r="H58" s="13">
        <v>2</v>
      </c>
      <c r="I58" s="14">
        <v>44</v>
      </c>
      <c r="J58" s="15">
        <v>1552.5</v>
      </c>
      <c r="K58" s="15">
        <v>0</v>
      </c>
      <c r="L58" s="15">
        <v>0</v>
      </c>
      <c r="M58" s="15">
        <f>209+128</f>
        <v>337</v>
      </c>
      <c r="N58" s="15">
        <v>0</v>
      </c>
      <c r="O58" s="15">
        <f>31.05+142.85</f>
        <v>173.9</v>
      </c>
      <c r="P58" s="16">
        <f t="shared" si="1"/>
        <v>1715.6</v>
      </c>
      <c r="Q58" s="30"/>
      <c r="R58" s="30"/>
      <c r="S58" s="30"/>
      <c r="T58" s="30"/>
    </row>
    <row r="59" spans="1:20" s="31" customFormat="1" x14ac:dyDescent="0.25">
      <c r="A59" s="6" t="s">
        <v>16</v>
      </c>
      <c r="B59" s="7" t="s">
        <v>17</v>
      </c>
      <c r="C59" s="8" t="s">
        <v>137</v>
      </c>
      <c r="D59" s="9" t="s">
        <v>138</v>
      </c>
      <c r="E59" s="10">
        <v>3</v>
      </c>
      <c r="F59" s="19" t="s">
        <v>78</v>
      </c>
      <c r="G59" s="12" t="s">
        <v>20</v>
      </c>
      <c r="H59" s="13">
        <v>1</v>
      </c>
      <c r="I59" s="14">
        <v>44</v>
      </c>
      <c r="J59" s="15">
        <v>1892.07</v>
      </c>
      <c r="K59" s="15">
        <v>0</v>
      </c>
      <c r="L59" s="15">
        <v>0</v>
      </c>
      <c r="M59" s="15">
        <f>209+64</f>
        <v>273</v>
      </c>
      <c r="N59" s="15">
        <v>0</v>
      </c>
      <c r="O59" s="15">
        <f>37.84+173.75</f>
        <v>211.59</v>
      </c>
      <c r="P59" s="16">
        <f t="shared" si="1"/>
        <v>1953.4799999999998</v>
      </c>
      <c r="Q59" s="30"/>
      <c r="R59" s="30"/>
      <c r="S59" s="30"/>
      <c r="T59" s="30"/>
    </row>
    <row r="60" spans="1:20" s="29" customFormat="1" x14ac:dyDescent="0.25">
      <c r="A60" s="6" t="s">
        <v>16</v>
      </c>
      <c r="B60" s="7" t="s">
        <v>17</v>
      </c>
      <c r="C60" s="8" t="s">
        <v>139</v>
      </c>
      <c r="D60" s="9" t="s">
        <v>140</v>
      </c>
      <c r="E60" s="10">
        <v>3</v>
      </c>
      <c r="F60" s="11" t="s">
        <v>63</v>
      </c>
      <c r="G60" s="12" t="s">
        <v>20</v>
      </c>
      <c r="H60" s="13">
        <v>1</v>
      </c>
      <c r="I60" s="14">
        <v>44</v>
      </c>
      <c r="J60" s="15">
        <v>1045</v>
      </c>
      <c r="K60" s="15">
        <v>0</v>
      </c>
      <c r="L60" s="15">
        <v>0</v>
      </c>
      <c r="M60" s="15">
        <f>97.24+209+128</f>
        <v>434.24</v>
      </c>
      <c r="N60" s="15">
        <v>0</v>
      </c>
      <c r="O60" s="15">
        <f>20.9+97.18</f>
        <v>118.08000000000001</v>
      </c>
      <c r="P60" s="16">
        <f t="shared" si="1"/>
        <v>1361.16</v>
      </c>
      <c r="Q60" s="28"/>
      <c r="R60" s="28"/>
      <c r="S60" s="28"/>
      <c r="T60" s="28"/>
    </row>
    <row r="61" spans="1:20" s="31" customFormat="1" x14ac:dyDescent="0.25">
      <c r="A61" s="6" t="s">
        <v>16</v>
      </c>
      <c r="B61" s="7" t="s">
        <v>17</v>
      </c>
      <c r="C61" s="8">
        <v>61087300487</v>
      </c>
      <c r="D61" s="9" t="s">
        <v>141</v>
      </c>
      <c r="E61" s="10">
        <v>2</v>
      </c>
      <c r="F61" s="11" t="s">
        <v>19</v>
      </c>
      <c r="G61" s="12" t="s">
        <v>20</v>
      </c>
      <c r="H61" s="13">
        <v>1</v>
      </c>
      <c r="I61" s="14">
        <v>44</v>
      </c>
      <c r="J61" s="15">
        <v>1212.4000000000001</v>
      </c>
      <c r="K61" s="15">
        <v>0</v>
      </c>
      <c r="L61" s="15">
        <v>0</v>
      </c>
      <c r="M61" s="15">
        <f>48.62+209</f>
        <v>257.62</v>
      </c>
      <c r="N61" s="15">
        <v>0</v>
      </c>
      <c r="O61" s="15">
        <f>112.24+72.74</f>
        <v>184.98</v>
      </c>
      <c r="P61" s="16">
        <f t="shared" si="1"/>
        <v>1285.04</v>
      </c>
      <c r="Q61" s="30"/>
      <c r="R61" s="30"/>
      <c r="S61" s="30"/>
      <c r="T61" s="30"/>
    </row>
    <row r="62" spans="1:20" s="18" customFormat="1" x14ac:dyDescent="0.2">
      <c r="A62" s="6" t="s">
        <v>16</v>
      </c>
      <c r="B62" s="7" t="s">
        <v>17</v>
      </c>
      <c r="C62" s="8">
        <v>11293575461</v>
      </c>
      <c r="D62" s="9" t="s">
        <v>142</v>
      </c>
      <c r="E62" s="10">
        <v>3</v>
      </c>
      <c r="F62" s="11" t="s">
        <v>63</v>
      </c>
      <c r="G62" s="12" t="s">
        <v>20</v>
      </c>
      <c r="H62" s="13">
        <v>1</v>
      </c>
      <c r="I62" s="14">
        <v>44</v>
      </c>
      <c r="J62" s="15">
        <v>1045</v>
      </c>
      <c r="K62" s="15">
        <v>0</v>
      </c>
      <c r="L62" s="15">
        <v>0</v>
      </c>
      <c r="M62" s="15">
        <f>48.62+209+11.15+55.73</f>
        <v>324.5</v>
      </c>
      <c r="N62" s="15">
        <v>0</v>
      </c>
      <c r="O62" s="15">
        <f>20.9+103.19</f>
        <v>124.09</v>
      </c>
      <c r="P62" s="16">
        <f t="shared" si="1"/>
        <v>1245.4100000000001</v>
      </c>
      <c r="Q62" s="17"/>
      <c r="R62" s="17"/>
      <c r="S62" s="17"/>
      <c r="T62" s="17"/>
    </row>
    <row r="63" spans="1:20" s="18" customFormat="1" x14ac:dyDescent="0.2">
      <c r="A63" s="6" t="s">
        <v>16</v>
      </c>
      <c r="B63" s="7" t="s">
        <v>17</v>
      </c>
      <c r="C63" s="8">
        <v>28651282885</v>
      </c>
      <c r="D63" s="9" t="s">
        <v>143</v>
      </c>
      <c r="E63" s="10">
        <v>3</v>
      </c>
      <c r="F63" s="19" t="s">
        <v>99</v>
      </c>
      <c r="G63" s="12" t="s">
        <v>20</v>
      </c>
      <c r="H63" s="13">
        <v>1</v>
      </c>
      <c r="I63" s="14">
        <v>44</v>
      </c>
      <c r="J63" s="15">
        <v>1045</v>
      </c>
      <c r="K63" s="15">
        <v>0</v>
      </c>
      <c r="L63" s="15">
        <v>0</v>
      </c>
      <c r="M63" s="15">
        <v>209</v>
      </c>
      <c r="N63" s="15">
        <v>0</v>
      </c>
      <c r="O63" s="15">
        <f>20.9+97.18+62.7</f>
        <v>180.78000000000003</v>
      </c>
      <c r="P63" s="16">
        <f t="shared" si="1"/>
        <v>1073.22</v>
      </c>
      <c r="Q63" s="17"/>
      <c r="R63" s="17"/>
      <c r="S63" s="17"/>
      <c r="T63" s="17"/>
    </row>
    <row r="64" spans="1:20" s="18" customFormat="1" x14ac:dyDescent="0.2">
      <c r="A64" s="6" t="s">
        <v>16</v>
      </c>
      <c r="B64" s="7" t="s">
        <v>17</v>
      </c>
      <c r="C64" s="8">
        <v>92120482420</v>
      </c>
      <c r="D64" s="9" t="s">
        <v>144</v>
      </c>
      <c r="E64" s="10">
        <v>2</v>
      </c>
      <c r="F64" s="11" t="s">
        <v>19</v>
      </c>
      <c r="G64" s="12" t="s">
        <v>20</v>
      </c>
      <c r="H64" s="13">
        <v>1</v>
      </c>
      <c r="I64" s="14">
        <v>44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6">
        <f t="shared" si="1"/>
        <v>0</v>
      </c>
      <c r="Q64" s="17"/>
      <c r="R64" s="17"/>
      <c r="S64" s="17"/>
      <c r="T64" s="17"/>
    </row>
    <row r="65" spans="1:20" s="18" customFormat="1" x14ac:dyDescent="0.2">
      <c r="A65" s="6" t="s">
        <v>16</v>
      </c>
      <c r="B65" s="7" t="s">
        <v>17</v>
      </c>
      <c r="C65" s="8" t="s">
        <v>145</v>
      </c>
      <c r="D65" s="9" t="s">
        <v>146</v>
      </c>
      <c r="E65" s="10">
        <v>2</v>
      </c>
      <c r="F65" s="11" t="s">
        <v>19</v>
      </c>
      <c r="G65" s="12" t="s">
        <v>20</v>
      </c>
      <c r="H65" s="13">
        <v>1</v>
      </c>
      <c r="I65" s="14">
        <v>44</v>
      </c>
      <c r="J65" s="15">
        <v>1212.4000000000001</v>
      </c>
      <c r="K65" s="15">
        <v>0</v>
      </c>
      <c r="L65" s="15">
        <v>0</v>
      </c>
      <c r="M65" s="15">
        <f>209</f>
        <v>209</v>
      </c>
      <c r="N65" s="15">
        <v>0</v>
      </c>
      <c r="O65" s="15">
        <f>112.24+72.74</f>
        <v>184.98</v>
      </c>
      <c r="P65" s="16">
        <f t="shared" si="1"/>
        <v>1236.42</v>
      </c>
      <c r="Q65" s="17"/>
      <c r="R65" s="17"/>
      <c r="S65" s="17"/>
      <c r="T65" s="17"/>
    </row>
    <row r="66" spans="1:20" s="18" customFormat="1" x14ac:dyDescent="0.2">
      <c r="A66" s="6" t="s">
        <v>16</v>
      </c>
      <c r="B66" s="7" t="s">
        <v>17</v>
      </c>
      <c r="C66" s="8" t="s">
        <v>147</v>
      </c>
      <c r="D66" s="9" t="s">
        <v>148</v>
      </c>
      <c r="E66" s="10">
        <v>2</v>
      </c>
      <c r="F66" s="19" t="s">
        <v>55</v>
      </c>
      <c r="G66" s="12" t="s">
        <v>20</v>
      </c>
      <c r="H66" s="13">
        <v>1</v>
      </c>
      <c r="I66" s="14">
        <v>44</v>
      </c>
      <c r="J66" s="15">
        <v>1128.23</v>
      </c>
      <c r="K66" s="15">
        <v>0</v>
      </c>
      <c r="L66" s="15">
        <v>0</v>
      </c>
      <c r="M66" s="15">
        <f>80.59+195.07+20.55+94.52</f>
        <v>390.72999999999996</v>
      </c>
      <c r="N66" s="15">
        <v>0</v>
      </c>
      <c r="O66" s="15">
        <f>24.18+121.02</f>
        <v>145.19999999999999</v>
      </c>
      <c r="P66" s="16">
        <f t="shared" ref="P66:P97" si="2">SUM(J66:N66)-O66</f>
        <v>1373.76</v>
      </c>
      <c r="Q66" s="17"/>
      <c r="R66" s="17"/>
      <c r="S66" s="17"/>
      <c r="T66" s="17"/>
    </row>
    <row r="67" spans="1:20" s="31" customFormat="1" x14ac:dyDescent="0.25">
      <c r="A67" s="6" t="s">
        <v>16</v>
      </c>
      <c r="B67" s="7" t="s">
        <v>17</v>
      </c>
      <c r="C67" s="8" t="s">
        <v>149</v>
      </c>
      <c r="D67" s="9" t="s">
        <v>150</v>
      </c>
      <c r="E67" s="10">
        <v>2</v>
      </c>
      <c r="F67" s="19" t="s">
        <v>74</v>
      </c>
      <c r="G67" s="12" t="s">
        <v>20</v>
      </c>
      <c r="H67" s="13">
        <v>1</v>
      </c>
      <c r="I67" s="14">
        <v>44</v>
      </c>
      <c r="J67" s="15">
        <v>3132.6</v>
      </c>
      <c r="K67" s="15">
        <v>0</v>
      </c>
      <c r="L67" s="15">
        <v>1566.3</v>
      </c>
      <c r="M67" s="15">
        <v>209</v>
      </c>
      <c r="N67" s="15">
        <v>0</v>
      </c>
      <c r="O67" s="15">
        <f>14.92+326.75+69.09</f>
        <v>410.76</v>
      </c>
      <c r="P67" s="16">
        <f t="shared" si="2"/>
        <v>4497.1399999999994</v>
      </c>
      <c r="Q67" s="30"/>
      <c r="R67" s="30"/>
      <c r="S67" s="30"/>
      <c r="T67" s="30"/>
    </row>
    <row r="68" spans="1:20" s="31" customFormat="1" x14ac:dyDescent="0.25">
      <c r="A68" s="6" t="s">
        <v>16</v>
      </c>
      <c r="B68" s="7" t="s">
        <v>17</v>
      </c>
      <c r="C68" s="8" t="s">
        <v>151</v>
      </c>
      <c r="D68" s="9" t="s">
        <v>152</v>
      </c>
      <c r="E68" s="10">
        <v>2</v>
      </c>
      <c r="F68" s="11" t="s">
        <v>30</v>
      </c>
      <c r="G68" s="12" t="s">
        <v>20</v>
      </c>
      <c r="H68" s="13">
        <v>1</v>
      </c>
      <c r="I68" s="14">
        <v>44</v>
      </c>
      <c r="J68" s="15">
        <v>1847.47</v>
      </c>
      <c r="K68" s="15">
        <v>0</v>
      </c>
      <c r="L68" s="15">
        <v>923.74</v>
      </c>
      <c r="M68" s="15">
        <f>209+49.36+246.78</f>
        <v>505.14</v>
      </c>
      <c r="N68" s="15">
        <v>0</v>
      </c>
      <c r="O68" s="15">
        <f>2.43+203.94+18.35</f>
        <v>224.72</v>
      </c>
      <c r="P68" s="16">
        <f t="shared" si="2"/>
        <v>3051.63</v>
      </c>
      <c r="Q68" s="30"/>
      <c r="R68" s="30"/>
      <c r="S68" s="30"/>
      <c r="T68" s="30"/>
    </row>
    <row r="69" spans="1:20" s="31" customFormat="1" x14ac:dyDescent="0.25">
      <c r="A69" s="6" t="s">
        <v>16</v>
      </c>
      <c r="B69" s="7" t="s">
        <v>17</v>
      </c>
      <c r="C69" s="8" t="s">
        <v>153</v>
      </c>
      <c r="D69" s="9" t="s">
        <v>154</v>
      </c>
      <c r="E69" s="10">
        <v>3</v>
      </c>
      <c r="F69" s="24" t="s">
        <v>60</v>
      </c>
      <c r="G69" s="12" t="s">
        <v>20</v>
      </c>
      <c r="H69" s="13">
        <v>1</v>
      </c>
      <c r="I69" s="14">
        <v>44</v>
      </c>
      <c r="J69" s="15">
        <v>1045</v>
      </c>
      <c r="K69" s="15">
        <v>0</v>
      </c>
      <c r="L69" s="15">
        <v>0</v>
      </c>
      <c r="M69" s="15">
        <f>48.62+209</f>
        <v>257.62</v>
      </c>
      <c r="N69" s="15">
        <v>0</v>
      </c>
      <c r="O69" s="15">
        <f>20.9+97.18+62.7</f>
        <v>180.78000000000003</v>
      </c>
      <c r="P69" s="16">
        <f t="shared" si="2"/>
        <v>1121.8399999999999</v>
      </c>
      <c r="Q69" s="30"/>
      <c r="R69" s="30"/>
      <c r="S69" s="30"/>
      <c r="T69" s="30"/>
    </row>
    <row r="70" spans="1:20" s="31" customFormat="1" x14ac:dyDescent="0.25">
      <c r="A70" s="6" t="s">
        <v>16</v>
      </c>
      <c r="B70" s="7" t="s">
        <v>17</v>
      </c>
      <c r="C70" s="8">
        <v>10505042401</v>
      </c>
      <c r="D70" s="9" t="s">
        <v>155</v>
      </c>
      <c r="E70" s="10">
        <v>2</v>
      </c>
      <c r="F70" s="11" t="s">
        <v>19</v>
      </c>
      <c r="G70" s="12" t="s">
        <v>20</v>
      </c>
      <c r="H70" s="13">
        <v>1</v>
      </c>
      <c r="I70" s="14">
        <v>44</v>
      </c>
      <c r="J70" s="15">
        <v>1212.4000000000001</v>
      </c>
      <c r="K70" s="15">
        <v>0</v>
      </c>
      <c r="L70" s="15">
        <v>0</v>
      </c>
      <c r="M70" s="15">
        <f>209+48.62+64</f>
        <v>321.62</v>
      </c>
      <c r="N70" s="15">
        <v>0</v>
      </c>
      <c r="O70" s="15">
        <f>112.24+72.74</f>
        <v>184.98</v>
      </c>
      <c r="P70" s="16">
        <f t="shared" si="2"/>
        <v>1349.04</v>
      </c>
      <c r="Q70" s="30"/>
      <c r="R70" s="30"/>
      <c r="S70" s="30"/>
      <c r="T70" s="30"/>
    </row>
    <row r="71" spans="1:20" s="31" customFormat="1" x14ac:dyDescent="0.25">
      <c r="A71" s="6" t="s">
        <v>16</v>
      </c>
      <c r="B71" s="7" t="s">
        <v>17</v>
      </c>
      <c r="C71" s="8" t="s">
        <v>156</v>
      </c>
      <c r="D71" s="22" t="s">
        <v>157</v>
      </c>
      <c r="E71" s="10">
        <v>2</v>
      </c>
      <c r="F71" s="11" t="s">
        <v>19</v>
      </c>
      <c r="G71" s="12" t="s">
        <v>20</v>
      </c>
      <c r="H71" s="13">
        <v>1</v>
      </c>
      <c r="I71" s="14">
        <v>44</v>
      </c>
      <c r="J71" s="15">
        <v>1212.4000000000001</v>
      </c>
      <c r="K71" s="15">
        <v>0</v>
      </c>
      <c r="L71" s="15">
        <v>0</v>
      </c>
      <c r="M71" s="15">
        <f>209+41.06+205.31</f>
        <v>455.37</v>
      </c>
      <c r="N71" s="15">
        <v>0</v>
      </c>
      <c r="O71" s="15">
        <f>134.41</f>
        <v>134.41</v>
      </c>
      <c r="P71" s="16">
        <f t="shared" si="2"/>
        <v>1533.36</v>
      </c>
      <c r="Q71" s="30"/>
      <c r="R71" s="30"/>
      <c r="S71" s="30"/>
      <c r="T71" s="30"/>
    </row>
    <row r="72" spans="1:20" s="31" customFormat="1" x14ac:dyDescent="0.25">
      <c r="A72" s="6" t="s">
        <v>16</v>
      </c>
      <c r="B72" s="7" t="s">
        <v>17</v>
      </c>
      <c r="C72" s="8">
        <v>77307950430</v>
      </c>
      <c r="D72" s="9" t="s">
        <v>158</v>
      </c>
      <c r="E72" s="10">
        <v>3</v>
      </c>
      <c r="F72" s="24" t="s">
        <v>60</v>
      </c>
      <c r="G72" s="12" t="s">
        <v>20</v>
      </c>
      <c r="H72" s="13">
        <v>1</v>
      </c>
      <c r="I72" s="14">
        <v>44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6">
        <f t="shared" si="2"/>
        <v>0</v>
      </c>
      <c r="Q72" s="30"/>
      <c r="R72" s="30"/>
      <c r="S72" s="30"/>
      <c r="T72" s="30"/>
    </row>
    <row r="73" spans="1:20" s="31" customFormat="1" x14ac:dyDescent="0.25">
      <c r="A73" s="6" t="s">
        <v>16</v>
      </c>
      <c r="B73" s="7" t="s">
        <v>17</v>
      </c>
      <c r="C73" s="8" t="s">
        <v>159</v>
      </c>
      <c r="D73" s="9" t="s">
        <v>160</v>
      </c>
      <c r="E73" s="10">
        <v>2</v>
      </c>
      <c r="F73" s="19" t="s">
        <v>74</v>
      </c>
      <c r="G73" s="12" t="s">
        <v>20</v>
      </c>
      <c r="H73" s="13">
        <v>1</v>
      </c>
      <c r="I73" s="14">
        <v>44</v>
      </c>
      <c r="J73" s="15">
        <v>1879.56</v>
      </c>
      <c r="K73" s="15">
        <v>1784.51</v>
      </c>
      <c r="L73" s="15">
        <v>1566.3</v>
      </c>
      <c r="M73" s="15">
        <v>125.4</v>
      </c>
      <c r="N73" s="15">
        <v>0</v>
      </c>
      <c r="O73" s="15">
        <f>14.92+1784.51+244.53+144.92</f>
        <v>2188.88</v>
      </c>
      <c r="P73" s="16">
        <f t="shared" si="2"/>
        <v>3166.8899999999994</v>
      </c>
      <c r="Q73" s="30"/>
      <c r="R73" s="30"/>
      <c r="S73" s="30"/>
      <c r="T73" s="30"/>
    </row>
    <row r="74" spans="1:20" s="31" customFormat="1" x14ac:dyDescent="0.25">
      <c r="A74" s="6" t="s">
        <v>16</v>
      </c>
      <c r="B74" s="7" t="s">
        <v>17</v>
      </c>
      <c r="C74" s="8" t="s">
        <v>161</v>
      </c>
      <c r="D74" s="9" t="s">
        <v>162</v>
      </c>
      <c r="E74" s="10">
        <v>3</v>
      </c>
      <c r="F74" s="26" t="s">
        <v>109</v>
      </c>
      <c r="G74" s="12" t="s">
        <v>20</v>
      </c>
      <c r="H74" s="13">
        <v>1</v>
      </c>
      <c r="I74" s="14">
        <v>44</v>
      </c>
      <c r="J74" s="15">
        <v>3105</v>
      </c>
      <c r="K74" s="15">
        <v>0</v>
      </c>
      <c r="L74" s="15">
        <v>0</v>
      </c>
      <c r="M74" s="15">
        <f>209+64</f>
        <v>273</v>
      </c>
      <c r="N74" s="15">
        <v>0</v>
      </c>
      <c r="O74" s="15">
        <f>62.1+322.89+53.09</f>
        <v>438.08000000000004</v>
      </c>
      <c r="P74" s="16">
        <f t="shared" si="2"/>
        <v>2939.92</v>
      </c>
      <c r="Q74" s="30"/>
      <c r="R74" s="30"/>
      <c r="S74" s="30"/>
      <c r="T74" s="30"/>
    </row>
    <row r="75" spans="1:20" s="31" customFormat="1" x14ac:dyDescent="0.25">
      <c r="A75" s="6" t="s">
        <v>16</v>
      </c>
      <c r="B75" s="7" t="s">
        <v>17</v>
      </c>
      <c r="C75" s="8" t="s">
        <v>163</v>
      </c>
      <c r="D75" s="9" t="s">
        <v>164</v>
      </c>
      <c r="E75" s="10">
        <v>2</v>
      </c>
      <c r="F75" s="11" t="s">
        <v>30</v>
      </c>
      <c r="G75" s="12" t="s">
        <v>20</v>
      </c>
      <c r="H75" s="13">
        <v>1</v>
      </c>
      <c r="I75" s="14">
        <v>44</v>
      </c>
      <c r="J75" s="15">
        <v>1847.47</v>
      </c>
      <c r="K75" s="15">
        <v>0</v>
      </c>
      <c r="L75" s="15">
        <v>923.74</v>
      </c>
      <c r="M75" s="15">
        <f>209+37.2+185.99</f>
        <v>432.19</v>
      </c>
      <c r="N75" s="15">
        <v>0</v>
      </c>
      <c r="O75" s="15">
        <f>2.43+195.18+13.54</f>
        <v>211.15</v>
      </c>
      <c r="P75" s="16">
        <f t="shared" si="2"/>
        <v>2992.25</v>
      </c>
      <c r="Q75" s="30"/>
      <c r="R75" s="30"/>
      <c r="S75" s="30"/>
      <c r="T75" s="30"/>
    </row>
    <row r="76" spans="1:20" s="31" customFormat="1" x14ac:dyDescent="0.25">
      <c r="A76" s="6" t="s">
        <v>16</v>
      </c>
      <c r="B76" s="7" t="s">
        <v>17</v>
      </c>
      <c r="C76" s="8" t="s">
        <v>165</v>
      </c>
      <c r="D76" s="9" t="s">
        <v>166</v>
      </c>
      <c r="E76" s="10">
        <v>3</v>
      </c>
      <c r="F76" s="19" t="s">
        <v>25</v>
      </c>
      <c r="G76" s="12" t="s">
        <v>20</v>
      </c>
      <c r="H76" s="13">
        <v>1</v>
      </c>
      <c r="I76" s="14">
        <v>44</v>
      </c>
      <c r="J76" s="15">
        <v>1055.93</v>
      </c>
      <c r="K76" s="15">
        <v>0</v>
      </c>
      <c r="L76" s="15">
        <v>0</v>
      </c>
      <c r="M76" s="15">
        <f>97.24+209</f>
        <v>306.24</v>
      </c>
      <c r="N76" s="15">
        <v>0</v>
      </c>
      <c r="O76" s="15">
        <f>21.12+98.16+63.36</f>
        <v>182.64</v>
      </c>
      <c r="P76" s="16">
        <f t="shared" si="2"/>
        <v>1179.5300000000002</v>
      </c>
      <c r="Q76" s="30"/>
      <c r="R76" s="30"/>
      <c r="S76" s="30"/>
      <c r="T76" s="30"/>
    </row>
    <row r="77" spans="1:20" s="31" customFormat="1" x14ac:dyDescent="0.25">
      <c r="A77" s="6" t="s">
        <v>16</v>
      </c>
      <c r="B77" s="7" t="s">
        <v>17</v>
      </c>
      <c r="C77" s="8">
        <v>10068012438</v>
      </c>
      <c r="D77" s="22" t="s">
        <v>167</v>
      </c>
      <c r="E77" s="10">
        <v>3</v>
      </c>
      <c r="F77" s="19" t="s">
        <v>25</v>
      </c>
      <c r="G77" s="12" t="s">
        <v>20</v>
      </c>
      <c r="H77" s="13">
        <v>1</v>
      </c>
      <c r="I77" s="14">
        <v>44</v>
      </c>
      <c r="J77" s="15">
        <v>598.36</v>
      </c>
      <c r="K77" s="15">
        <v>0</v>
      </c>
      <c r="L77" s="15">
        <v>0</v>
      </c>
      <c r="M77" s="15">
        <f>457.57+97.24+118.43+128+15.06+70.27</f>
        <v>886.56999999999994</v>
      </c>
      <c r="N77" s="15">
        <v>0</v>
      </c>
      <c r="O77" s="15">
        <f>21.12+97.69+63.36</f>
        <v>182.17000000000002</v>
      </c>
      <c r="P77" s="16">
        <f t="shared" si="2"/>
        <v>1302.7599999999998</v>
      </c>
      <c r="Q77" s="30"/>
      <c r="R77" s="30"/>
      <c r="S77" s="30"/>
      <c r="T77" s="30"/>
    </row>
    <row r="78" spans="1:20" s="31" customFormat="1" x14ac:dyDescent="0.25">
      <c r="A78" s="6" t="s">
        <v>16</v>
      </c>
      <c r="B78" s="7" t="s">
        <v>17</v>
      </c>
      <c r="C78" s="8" t="s">
        <v>168</v>
      </c>
      <c r="D78" s="9" t="s">
        <v>169</v>
      </c>
      <c r="E78" s="10">
        <v>2</v>
      </c>
      <c r="F78" s="23" t="s">
        <v>53</v>
      </c>
      <c r="G78" s="12" t="s">
        <v>20</v>
      </c>
      <c r="H78" s="13">
        <v>1</v>
      </c>
      <c r="I78" s="14">
        <v>44</v>
      </c>
      <c r="J78" s="15">
        <v>1150</v>
      </c>
      <c r="K78" s="15">
        <v>0</v>
      </c>
      <c r="L78" s="15">
        <v>0</v>
      </c>
      <c r="M78" s="15">
        <f>350+160.23</f>
        <v>510.23</v>
      </c>
      <c r="N78" s="15">
        <v>0</v>
      </c>
      <c r="O78" s="15">
        <v>133.74</v>
      </c>
      <c r="P78" s="16">
        <f t="shared" si="2"/>
        <v>1526.49</v>
      </c>
      <c r="Q78" s="30"/>
      <c r="R78" s="30"/>
      <c r="S78" s="30"/>
      <c r="T78" s="30"/>
    </row>
    <row r="79" spans="1:20" s="31" customFormat="1" x14ac:dyDescent="0.25">
      <c r="A79" s="6" t="s">
        <v>16</v>
      </c>
      <c r="B79" s="7" t="s">
        <v>17</v>
      </c>
      <c r="C79" s="8" t="s">
        <v>170</v>
      </c>
      <c r="D79" s="9" t="s">
        <v>171</v>
      </c>
      <c r="E79" s="10">
        <v>3</v>
      </c>
      <c r="F79" s="19" t="s">
        <v>25</v>
      </c>
      <c r="G79" s="12" t="s">
        <v>20</v>
      </c>
      <c r="H79" s="13">
        <v>1</v>
      </c>
      <c r="I79" s="14">
        <v>44</v>
      </c>
      <c r="J79" s="15">
        <v>1055.93</v>
      </c>
      <c r="K79" s="15">
        <v>0</v>
      </c>
      <c r="L79" s="15">
        <v>0</v>
      </c>
      <c r="M79" s="15">
        <f>209+64+30.92+154.6</f>
        <v>458.52</v>
      </c>
      <c r="N79" s="15">
        <v>0</v>
      </c>
      <c r="O79" s="15">
        <f>21.12+114.86+63.36</f>
        <v>199.33999999999997</v>
      </c>
      <c r="P79" s="16">
        <f t="shared" si="2"/>
        <v>1315.1100000000001</v>
      </c>
      <c r="Q79" s="30"/>
      <c r="R79" s="30"/>
      <c r="S79" s="30"/>
      <c r="T79" s="30"/>
    </row>
    <row r="80" spans="1:20" s="31" customFormat="1" x14ac:dyDescent="0.25">
      <c r="A80" s="6" t="s">
        <v>16</v>
      </c>
      <c r="B80" s="7" t="s">
        <v>17</v>
      </c>
      <c r="C80" s="8" t="s">
        <v>172</v>
      </c>
      <c r="D80" s="9" t="s">
        <v>173</v>
      </c>
      <c r="E80" s="10">
        <v>2</v>
      </c>
      <c r="F80" s="11" t="s">
        <v>35</v>
      </c>
      <c r="G80" s="12" t="s">
        <v>20</v>
      </c>
      <c r="H80" s="13">
        <v>1</v>
      </c>
      <c r="I80" s="14">
        <v>44</v>
      </c>
      <c r="J80" s="15">
        <v>2030.47</v>
      </c>
      <c r="K80" s="15">
        <v>0</v>
      </c>
      <c r="L80" s="15">
        <v>0</v>
      </c>
      <c r="M80" s="15">
        <f>56.85+284.27+812.19</f>
        <v>1153.31</v>
      </c>
      <c r="N80" s="15">
        <v>0</v>
      </c>
      <c r="O80" s="15">
        <f>304.66+44.7</f>
        <v>349.36</v>
      </c>
      <c r="P80" s="16">
        <f t="shared" si="2"/>
        <v>2834.4199999999996</v>
      </c>
      <c r="Q80" s="30"/>
      <c r="R80" s="30"/>
      <c r="S80" s="30"/>
      <c r="T80" s="30"/>
    </row>
    <row r="81" spans="1:20" s="31" customFormat="1" x14ac:dyDescent="0.25">
      <c r="A81" s="6" t="s">
        <v>16</v>
      </c>
      <c r="B81" s="7" t="s">
        <v>17</v>
      </c>
      <c r="C81" s="8" t="s">
        <v>174</v>
      </c>
      <c r="D81" s="9" t="s">
        <v>175</v>
      </c>
      <c r="E81" s="10">
        <v>3</v>
      </c>
      <c r="F81" s="19" t="s">
        <v>68</v>
      </c>
      <c r="G81" s="12" t="s">
        <v>20</v>
      </c>
      <c r="H81" s="13">
        <v>1</v>
      </c>
      <c r="I81" s="14">
        <v>44</v>
      </c>
      <c r="J81" s="15">
        <v>1254.55</v>
      </c>
      <c r="K81" s="15">
        <v>0</v>
      </c>
      <c r="L81" s="15">
        <v>0</v>
      </c>
      <c r="M81" s="15">
        <f>209+128+42.28+211.4</f>
        <v>590.67999999999995</v>
      </c>
      <c r="N81" s="15">
        <v>0</v>
      </c>
      <c r="O81" s="15">
        <f>25.09+138.87+75.27</f>
        <v>239.23000000000002</v>
      </c>
      <c r="P81" s="16">
        <f t="shared" si="2"/>
        <v>1606</v>
      </c>
      <c r="Q81" s="30"/>
      <c r="R81" s="30"/>
      <c r="S81" s="30"/>
      <c r="T81" s="30"/>
    </row>
    <row r="82" spans="1:20" s="31" customFormat="1" x14ac:dyDescent="0.25">
      <c r="A82" s="6" t="s">
        <v>16</v>
      </c>
      <c r="B82" s="7" t="s">
        <v>17</v>
      </c>
      <c r="C82" s="8">
        <v>89967100400</v>
      </c>
      <c r="D82" s="9" t="s">
        <v>176</v>
      </c>
      <c r="E82" s="10">
        <v>3</v>
      </c>
      <c r="F82" s="11" t="s">
        <v>63</v>
      </c>
      <c r="G82" s="12" t="s">
        <v>20</v>
      </c>
      <c r="H82" s="13">
        <v>1</v>
      </c>
      <c r="I82" s="14">
        <v>44</v>
      </c>
      <c r="J82" s="15">
        <v>1045</v>
      </c>
      <c r="K82" s="15">
        <v>0</v>
      </c>
      <c r="L82" s="15">
        <v>0</v>
      </c>
      <c r="M82" s="15">
        <f>48.62+209+64</f>
        <v>321.62</v>
      </c>
      <c r="N82" s="15">
        <v>0</v>
      </c>
      <c r="O82" s="15">
        <f>20.9+97.18</f>
        <v>118.08000000000001</v>
      </c>
      <c r="P82" s="16">
        <f t="shared" si="2"/>
        <v>1248.54</v>
      </c>
      <c r="Q82" s="30"/>
      <c r="R82" s="30"/>
      <c r="S82" s="30"/>
      <c r="T82" s="30"/>
    </row>
    <row r="83" spans="1:20" s="29" customFormat="1" x14ac:dyDescent="0.25">
      <c r="A83" s="6" t="s">
        <v>16</v>
      </c>
      <c r="B83" s="7" t="s">
        <v>17</v>
      </c>
      <c r="C83" s="8" t="s">
        <v>177</v>
      </c>
      <c r="D83" s="9" t="s">
        <v>178</v>
      </c>
      <c r="E83" s="10">
        <v>2</v>
      </c>
      <c r="F83" s="11" t="s">
        <v>30</v>
      </c>
      <c r="G83" s="12" t="s">
        <v>20</v>
      </c>
      <c r="H83" s="13">
        <v>1</v>
      </c>
      <c r="I83" s="14">
        <v>44</v>
      </c>
      <c r="J83" s="15">
        <v>1715.49</v>
      </c>
      <c r="K83" s="15">
        <v>0</v>
      </c>
      <c r="L83" s="15">
        <v>786.27</v>
      </c>
      <c r="M83" s="15">
        <f>209+81.14+62.29+12.46</f>
        <v>364.89</v>
      </c>
      <c r="N83" s="15">
        <v>0</v>
      </c>
      <c r="O83" s="15">
        <f>2.43+171.55</f>
        <v>173.98000000000002</v>
      </c>
      <c r="P83" s="16">
        <f t="shared" si="2"/>
        <v>2692.67</v>
      </c>
      <c r="Q83" s="28"/>
      <c r="R83" s="28"/>
      <c r="S83" s="28"/>
      <c r="T83" s="28"/>
    </row>
    <row r="84" spans="1:20" s="29" customFormat="1" x14ac:dyDescent="0.25">
      <c r="A84" s="6" t="s">
        <v>16</v>
      </c>
      <c r="B84" s="7" t="s">
        <v>17</v>
      </c>
      <c r="C84" s="8" t="s">
        <v>179</v>
      </c>
      <c r="D84" s="9" t="s">
        <v>180</v>
      </c>
      <c r="E84" s="10">
        <v>3</v>
      </c>
      <c r="F84" s="19" t="s">
        <v>136</v>
      </c>
      <c r="G84" s="12" t="s">
        <v>20</v>
      </c>
      <c r="H84" s="13">
        <v>1</v>
      </c>
      <c r="I84" s="14">
        <v>44</v>
      </c>
      <c r="J84" s="15">
        <v>1552.5</v>
      </c>
      <c r="K84" s="15">
        <v>0</v>
      </c>
      <c r="L84" s="15">
        <v>0</v>
      </c>
      <c r="M84" s="15">
        <v>209</v>
      </c>
      <c r="N84" s="15">
        <v>0</v>
      </c>
      <c r="O84" s="15">
        <f>142.85+93.15+31.05</f>
        <v>267.05</v>
      </c>
      <c r="P84" s="16">
        <f t="shared" si="2"/>
        <v>1494.45</v>
      </c>
      <c r="Q84" s="28"/>
      <c r="R84" s="28"/>
      <c r="S84" s="28"/>
      <c r="T84" s="28"/>
    </row>
    <row r="85" spans="1:20" s="29" customFormat="1" x14ac:dyDescent="0.25">
      <c r="A85" s="6" t="s">
        <v>16</v>
      </c>
      <c r="B85" s="7" t="s">
        <v>17</v>
      </c>
      <c r="C85" s="8" t="s">
        <v>181</v>
      </c>
      <c r="D85" s="9" t="s">
        <v>182</v>
      </c>
      <c r="E85" s="10">
        <v>2</v>
      </c>
      <c r="F85" s="11" t="s">
        <v>19</v>
      </c>
      <c r="G85" s="12" t="s">
        <v>20</v>
      </c>
      <c r="H85" s="13">
        <v>1</v>
      </c>
      <c r="I85" s="14">
        <v>44</v>
      </c>
      <c r="J85" s="15">
        <v>1212.4000000000001</v>
      </c>
      <c r="K85" s="15">
        <v>0</v>
      </c>
      <c r="L85" s="15">
        <v>0</v>
      </c>
      <c r="M85" s="15">
        <f>209+37.9+189.52</f>
        <v>436.42</v>
      </c>
      <c r="N85" s="15">
        <v>0</v>
      </c>
      <c r="O85" s="15">
        <f>132.71+72.74</f>
        <v>205.45</v>
      </c>
      <c r="P85" s="16">
        <f t="shared" si="2"/>
        <v>1443.3700000000001</v>
      </c>
      <c r="Q85" s="28"/>
      <c r="R85" s="28"/>
      <c r="S85" s="28"/>
      <c r="T85" s="28"/>
    </row>
    <row r="86" spans="1:20" s="29" customFormat="1" x14ac:dyDescent="0.25">
      <c r="A86" s="6" t="s">
        <v>16</v>
      </c>
      <c r="B86" s="7" t="s">
        <v>17</v>
      </c>
      <c r="C86" s="8">
        <v>93397941415</v>
      </c>
      <c r="D86" s="9" t="s">
        <v>183</v>
      </c>
      <c r="E86" s="10">
        <v>2</v>
      </c>
      <c r="F86" s="11" t="s">
        <v>19</v>
      </c>
      <c r="G86" s="12" t="s">
        <v>20</v>
      </c>
      <c r="H86" s="13">
        <v>1</v>
      </c>
      <c r="I86" s="14">
        <v>44</v>
      </c>
      <c r="J86" s="15">
        <v>1212.4000000000001</v>
      </c>
      <c r="K86" s="15">
        <v>0</v>
      </c>
      <c r="L86" s="15">
        <v>0</v>
      </c>
      <c r="M86" s="15">
        <f>209+37.9+189.52</f>
        <v>436.42</v>
      </c>
      <c r="N86" s="15">
        <v>0</v>
      </c>
      <c r="O86" s="15">
        <v>132.71</v>
      </c>
      <c r="P86" s="16">
        <f t="shared" si="2"/>
        <v>1516.1100000000001</v>
      </c>
      <c r="Q86" s="28"/>
      <c r="R86" s="28"/>
      <c r="S86" s="28"/>
      <c r="T86" s="28"/>
    </row>
    <row r="87" spans="1:20" s="29" customFormat="1" x14ac:dyDescent="0.25">
      <c r="A87" s="6" t="s">
        <v>16</v>
      </c>
      <c r="B87" s="7" t="s">
        <v>17</v>
      </c>
      <c r="C87" s="8" t="s">
        <v>184</v>
      </c>
      <c r="D87" s="9" t="s">
        <v>185</v>
      </c>
      <c r="E87" s="10">
        <v>3</v>
      </c>
      <c r="F87" s="11" t="s">
        <v>186</v>
      </c>
      <c r="G87" s="12" t="s">
        <v>20</v>
      </c>
      <c r="H87" s="13">
        <v>2</v>
      </c>
      <c r="I87" s="14">
        <v>44</v>
      </c>
      <c r="J87" s="15">
        <v>1552.5</v>
      </c>
      <c r="K87" s="15">
        <v>0</v>
      </c>
      <c r="L87" s="15">
        <v>0</v>
      </c>
      <c r="M87" s="15">
        <v>209</v>
      </c>
      <c r="N87" s="15">
        <v>0</v>
      </c>
      <c r="O87" s="15">
        <f>31.05+142.85</f>
        <v>173.9</v>
      </c>
      <c r="P87" s="16">
        <f t="shared" si="2"/>
        <v>1587.6</v>
      </c>
      <c r="Q87" s="28"/>
      <c r="R87" s="28"/>
      <c r="S87" s="28"/>
      <c r="T87" s="28"/>
    </row>
    <row r="88" spans="1:20" s="29" customFormat="1" x14ac:dyDescent="0.25">
      <c r="A88" s="6" t="s">
        <v>16</v>
      </c>
      <c r="B88" s="7" t="s">
        <v>17</v>
      </c>
      <c r="C88" s="8">
        <v>89994140434</v>
      </c>
      <c r="D88" s="9" t="s">
        <v>187</v>
      </c>
      <c r="E88" s="10">
        <v>2</v>
      </c>
      <c r="F88" s="11" t="s">
        <v>19</v>
      </c>
      <c r="G88" s="12" t="s">
        <v>20</v>
      </c>
      <c r="H88" s="13">
        <v>1</v>
      </c>
      <c r="I88" s="14">
        <v>44</v>
      </c>
      <c r="J88" s="15">
        <v>1212.4000000000001</v>
      </c>
      <c r="K88" s="15">
        <v>0</v>
      </c>
      <c r="L88" s="15">
        <v>0</v>
      </c>
      <c r="M88" s="15">
        <f>209+28.43+142.14</f>
        <v>379.57</v>
      </c>
      <c r="N88" s="15">
        <v>0</v>
      </c>
      <c r="O88" s="15">
        <f>127.59</f>
        <v>127.59</v>
      </c>
      <c r="P88" s="16">
        <f t="shared" si="2"/>
        <v>1464.38</v>
      </c>
      <c r="Q88" s="28"/>
      <c r="R88" s="28"/>
      <c r="S88" s="28"/>
      <c r="T88" s="28"/>
    </row>
    <row r="89" spans="1:20" s="29" customFormat="1" x14ac:dyDescent="0.25">
      <c r="A89" s="6" t="s">
        <v>16</v>
      </c>
      <c r="B89" s="7" t="s">
        <v>17</v>
      </c>
      <c r="C89" s="8">
        <v>10560715404</v>
      </c>
      <c r="D89" s="9" t="s">
        <v>188</v>
      </c>
      <c r="E89" s="10">
        <v>2</v>
      </c>
      <c r="F89" s="23" t="s">
        <v>53</v>
      </c>
      <c r="G89" s="12" t="s">
        <v>20</v>
      </c>
      <c r="H89" s="13">
        <v>1</v>
      </c>
      <c r="I89" s="14">
        <v>44</v>
      </c>
      <c r="J89" s="15">
        <v>1500</v>
      </c>
      <c r="K89" s="15">
        <v>0</v>
      </c>
      <c r="L89" s="15">
        <v>0</v>
      </c>
      <c r="M89" s="15">
        <v>209</v>
      </c>
      <c r="N89" s="15">
        <v>0</v>
      </c>
      <c r="O89" s="15">
        <v>138.13</v>
      </c>
      <c r="P89" s="16">
        <f t="shared" si="2"/>
        <v>1570.87</v>
      </c>
      <c r="Q89" s="28"/>
      <c r="R89" s="28"/>
      <c r="S89" s="28"/>
      <c r="T89" s="28"/>
    </row>
    <row r="90" spans="1:20" s="29" customFormat="1" x14ac:dyDescent="0.25">
      <c r="A90" s="6" t="s">
        <v>16</v>
      </c>
      <c r="B90" s="7" t="s">
        <v>17</v>
      </c>
      <c r="C90" s="8" t="s">
        <v>189</v>
      </c>
      <c r="D90" s="9" t="s">
        <v>190</v>
      </c>
      <c r="E90" s="10">
        <v>2</v>
      </c>
      <c r="F90" s="11" t="s">
        <v>19</v>
      </c>
      <c r="G90" s="12" t="s">
        <v>20</v>
      </c>
      <c r="H90" s="13">
        <v>1</v>
      </c>
      <c r="I90" s="14">
        <v>44</v>
      </c>
      <c r="J90" s="15">
        <v>161.65</v>
      </c>
      <c r="K90" s="15">
        <v>0</v>
      </c>
      <c r="L90" s="15">
        <v>0</v>
      </c>
      <c r="M90" s="15">
        <f>6.48+27.87+11.85+8.69+710.7+1421.4+710.7+473.8+4.37+90.41+3.28</f>
        <v>3469.5500000000006</v>
      </c>
      <c r="N90" s="15">
        <v>0</v>
      </c>
      <c r="O90" s="15">
        <f>1212.4+15.75+35.78</f>
        <v>1263.93</v>
      </c>
      <c r="P90" s="16">
        <f t="shared" si="2"/>
        <v>2367.2700000000004</v>
      </c>
      <c r="Q90" s="28"/>
      <c r="R90" s="28"/>
      <c r="S90" s="28"/>
      <c r="T90" s="28"/>
    </row>
    <row r="91" spans="1:20" s="29" customFormat="1" x14ac:dyDescent="0.25">
      <c r="A91" s="6" t="s">
        <v>16</v>
      </c>
      <c r="B91" s="7" t="s">
        <v>17</v>
      </c>
      <c r="C91" s="8">
        <v>70306823438</v>
      </c>
      <c r="D91" s="9" t="s">
        <v>191</v>
      </c>
      <c r="E91" s="10">
        <v>2</v>
      </c>
      <c r="F91" s="23" t="s">
        <v>53</v>
      </c>
      <c r="G91" s="12" t="s">
        <v>20</v>
      </c>
      <c r="H91" s="13">
        <v>1</v>
      </c>
      <c r="I91" s="14">
        <v>44</v>
      </c>
      <c r="J91" s="15">
        <v>1500</v>
      </c>
      <c r="K91" s="15">
        <v>0</v>
      </c>
      <c r="L91" s="15">
        <v>0</v>
      </c>
      <c r="M91" s="15">
        <v>209</v>
      </c>
      <c r="N91" s="15">
        <v>0</v>
      </c>
      <c r="O91" s="15">
        <v>138.13</v>
      </c>
      <c r="P91" s="16">
        <f t="shared" si="2"/>
        <v>1570.87</v>
      </c>
      <c r="Q91" s="28"/>
      <c r="R91" s="28"/>
      <c r="S91" s="28"/>
      <c r="T91" s="28"/>
    </row>
    <row r="92" spans="1:20" s="29" customFormat="1" x14ac:dyDescent="0.25">
      <c r="A92" s="6" t="s">
        <v>16</v>
      </c>
      <c r="B92" s="7" t="s">
        <v>17</v>
      </c>
      <c r="C92" s="8" t="s">
        <v>192</v>
      </c>
      <c r="D92" s="22" t="s">
        <v>193</v>
      </c>
      <c r="E92" s="10">
        <v>2</v>
      </c>
      <c r="F92" s="11" t="s">
        <v>35</v>
      </c>
      <c r="G92" s="12" t="s">
        <v>20</v>
      </c>
      <c r="H92" s="13">
        <v>1</v>
      </c>
      <c r="I92" s="14">
        <v>44</v>
      </c>
      <c r="J92" s="15">
        <v>2030.47</v>
      </c>
      <c r="K92" s="15">
        <v>0</v>
      </c>
      <c r="L92" s="15">
        <v>0</v>
      </c>
      <c r="M92" s="15">
        <f>56.85+284.27+812.19</f>
        <v>1153.31</v>
      </c>
      <c r="N92" s="15">
        <v>0</v>
      </c>
      <c r="O92" s="15">
        <f>304.66+12.31+431.87+60.91</f>
        <v>809.75</v>
      </c>
      <c r="P92" s="16">
        <f t="shared" si="2"/>
        <v>2374.0299999999997</v>
      </c>
      <c r="Q92" s="28"/>
      <c r="R92" s="28"/>
      <c r="S92" s="28"/>
      <c r="T92" s="28"/>
    </row>
    <row r="93" spans="1:20" s="29" customFormat="1" x14ac:dyDescent="0.25">
      <c r="A93" s="6" t="s">
        <v>16</v>
      </c>
      <c r="B93" s="7" t="s">
        <v>17</v>
      </c>
      <c r="C93" s="8">
        <v>98694910497</v>
      </c>
      <c r="D93" s="9" t="s">
        <v>194</v>
      </c>
      <c r="E93" s="10">
        <v>2</v>
      </c>
      <c r="F93" s="11" t="s">
        <v>19</v>
      </c>
      <c r="G93" s="12" t="s">
        <v>20</v>
      </c>
      <c r="H93" s="13">
        <v>1</v>
      </c>
      <c r="I93" s="14">
        <v>44</v>
      </c>
      <c r="J93" s="15">
        <v>1212.4000000000001</v>
      </c>
      <c r="K93" s="15">
        <v>0</v>
      </c>
      <c r="L93" s="15">
        <v>0</v>
      </c>
      <c r="M93" s="15">
        <f>209</f>
        <v>209</v>
      </c>
      <c r="N93" s="15">
        <v>0</v>
      </c>
      <c r="O93" s="15">
        <f>112.24+72.74</f>
        <v>184.98</v>
      </c>
      <c r="P93" s="16">
        <f t="shared" si="2"/>
        <v>1236.42</v>
      </c>
      <c r="Q93" s="28"/>
      <c r="R93" s="28"/>
      <c r="S93" s="28"/>
      <c r="T93" s="28"/>
    </row>
    <row r="94" spans="1:20" s="29" customFormat="1" x14ac:dyDescent="0.25">
      <c r="A94" s="6" t="s">
        <v>16</v>
      </c>
      <c r="B94" s="7" t="s">
        <v>17</v>
      </c>
      <c r="C94" s="8">
        <v>70315023490</v>
      </c>
      <c r="D94" s="9" t="s">
        <v>195</v>
      </c>
      <c r="E94" s="10">
        <v>3</v>
      </c>
      <c r="F94" s="19" t="s">
        <v>25</v>
      </c>
      <c r="G94" s="12" t="s">
        <v>20</v>
      </c>
      <c r="H94" s="13">
        <v>1</v>
      </c>
      <c r="I94" s="14">
        <v>44</v>
      </c>
      <c r="J94" s="15">
        <v>1055.93</v>
      </c>
      <c r="K94" s="15">
        <v>0</v>
      </c>
      <c r="L94" s="15">
        <v>0</v>
      </c>
      <c r="M94" s="15">
        <f>48.62+209</f>
        <v>257.62</v>
      </c>
      <c r="N94" s="15">
        <v>0</v>
      </c>
      <c r="O94" s="15">
        <f>21.12+98.16+63.36</f>
        <v>182.64</v>
      </c>
      <c r="P94" s="16">
        <f t="shared" si="2"/>
        <v>1130.9100000000003</v>
      </c>
      <c r="Q94" s="28"/>
      <c r="R94" s="28"/>
      <c r="S94" s="28"/>
      <c r="T94" s="28"/>
    </row>
    <row r="95" spans="1:20" s="29" customFormat="1" x14ac:dyDescent="0.25">
      <c r="A95" s="6" t="s">
        <v>16</v>
      </c>
      <c r="B95" s="7" t="s">
        <v>17</v>
      </c>
      <c r="C95" s="8" t="s">
        <v>196</v>
      </c>
      <c r="D95" s="9" t="s">
        <v>197</v>
      </c>
      <c r="E95" s="10">
        <v>2</v>
      </c>
      <c r="F95" s="23" t="s">
        <v>53</v>
      </c>
      <c r="G95" s="12" t="s">
        <v>20</v>
      </c>
      <c r="H95" s="13">
        <v>1</v>
      </c>
      <c r="I95" s="14">
        <v>44</v>
      </c>
      <c r="J95" s="15">
        <v>1500</v>
      </c>
      <c r="K95" s="15">
        <v>0</v>
      </c>
      <c r="L95" s="15">
        <v>0</v>
      </c>
      <c r="M95" s="15">
        <v>209</v>
      </c>
      <c r="N95" s="15">
        <v>0</v>
      </c>
      <c r="O95" s="15">
        <v>138.13</v>
      </c>
      <c r="P95" s="16">
        <f t="shared" si="2"/>
        <v>1570.87</v>
      </c>
      <c r="Q95" s="28"/>
      <c r="R95" s="28"/>
      <c r="S95" s="28"/>
      <c r="T95" s="28"/>
    </row>
    <row r="96" spans="1:20" s="29" customFormat="1" x14ac:dyDescent="0.25">
      <c r="A96" s="6" t="s">
        <v>16</v>
      </c>
      <c r="B96" s="7" t="s">
        <v>17</v>
      </c>
      <c r="C96" s="8">
        <v>32024881807</v>
      </c>
      <c r="D96" s="9" t="s">
        <v>198</v>
      </c>
      <c r="E96" s="10">
        <v>3</v>
      </c>
      <c r="F96" s="19" t="s">
        <v>71</v>
      </c>
      <c r="G96" s="12" t="s">
        <v>20</v>
      </c>
      <c r="H96" s="13">
        <v>1</v>
      </c>
      <c r="I96" s="14">
        <v>44</v>
      </c>
      <c r="J96" s="15">
        <v>5000</v>
      </c>
      <c r="K96" s="15">
        <v>0</v>
      </c>
      <c r="L96" s="15">
        <v>0</v>
      </c>
      <c r="M96" s="15">
        <f>260</f>
        <v>260</v>
      </c>
      <c r="N96" s="15">
        <v>0</v>
      </c>
      <c r="O96" s="15">
        <f>558.93+363.11</f>
        <v>922.04</v>
      </c>
      <c r="P96" s="16">
        <f t="shared" si="2"/>
        <v>4337.96</v>
      </c>
      <c r="Q96" s="28"/>
      <c r="R96" s="28"/>
      <c r="S96" s="28"/>
      <c r="T96" s="28"/>
    </row>
    <row r="97" spans="1:241" s="29" customFormat="1" x14ac:dyDescent="0.25">
      <c r="A97" s="6" t="s">
        <v>16</v>
      </c>
      <c r="B97" s="7" t="s">
        <v>17</v>
      </c>
      <c r="C97" s="8">
        <v>61442607491</v>
      </c>
      <c r="D97" s="9" t="s">
        <v>199</v>
      </c>
      <c r="E97" s="10">
        <v>3</v>
      </c>
      <c r="F97" s="19" t="s">
        <v>200</v>
      </c>
      <c r="G97" s="12" t="s">
        <v>20</v>
      </c>
      <c r="H97" s="13">
        <v>1</v>
      </c>
      <c r="I97" s="14">
        <v>44</v>
      </c>
      <c r="J97" s="15">
        <v>16818.34</v>
      </c>
      <c r="K97" s="15">
        <v>0</v>
      </c>
      <c r="L97" s="15">
        <v>0</v>
      </c>
      <c r="M97" s="15">
        <v>209</v>
      </c>
      <c r="N97" s="15">
        <v>0</v>
      </c>
      <c r="O97" s="15">
        <f>713.08+3617.06</f>
        <v>4330.1400000000003</v>
      </c>
      <c r="P97" s="16">
        <f t="shared" si="2"/>
        <v>12697.2</v>
      </c>
      <c r="Q97" s="28"/>
      <c r="R97" s="28"/>
      <c r="S97" s="28"/>
      <c r="T97" s="28"/>
    </row>
    <row r="98" spans="1:241" s="29" customFormat="1" x14ac:dyDescent="0.25">
      <c r="A98" s="6" t="s">
        <v>16</v>
      </c>
      <c r="B98" s="7" t="s">
        <v>17</v>
      </c>
      <c r="C98" s="8">
        <v>10205994482</v>
      </c>
      <c r="D98" s="9" t="s">
        <v>201</v>
      </c>
      <c r="E98" s="10">
        <v>2</v>
      </c>
      <c r="F98" s="11" t="s">
        <v>30</v>
      </c>
      <c r="G98" s="12" t="s">
        <v>20</v>
      </c>
      <c r="H98" s="13">
        <v>1</v>
      </c>
      <c r="I98" s="14">
        <v>44</v>
      </c>
      <c r="J98" s="15">
        <v>1847.47</v>
      </c>
      <c r="K98" s="15">
        <v>0</v>
      </c>
      <c r="L98" s="15">
        <v>923.74</v>
      </c>
      <c r="M98" s="15">
        <f>209+61.69+308.47</f>
        <v>579.16000000000008</v>
      </c>
      <c r="N98" s="15">
        <v>0</v>
      </c>
      <c r="O98" s="15">
        <f>2.43+212.82+23.24+110.85</f>
        <v>349.34000000000003</v>
      </c>
      <c r="P98" s="16">
        <f t="shared" ref="P98:P129" si="3">SUM(J98:N98)-O98</f>
        <v>3001.0299999999997</v>
      </c>
      <c r="Q98" s="28"/>
      <c r="R98" s="28"/>
      <c r="S98" s="28"/>
      <c r="T98" s="28"/>
    </row>
    <row r="99" spans="1:241" s="29" customFormat="1" x14ac:dyDescent="0.25">
      <c r="A99" s="6" t="s">
        <v>16</v>
      </c>
      <c r="B99" s="7" t="s">
        <v>17</v>
      </c>
      <c r="C99" s="8" t="s">
        <v>202</v>
      </c>
      <c r="D99" s="9" t="s">
        <v>203</v>
      </c>
      <c r="E99" s="10">
        <v>2</v>
      </c>
      <c r="F99" s="11" t="s">
        <v>30</v>
      </c>
      <c r="G99" s="12" t="s">
        <v>20</v>
      </c>
      <c r="H99" s="13">
        <v>1</v>
      </c>
      <c r="I99" s="14">
        <v>44</v>
      </c>
      <c r="J99" s="15">
        <v>1715.49</v>
      </c>
      <c r="K99" s="15">
        <v>0</v>
      </c>
      <c r="L99" s="15">
        <v>857.75</v>
      </c>
      <c r="M99" s="15">
        <f>209+46.19+230.94</f>
        <v>486.13</v>
      </c>
      <c r="N99" s="15">
        <v>0</v>
      </c>
      <c r="O99" s="15">
        <f>2.43+185.82</f>
        <v>188.25</v>
      </c>
      <c r="P99" s="16">
        <f t="shared" si="3"/>
        <v>2871.12</v>
      </c>
      <c r="Q99" s="28"/>
      <c r="R99" s="28"/>
      <c r="S99" s="28"/>
      <c r="T99" s="28"/>
    </row>
    <row r="100" spans="1:241" s="29" customFormat="1" x14ac:dyDescent="0.25">
      <c r="A100" s="6" t="s">
        <v>16</v>
      </c>
      <c r="B100" s="7" t="s">
        <v>17</v>
      </c>
      <c r="C100" s="8" t="s">
        <v>204</v>
      </c>
      <c r="D100" s="9" t="s">
        <v>205</v>
      </c>
      <c r="E100" s="10">
        <v>3</v>
      </c>
      <c r="F100" s="19" t="s">
        <v>68</v>
      </c>
      <c r="G100" s="12" t="s">
        <v>20</v>
      </c>
      <c r="H100" s="13">
        <v>1</v>
      </c>
      <c r="I100" s="14">
        <v>44</v>
      </c>
      <c r="J100" s="15">
        <v>1254.55</v>
      </c>
      <c r="K100" s="15">
        <v>0</v>
      </c>
      <c r="L100" s="15">
        <v>0</v>
      </c>
      <c r="M100" s="15">
        <v>209</v>
      </c>
      <c r="N100" s="15">
        <v>0</v>
      </c>
      <c r="O100" s="15">
        <f>25.09+116.03</f>
        <v>141.12</v>
      </c>
      <c r="P100" s="16">
        <f t="shared" si="3"/>
        <v>1322.4299999999998</v>
      </c>
      <c r="Q100" s="28"/>
      <c r="R100" s="28"/>
      <c r="S100" s="28"/>
      <c r="T100" s="28"/>
    </row>
    <row r="101" spans="1:241" s="29" customFormat="1" x14ac:dyDescent="0.25">
      <c r="A101" s="6" t="s">
        <v>16</v>
      </c>
      <c r="B101" s="7" t="s">
        <v>17</v>
      </c>
      <c r="C101" s="8" t="s">
        <v>206</v>
      </c>
      <c r="D101" s="9" t="s">
        <v>207</v>
      </c>
      <c r="E101" s="10">
        <v>3</v>
      </c>
      <c r="F101" s="19" t="s">
        <v>25</v>
      </c>
      <c r="G101" s="12" t="s">
        <v>20</v>
      </c>
      <c r="H101" s="13">
        <v>1</v>
      </c>
      <c r="I101" s="14">
        <v>44</v>
      </c>
      <c r="J101" s="15">
        <v>1055.93</v>
      </c>
      <c r="K101" s="15">
        <v>0</v>
      </c>
      <c r="L101" s="15">
        <v>0</v>
      </c>
      <c r="M101" s="15">
        <f>209+128+28.11+140.55</f>
        <v>505.66</v>
      </c>
      <c r="N101" s="15">
        <v>0</v>
      </c>
      <c r="O101" s="15">
        <f>21.12+113.34</f>
        <v>134.46</v>
      </c>
      <c r="P101" s="16">
        <f t="shared" si="3"/>
        <v>1427.13</v>
      </c>
      <c r="Q101" s="28"/>
      <c r="R101" s="28"/>
      <c r="S101" s="28"/>
      <c r="T101" s="28"/>
    </row>
    <row r="102" spans="1:241" s="29" customFormat="1" x14ac:dyDescent="0.25">
      <c r="A102" s="6" t="s">
        <v>16</v>
      </c>
      <c r="B102" s="7" t="s">
        <v>17</v>
      </c>
      <c r="C102" s="8">
        <v>76656071449</v>
      </c>
      <c r="D102" s="9" t="s">
        <v>208</v>
      </c>
      <c r="E102" s="10">
        <v>3</v>
      </c>
      <c r="F102" s="24" t="s">
        <v>60</v>
      </c>
      <c r="G102" s="12" t="s">
        <v>20</v>
      </c>
      <c r="H102" s="13">
        <v>1</v>
      </c>
      <c r="I102" s="14">
        <v>44</v>
      </c>
      <c r="J102" s="15">
        <v>905.67</v>
      </c>
      <c r="K102" s="15">
        <v>0</v>
      </c>
      <c r="L102" s="15">
        <v>0</v>
      </c>
      <c r="M102" s="15">
        <f>139.33+181.13</f>
        <v>320.46000000000004</v>
      </c>
      <c r="N102" s="15">
        <v>0</v>
      </c>
      <c r="O102" s="15">
        <f>20.9+94.67+62.7</f>
        <v>178.26999999999998</v>
      </c>
      <c r="P102" s="16">
        <f t="shared" si="3"/>
        <v>1047.8600000000001</v>
      </c>
      <c r="Q102" s="28"/>
      <c r="R102" s="28"/>
      <c r="S102" s="28"/>
      <c r="T102" s="28"/>
    </row>
    <row r="103" spans="1:241" s="29" customFormat="1" x14ac:dyDescent="0.25">
      <c r="A103" s="6" t="s">
        <v>16</v>
      </c>
      <c r="B103" s="7" t="s">
        <v>17</v>
      </c>
      <c r="C103" s="8" t="s">
        <v>209</v>
      </c>
      <c r="D103" s="9" t="s">
        <v>210</v>
      </c>
      <c r="E103" s="10">
        <v>2</v>
      </c>
      <c r="F103" s="11" t="s">
        <v>19</v>
      </c>
      <c r="G103" s="12" t="s">
        <v>20</v>
      </c>
      <c r="H103" s="13">
        <v>1</v>
      </c>
      <c r="I103" s="14">
        <v>44</v>
      </c>
      <c r="J103" s="15">
        <v>1212.4000000000001</v>
      </c>
      <c r="K103" s="15">
        <v>0</v>
      </c>
      <c r="L103" s="15">
        <v>0</v>
      </c>
      <c r="M103" s="15">
        <f>209+64+25.27+126.35</f>
        <v>424.62</v>
      </c>
      <c r="N103" s="15">
        <v>0</v>
      </c>
      <c r="O103" s="15">
        <v>125.89</v>
      </c>
      <c r="P103" s="16">
        <f t="shared" si="3"/>
        <v>1511.1299999999999</v>
      </c>
      <c r="Q103" s="33"/>
      <c r="R103" s="33"/>
      <c r="S103" s="33"/>
      <c r="T103" s="33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  <c r="FD103" s="35"/>
      <c r="FE103" s="35"/>
      <c r="FF103" s="35"/>
      <c r="FG103" s="35"/>
      <c r="FH103" s="35"/>
      <c r="FI103" s="35"/>
      <c r="FJ103" s="35"/>
      <c r="FK103" s="35"/>
      <c r="FL103" s="35"/>
      <c r="FM103" s="35"/>
      <c r="FN103" s="35"/>
      <c r="FO103" s="35"/>
      <c r="FP103" s="35"/>
      <c r="FQ103" s="35"/>
      <c r="FR103" s="35"/>
      <c r="FS103" s="35"/>
      <c r="FT103" s="35"/>
      <c r="FU103" s="35"/>
      <c r="FV103" s="35"/>
      <c r="FW103" s="35"/>
      <c r="FX103" s="35"/>
      <c r="FY103" s="35"/>
      <c r="FZ103" s="35"/>
      <c r="GA103" s="35"/>
      <c r="GB103" s="35"/>
      <c r="GC103" s="35"/>
      <c r="GD103" s="35"/>
      <c r="GE103" s="35"/>
      <c r="GF103" s="35"/>
      <c r="GG103" s="35"/>
      <c r="GH103" s="35"/>
      <c r="GI103" s="35"/>
      <c r="GJ103" s="35"/>
      <c r="GK103" s="35"/>
      <c r="GL103" s="35"/>
      <c r="GM103" s="35"/>
      <c r="GN103" s="35"/>
      <c r="GO103" s="35"/>
      <c r="GP103" s="35"/>
      <c r="GQ103" s="35"/>
      <c r="GR103" s="35"/>
      <c r="GS103" s="35"/>
      <c r="GT103" s="35"/>
      <c r="GU103" s="35"/>
      <c r="GV103" s="35"/>
      <c r="GW103" s="35"/>
      <c r="GX103" s="35"/>
      <c r="GY103" s="35"/>
      <c r="GZ103" s="35"/>
      <c r="HA103" s="35"/>
      <c r="HB103" s="35"/>
      <c r="HC103" s="35"/>
      <c r="HD103" s="35"/>
      <c r="HE103" s="35"/>
      <c r="HF103" s="35"/>
      <c r="HG103" s="35"/>
      <c r="HH103" s="35"/>
      <c r="HI103" s="35"/>
      <c r="HJ103" s="35"/>
      <c r="HK103" s="35"/>
      <c r="HL103" s="35"/>
      <c r="HM103" s="35"/>
      <c r="HN103" s="35"/>
      <c r="HO103" s="35"/>
      <c r="HP103" s="35"/>
      <c r="HQ103" s="35"/>
      <c r="HR103" s="35"/>
      <c r="HS103" s="35"/>
      <c r="HT103" s="35"/>
      <c r="HU103" s="35"/>
      <c r="HV103" s="35"/>
      <c r="HW103" s="35"/>
      <c r="HX103" s="35"/>
      <c r="HY103" s="35"/>
      <c r="HZ103" s="35"/>
      <c r="IA103" s="35"/>
      <c r="IB103" s="35"/>
      <c r="IC103" s="35"/>
      <c r="ID103" s="35"/>
      <c r="IE103" s="35"/>
      <c r="IF103" s="35"/>
      <c r="IG103" s="35"/>
    </row>
    <row r="104" spans="1:241" s="29" customFormat="1" x14ac:dyDescent="0.25">
      <c r="A104" s="6" t="s">
        <v>16</v>
      </c>
      <c r="B104" s="7" t="s">
        <v>17</v>
      </c>
      <c r="C104" s="8" t="s">
        <v>211</v>
      </c>
      <c r="D104" s="9" t="s">
        <v>212</v>
      </c>
      <c r="E104" s="10">
        <v>2</v>
      </c>
      <c r="F104" s="11" t="s">
        <v>19</v>
      </c>
      <c r="G104" s="12" t="s">
        <v>20</v>
      </c>
      <c r="H104" s="13">
        <v>1</v>
      </c>
      <c r="I104" s="14">
        <v>44</v>
      </c>
      <c r="J104" s="15">
        <v>929.51</v>
      </c>
      <c r="K104" s="15">
        <v>0</v>
      </c>
      <c r="L104" s="15">
        <v>0</v>
      </c>
      <c r="M104" s="15">
        <f>282.89+160.23+21.13+140.84</f>
        <v>605.09</v>
      </c>
      <c r="N104" s="15">
        <v>0</v>
      </c>
      <c r="O104" s="15">
        <f>122.43+72.74</f>
        <v>195.17000000000002</v>
      </c>
      <c r="P104" s="16">
        <f t="shared" si="3"/>
        <v>1339.4299999999998</v>
      </c>
      <c r="Q104" s="28"/>
      <c r="R104" s="28"/>
      <c r="S104" s="28"/>
      <c r="T104" s="28"/>
    </row>
    <row r="105" spans="1:241" s="29" customFormat="1" x14ac:dyDescent="0.25">
      <c r="A105" s="6" t="s">
        <v>16</v>
      </c>
      <c r="B105" s="7" t="s">
        <v>17</v>
      </c>
      <c r="C105" s="8">
        <v>73554553468</v>
      </c>
      <c r="D105" s="9" t="s">
        <v>213</v>
      </c>
      <c r="E105" s="10">
        <v>2</v>
      </c>
      <c r="F105" s="11" t="s">
        <v>19</v>
      </c>
      <c r="G105" s="12" t="s">
        <v>20</v>
      </c>
      <c r="H105" s="13">
        <v>1</v>
      </c>
      <c r="I105" s="14">
        <v>44</v>
      </c>
      <c r="J105" s="15">
        <v>606.20000000000005</v>
      </c>
      <c r="K105" s="15">
        <v>0</v>
      </c>
      <c r="L105" s="15">
        <v>0</v>
      </c>
      <c r="M105" s="15">
        <f>48.62</f>
        <v>48.62</v>
      </c>
      <c r="N105" s="15">
        <v>0</v>
      </c>
      <c r="O105" s="15">
        <f>45.46</f>
        <v>45.46</v>
      </c>
      <c r="P105" s="16">
        <f t="shared" si="3"/>
        <v>609.36</v>
      </c>
      <c r="Q105" s="28"/>
      <c r="R105" s="28"/>
      <c r="S105" s="28"/>
      <c r="T105" s="28"/>
    </row>
    <row r="106" spans="1:241" s="29" customFormat="1" x14ac:dyDescent="0.25">
      <c r="A106" s="6" t="s">
        <v>16</v>
      </c>
      <c r="B106" s="7" t="s">
        <v>17</v>
      </c>
      <c r="C106" s="8">
        <v>90002172453</v>
      </c>
      <c r="D106" s="9" t="s">
        <v>214</v>
      </c>
      <c r="E106" s="10">
        <v>3</v>
      </c>
      <c r="F106" s="19" t="s">
        <v>99</v>
      </c>
      <c r="G106" s="12" t="s">
        <v>20</v>
      </c>
      <c r="H106" s="13">
        <v>1</v>
      </c>
      <c r="I106" s="14">
        <v>44</v>
      </c>
      <c r="J106" s="15">
        <v>1045</v>
      </c>
      <c r="K106" s="15">
        <v>0</v>
      </c>
      <c r="L106" s="15">
        <v>0</v>
      </c>
      <c r="M106" s="15">
        <f>209+2.79+13.93</f>
        <v>225.72</v>
      </c>
      <c r="N106" s="15">
        <v>0</v>
      </c>
      <c r="O106" s="15">
        <f>20.9+98.68+62.7</f>
        <v>182.28000000000003</v>
      </c>
      <c r="P106" s="16">
        <f t="shared" si="3"/>
        <v>1088.44</v>
      </c>
      <c r="Q106" s="28"/>
      <c r="R106" s="28"/>
      <c r="S106" s="28"/>
      <c r="T106" s="28"/>
    </row>
    <row r="107" spans="1:241" s="29" customFormat="1" x14ac:dyDescent="0.25">
      <c r="A107" s="6" t="s">
        <v>16</v>
      </c>
      <c r="B107" s="7" t="s">
        <v>17</v>
      </c>
      <c r="C107" s="8">
        <v>66049890463</v>
      </c>
      <c r="D107" s="9" t="s">
        <v>215</v>
      </c>
      <c r="E107" s="10">
        <v>3</v>
      </c>
      <c r="F107" s="24" t="s">
        <v>60</v>
      </c>
      <c r="G107" s="12" t="s">
        <v>20</v>
      </c>
      <c r="H107" s="13">
        <v>1</v>
      </c>
      <c r="I107" s="14">
        <v>44</v>
      </c>
      <c r="J107" s="15">
        <v>1045</v>
      </c>
      <c r="K107" s="15">
        <v>0</v>
      </c>
      <c r="L107" s="15">
        <v>0</v>
      </c>
      <c r="M107" s="15">
        <f>209</f>
        <v>209</v>
      </c>
      <c r="N107" s="15">
        <v>0</v>
      </c>
      <c r="O107" s="15">
        <f>20.9+97.18+62.7</f>
        <v>180.78000000000003</v>
      </c>
      <c r="P107" s="16">
        <f t="shared" si="3"/>
        <v>1073.22</v>
      </c>
      <c r="Q107" s="28"/>
      <c r="R107" s="28"/>
      <c r="S107" s="28"/>
      <c r="T107" s="28"/>
    </row>
    <row r="108" spans="1:241" s="29" customFormat="1" x14ac:dyDescent="0.25">
      <c r="A108" s="6" t="s">
        <v>16</v>
      </c>
      <c r="B108" s="7" t="s">
        <v>17</v>
      </c>
      <c r="C108" s="8">
        <v>40791564487</v>
      </c>
      <c r="D108" s="9" t="s">
        <v>216</v>
      </c>
      <c r="E108" s="10">
        <v>2</v>
      </c>
      <c r="F108" s="11" t="s">
        <v>30</v>
      </c>
      <c r="G108" s="12" t="s">
        <v>20</v>
      </c>
      <c r="H108" s="13">
        <v>1</v>
      </c>
      <c r="I108" s="14">
        <v>44</v>
      </c>
      <c r="J108" s="15">
        <v>3340.09</v>
      </c>
      <c r="K108" s="15">
        <v>0</v>
      </c>
      <c r="L108" s="15">
        <v>1670.05</v>
      </c>
      <c r="M108" s="15">
        <f>505+209+161.14</f>
        <v>875.14</v>
      </c>
      <c r="N108" s="15">
        <v>0</v>
      </c>
      <c r="O108" s="15">
        <f>2.43+449.06+211.26</f>
        <v>662.75</v>
      </c>
      <c r="P108" s="16">
        <f t="shared" si="3"/>
        <v>5222.5300000000007</v>
      </c>
      <c r="Q108" s="28"/>
      <c r="R108" s="28"/>
      <c r="S108" s="28"/>
      <c r="T108" s="28"/>
    </row>
    <row r="109" spans="1:241" s="29" customFormat="1" x14ac:dyDescent="0.25">
      <c r="A109" s="6" t="s">
        <v>16</v>
      </c>
      <c r="B109" s="7" t="s">
        <v>17</v>
      </c>
      <c r="C109" s="8" t="s">
        <v>217</v>
      </c>
      <c r="D109" s="9" t="s">
        <v>218</v>
      </c>
      <c r="E109" s="10">
        <v>3</v>
      </c>
      <c r="F109" s="24" t="s">
        <v>60</v>
      </c>
      <c r="G109" s="12" t="s">
        <v>20</v>
      </c>
      <c r="H109" s="13">
        <v>1</v>
      </c>
      <c r="I109" s="14">
        <v>44</v>
      </c>
      <c r="J109" s="15">
        <v>1045</v>
      </c>
      <c r="K109" s="15">
        <v>0</v>
      </c>
      <c r="L109" s="15">
        <v>0</v>
      </c>
      <c r="M109" s="15">
        <f>48.62+209</f>
        <v>257.62</v>
      </c>
      <c r="N109" s="15">
        <v>0</v>
      </c>
      <c r="O109" s="15">
        <f>20.9+97.18+62.7</f>
        <v>180.78000000000003</v>
      </c>
      <c r="P109" s="16">
        <f t="shared" si="3"/>
        <v>1121.8399999999999</v>
      </c>
      <c r="Q109" s="28"/>
      <c r="R109" s="28"/>
      <c r="S109" s="28"/>
      <c r="T109" s="28"/>
    </row>
    <row r="110" spans="1:241" s="29" customFormat="1" x14ac:dyDescent="0.25">
      <c r="A110" s="6" t="s">
        <v>16</v>
      </c>
      <c r="B110" s="7" t="s">
        <v>17</v>
      </c>
      <c r="C110" s="8">
        <v>50022440410</v>
      </c>
      <c r="D110" s="9" t="s">
        <v>219</v>
      </c>
      <c r="E110" s="10">
        <v>2</v>
      </c>
      <c r="F110" s="11" t="s">
        <v>19</v>
      </c>
      <c r="G110" s="12" t="s">
        <v>20</v>
      </c>
      <c r="H110" s="13">
        <v>1</v>
      </c>
      <c r="I110" s="14">
        <v>44</v>
      </c>
      <c r="J110" s="15">
        <v>1212.4000000000001</v>
      </c>
      <c r="K110" s="15">
        <v>0</v>
      </c>
      <c r="L110" s="15">
        <v>0</v>
      </c>
      <c r="M110" s="15">
        <f>209+41.06+205.31</f>
        <v>455.37</v>
      </c>
      <c r="N110" s="15">
        <v>0</v>
      </c>
      <c r="O110" s="15">
        <v>134.41</v>
      </c>
      <c r="P110" s="16">
        <f t="shared" si="3"/>
        <v>1533.36</v>
      </c>
      <c r="Q110" s="28"/>
      <c r="R110" s="28"/>
      <c r="S110" s="28"/>
      <c r="T110" s="22"/>
    </row>
    <row r="111" spans="1:241" s="29" customFormat="1" x14ac:dyDescent="0.25">
      <c r="A111" s="6" t="s">
        <v>16</v>
      </c>
      <c r="B111" s="7" t="s">
        <v>17</v>
      </c>
      <c r="C111" s="8">
        <v>42713978491</v>
      </c>
      <c r="D111" s="9" t="s">
        <v>220</v>
      </c>
      <c r="E111" s="10">
        <v>2</v>
      </c>
      <c r="F111" s="11" t="s">
        <v>19</v>
      </c>
      <c r="G111" s="12" t="s">
        <v>20</v>
      </c>
      <c r="H111" s="13">
        <v>1</v>
      </c>
      <c r="I111" s="14">
        <v>44</v>
      </c>
      <c r="J111" s="15">
        <v>1212.4000000000001</v>
      </c>
      <c r="K111" s="15">
        <v>0</v>
      </c>
      <c r="L111" s="15">
        <v>0</v>
      </c>
      <c r="M111" s="15">
        <f>209</f>
        <v>209</v>
      </c>
      <c r="N111" s="15">
        <v>0</v>
      </c>
      <c r="O111" s="15">
        <f>112.24+72.74</f>
        <v>184.98</v>
      </c>
      <c r="P111" s="16">
        <f t="shared" si="3"/>
        <v>1236.42</v>
      </c>
      <c r="Q111" s="28"/>
      <c r="R111" s="28"/>
      <c r="S111" s="28"/>
      <c r="T111" s="9"/>
    </row>
    <row r="112" spans="1:241" s="29" customFormat="1" x14ac:dyDescent="0.25">
      <c r="A112" s="6" t="s">
        <v>16</v>
      </c>
      <c r="B112" s="7" t="s">
        <v>17</v>
      </c>
      <c r="C112" s="8">
        <v>97586390487</v>
      </c>
      <c r="D112" s="9" t="s">
        <v>221</v>
      </c>
      <c r="E112" s="10">
        <v>2</v>
      </c>
      <c r="F112" s="11" t="s">
        <v>19</v>
      </c>
      <c r="G112" s="12" t="s">
        <v>20</v>
      </c>
      <c r="H112" s="13">
        <v>1</v>
      </c>
      <c r="I112" s="14">
        <v>44</v>
      </c>
      <c r="J112" s="15">
        <v>1212.4000000000001</v>
      </c>
      <c r="K112" s="15">
        <v>0</v>
      </c>
      <c r="L112" s="15">
        <v>0</v>
      </c>
      <c r="M112" s="15">
        <f>209</f>
        <v>209</v>
      </c>
      <c r="N112" s="15">
        <v>0</v>
      </c>
      <c r="O112" s="15">
        <f>112.24+72.74</f>
        <v>184.98</v>
      </c>
      <c r="P112" s="16">
        <f t="shared" si="3"/>
        <v>1236.42</v>
      </c>
      <c r="Q112" s="28"/>
      <c r="R112" s="28"/>
      <c r="S112" s="28"/>
      <c r="T112" s="9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  <c r="EL112" s="34"/>
      <c r="EM112" s="34"/>
      <c r="EN112" s="34"/>
      <c r="EO112" s="34"/>
      <c r="EP112" s="34"/>
      <c r="EQ112" s="34"/>
      <c r="ER112" s="34"/>
      <c r="ES112" s="34"/>
      <c r="ET112" s="34"/>
      <c r="EU112" s="34"/>
      <c r="EV112" s="34"/>
      <c r="EW112" s="34"/>
      <c r="EX112" s="34"/>
      <c r="EY112" s="34"/>
      <c r="EZ112" s="34"/>
      <c r="FA112" s="34"/>
      <c r="FB112" s="34"/>
      <c r="FC112" s="34"/>
      <c r="FD112" s="34"/>
      <c r="FE112" s="34"/>
      <c r="FF112" s="34"/>
      <c r="FG112" s="34"/>
      <c r="FH112" s="34"/>
      <c r="FI112" s="34"/>
      <c r="FJ112" s="34"/>
      <c r="FK112" s="34"/>
      <c r="FL112" s="34"/>
      <c r="FM112" s="34"/>
      <c r="FN112" s="34"/>
      <c r="FO112" s="34"/>
      <c r="FP112" s="34"/>
      <c r="FQ112" s="34"/>
      <c r="FR112" s="34"/>
      <c r="FS112" s="34"/>
      <c r="FT112" s="34"/>
      <c r="FU112" s="34"/>
      <c r="FV112" s="34"/>
      <c r="FW112" s="34"/>
      <c r="FX112" s="34"/>
      <c r="FY112" s="34"/>
      <c r="FZ112" s="34"/>
      <c r="GA112" s="34"/>
      <c r="GB112" s="34"/>
      <c r="GC112" s="34"/>
      <c r="GD112" s="34"/>
      <c r="GE112" s="34"/>
      <c r="GF112" s="34"/>
      <c r="GG112" s="34"/>
      <c r="GH112" s="34"/>
      <c r="GI112" s="34"/>
      <c r="GJ112" s="34"/>
      <c r="GK112" s="34"/>
      <c r="GL112" s="34"/>
      <c r="GM112" s="34"/>
      <c r="GN112" s="34"/>
      <c r="GO112" s="34"/>
      <c r="GP112" s="34"/>
      <c r="GQ112" s="34"/>
      <c r="GR112" s="34"/>
      <c r="GS112" s="34"/>
      <c r="GT112" s="34"/>
      <c r="GU112" s="34"/>
      <c r="GV112" s="34"/>
      <c r="GW112" s="34"/>
      <c r="GX112" s="34"/>
      <c r="GY112" s="34"/>
      <c r="GZ112" s="34"/>
      <c r="HA112" s="34"/>
      <c r="HB112" s="34"/>
      <c r="HC112" s="34"/>
      <c r="HD112" s="34"/>
      <c r="HE112" s="34"/>
      <c r="HF112" s="34"/>
      <c r="HG112" s="34"/>
      <c r="HH112" s="34"/>
      <c r="HI112" s="34"/>
      <c r="HJ112" s="34"/>
      <c r="HK112" s="34"/>
      <c r="HL112" s="34"/>
      <c r="HM112" s="34"/>
      <c r="HN112" s="34"/>
      <c r="HO112" s="34"/>
      <c r="HP112" s="34"/>
      <c r="HQ112" s="34"/>
      <c r="HR112" s="34"/>
      <c r="HS112" s="34"/>
      <c r="HT112" s="34"/>
      <c r="HU112" s="34"/>
      <c r="HV112" s="34"/>
      <c r="HW112" s="34"/>
      <c r="HX112" s="34"/>
      <c r="HY112" s="34"/>
      <c r="HZ112" s="34"/>
      <c r="IA112" s="34"/>
      <c r="IB112" s="34"/>
      <c r="IC112" s="34"/>
      <c r="ID112" s="34"/>
      <c r="IE112" s="34"/>
      <c r="IF112" s="34"/>
      <c r="IG112" s="34"/>
    </row>
    <row r="113" spans="1:241" s="29" customFormat="1" x14ac:dyDescent="0.25">
      <c r="A113" s="6" t="s">
        <v>16</v>
      </c>
      <c r="B113" s="7" t="s">
        <v>17</v>
      </c>
      <c r="C113" s="8" t="s">
        <v>222</v>
      </c>
      <c r="D113" s="9" t="s">
        <v>223</v>
      </c>
      <c r="E113" s="10">
        <v>2</v>
      </c>
      <c r="F113" s="19" t="s">
        <v>74</v>
      </c>
      <c r="G113" s="12" t="s">
        <v>20</v>
      </c>
      <c r="H113" s="13">
        <v>1</v>
      </c>
      <c r="I113" s="14">
        <v>44</v>
      </c>
      <c r="J113" s="15">
        <v>3132.6</v>
      </c>
      <c r="K113" s="15">
        <v>0</v>
      </c>
      <c r="L113" s="15">
        <v>1566.3</v>
      </c>
      <c r="M113" s="15">
        <f>209+120.3+601.49</f>
        <v>930.79</v>
      </c>
      <c r="N113" s="15">
        <v>0</v>
      </c>
      <c r="O113" s="15">
        <f>14.92+427.8+190.54</f>
        <v>633.26</v>
      </c>
      <c r="P113" s="16">
        <f t="shared" si="3"/>
        <v>4996.4299999999994</v>
      </c>
      <c r="Q113" s="28"/>
      <c r="R113" s="28"/>
      <c r="S113" s="28"/>
      <c r="T113" s="9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  <c r="EO113" s="34"/>
      <c r="EP113" s="34"/>
      <c r="EQ113" s="34"/>
      <c r="ER113" s="34"/>
      <c r="ES113" s="34"/>
      <c r="ET113" s="34"/>
      <c r="EU113" s="34"/>
      <c r="EV113" s="34"/>
      <c r="EW113" s="34"/>
      <c r="EX113" s="34"/>
      <c r="EY113" s="34"/>
      <c r="EZ113" s="34"/>
      <c r="FA113" s="34"/>
      <c r="FB113" s="34"/>
      <c r="FC113" s="34"/>
      <c r="FD113" s="34"/>
      <c r="FE113" s="34"/>
      <c r="FF113" s="34"/>
      <c r="FG113" s="34"/>
      <c r="FH113" s="34"/>
      <c r="FI113" s="34"/>
      <c r="FJ113" s="34"/>
      <c r="FK113" s="34"/>
      <c r="FL113" s="34"/>
      <c r="FM113" s="34"/>
      <c r="FN113" s="34"/>
      <c r="FO113" s="34"/>
      <c r="FP113" s="34"/>
      <c r="FQ113" s="34"/>
      <c r="FR113" s="34"/>
      <c r="FS113" s="34"/>
      <c r="FT113" s="34"/>
      <c r="FU113" s="34"/>
      <c r="FV113" s="34"/>
      <c r="FW113" s="34"/>
      <c r="FX113" s="34"/>
      <c r="FY113" s="34"/>
      <c r="FZ113" s="34"/>
      <c r="GA113" s="34"/>
      <c r="GB113" s="34"/>
      <c r="GC113" s="34"/>
      <c r="GD113" s="34"/>
      <c r="GE113" s="34"/>
      <c r="GF113" s="34"/>
      <c r="GG113" s="34"/>
      <c r="GH113" s="34"/>
      <c r="GI113" s="34"/>
      <c r="GJ113" s="34"/>
      <c r="GK113" s="34"/>
      <c r="GL113" s="34"/>
      <c r="GM113" s="34"/>
      <c r="GN113" s="34"/>
      <c r="GO113" s="34"/>
      <c r="GP113" s="34"/>
      <c r="GQ113" s="34"/>
      <c r="GR113" s="34"/>
      <c r="GS113" s="34"/>
      <c r="GT113" s="34"/>
      <c r="GU113" s="34"/>
      <c r="GV113" s="34"/>
      <c r="GW113" s="34"/>
      <c r="GX113" s="34"/>
      <c r="GY113" s="34"/>
      <c r="GZ113" s="34"/>
      <c r="HA113" s="34"/>
      <c r="HB113" s="34"/>
      <c r="HC113" s="34"/>
      <c r="HD113" s="34"/>
      <c r="HE113" s="34"/>
      <c r="HF113" s="34"/>
      <c r="HG113" s="34"/>
      <c r="HH113" s="34"/>
      <c r="HI113" s="34"/>
      <c r="HJ113" s="34"/>
      <c r="HK113" s="34"/>
      <c r="HL113" s="34"/>
      <c r="HM113" s="34"/>
      <c r="HN113" s="34"/>
      <c r="HO113" s="34"/>
      <c r="HP113" s="34"/>
      <c r="HQ113" s="34"/>
      <c r="HR113" s="34"/>
      <c r="HS113" s="34"/>
      <c r="HT113" s="34"/>
      <c r="HU113" s="34"/>
      <c r="HV113" s="34"/>
      <c r="HW113" s="34"/>
      <c r="HX113" s="34"/>
      <c r="HY113" s="34"/>
      <c r="HZ113" s="34"/>
      <c r="IA113" s="34"/>
      <c r="IB113" s="34"/>
      <c r="IC113" s="34"/>
      <c r="ID113" s="34"/>
      <c r="IE113" s="34"/>
      <c r="IF113" s="34"/>
      <c r="IG113" s="34"/>
    </row>
    <row r="114" spans="1:241" s="29" customFormat="1" x14ac:dyDescent="0.25">
      <c r="A114" s="6" t="s">
        <v>16</v>
      </c>
      <c r="B114" s="7" t="s">
        <v>17</v>
      </c>
      <c r="C114" s="8">
        <v>86334050400</v>
      </c>
      <c r="D114" s="9" t="s">
        <v>224</v>
      </c>
      <c r="E114" s="10">
        <v>2</v>
      </c>
      <c r="F114" s="27" t="s">
        <v>225</v>
      </c>
      <c r="G114" s="12" t="s">
        <v>20</v>
      </c>
      <c r="H114" s="13">
        <v>1</v>
      </c>
      <c r="I114" s="14">
        <v>44</v>
      </c>
      <c r="J114" s="15">
        <v>1182.74</v>
      </c>
      <c r="K114" s="15">
        <v>0</v>
      </c>
      <c r="L114" s="15">
        <v>0</v>
      </c>
      <c r="M114" s="15">
        <f>209</f>
        <v>209</v>
      </c>
      <c r="N114" s="15">
        <v>0</v>
      </c>
      <c r="O114" s="15">
        <f>23.65+109.57</f>
        <v>133.22</v>
      </c>
      <c r="P114" s="16">
        <f t="shared" si="3"/>
        <v>1258.52</v>
      </c>
      <c r="Q114" s="28"/>
      <c r="R114" s="28"/>
      <c r="S114" s="28"/>
      <c r="T114" s="9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4"/>
      <c r="EP114" s="34"/>
      <c r="EQ114" s="34"/>
      <c r="ER114" s="34"/>
      <c r="ES114" s="34"/>
      <c r="ET114" s="34"/>
      <c r="EU114" s="34"/>
      <c r="EV114" s="34"/>
      <c r="EW114" s="34"/>
      <c r="EX114" s="34"/>
      <c r="EY114" s="34"/>
      <c r="EZ114" s="34"/>
      <c r="FA114" s="34"/>
      <c r="FB114" s="34"/>
      <c r="FC114" s="34"/>
      <c r="FD114" s="34"/>
      <c r="FE114" s="34"/>
      <c r="FF114" s="34"/>
      <c r="FG114" s="34"/>
      <c r="FH114" s="34"/>
      <c r="FI114" s="34"/>
      <c r="FJ114" s="34"/>
      <c r="FK114" s="34"/>
      <c r="FL114" s="34"/>
      <c r="FM114" s="34"/>
      <c r="FN114" s="34"/>
      <c r="FO114" s="34"/>
      <c r="FP114" s="34"/>
      <c r="FQ114" s="34"/>
      <c r="FR114" s="34"/>
      <c r="FS114" s="34"/>
      <c r="FT114" s="34"/>
      <c r="FU114" s="34"/>
      <c r="FV114" s="34"/>
      <c r="FW114" s="34"/>
      <c r="FX114" s="34"/>
      <c r="FY114" s="34"/>
      <c r="FZ114" s="34"/>
      <c r="GA114" s="34"/>
      <c r="GB114" s="34"/>
      <c r="GC114" s="34"/>
      <c r="GD114" s="34"/>
      <c r="GE114" s="34"/>
      <c r="GF114" s="34"/>
      <c r="GG114" s="34"/>
      <c r="GH114" s="34"/>
      <c r="GI114" s="34"/>
      <c r="GJ114" s="34"/>
      <c r="GK114" s="34"/>
      <c r="GL114" s="34"/>
      <c r="GM114" s="34"/>
      <c r="GN114" s="34"/>
      <c r="GO114" s="34"/>
      <c r="GP114" s="34"/>
      <c r="GQ114" s="34"/>
      <c r="GR114" s="34"/>
      <c r="GS114" s="34"/>
      <c r="GT114" s="34"/>
      <c r="GU114" s="34"/>
      <c r="GV114" s="34"/>
      <c r="GW114" s="34"/>
      <c r="GX114" s="34"/>
      <c r="GY114" s="34"/>
      <c r="GZ114" s="34"/>
      <c r="HA114" s="34"/>
      <c r="HB114" s="34"/>
      <c r="HC114" s="34"/>
      <c r="HD114" s="34"/>
      <c r="HE114" s="34"/>
      <c r="HF114" s="34"/>
      <c r="HG114" s="34"/>
      <c r="HH114" s="34"/>
      <c r="HI114" s="34"/>
      <c r="HJ114" s="34"/>
      <c r="HK114" s="34"/>
      <c r="HL114" s="34"/>
      <c r="HM114" s="34"/>
      <c r="HN114" s="34"/>
      <c r="HO114" s="34"/>
      <c r="HP114" s="34"/>
      <c r="HQ114" s="34"/>
      <c r="HR114" s="34"/>
      <c r="HS114" s="34"/>
      <c r="HT114" s="34"/>
      <c r="HU114" s="34"/>
      <c r="HV114" s="34"/>
      <c r="HW114" s="34"/>
      <c r="HX114" s="34"/>
      <c r="HY114" s="34"/>
      <c r="HZ114" s="34"/>
      <c r="IA114" s="34"/>
      <c r="IB114" s="34"/>
      <c r="IC114" s="34"/>
      <c r="ID114" s="34"/>
      <c r="IE114" s="34"/>
      <c r="IF114" s="34"/>
      <c r="IG114" s="34"/>
    </row>
    <row r="115" spans="1:241" s="29" customFormat="1" x14ac:dyDescent="0.25">
      <c r="A115" s="6" t="s">
        <v>16</v>
      </c>
      <c r="B115" s="7" t="s">
        <v>17</v>
      </c>
      <c r="C115" s="8" t="s">
        <v>226</v>
      </c>
      <c r="D115" s="9" t="s">
        <v>227</v>
      </c>
      <c r="E115" s="10">
        <v>3</v>
      </c>
      <c r="F115" s="19" t="s">
        <v>109</v>
      </c>
      <c r="G115" s="12" t="s">
        <v>20</v>
      </c>
      <c r="H115" s="13">
        <v>2</v>
      </c>
      <c r="I115" s="14">
        <v>44</v>
      </c>
      <c r="J115" s="15">
        <v>3390.73</v>
      </c>
      <c r="K115" s="15">
        <v>0</v>
      </c>
      <c r="L115" s="15">
        <v>0</v>
      </c>
      <c r="M115" s="15">
        <v>209</v>
      </c>
      <c r="N115" s="15">
        <v>0</v>
      </c>
      <c r="O115" s="15">
        <f>67.81+362.89+102.29</f>
        <v>532.99</v>
      </c>
      <c r="P115" s="16">
        <f t="shared" si="3"/>
        <v>3066.74</v>
      </c>
      <c r="Q115" s="33"/>
      <c r="R115" s="33"/>
      <c r="S115" s="33"/>
      <c r="T115" s="9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5"/>
      <c r="EZ115" s="35"/>
      <c r="FA115" s="35"/>
      <c r="FB115" s="35"/>
      <c r="FC115" s="35"/>
      <c r="FD115" s="35"/>
      <c r="FE115" s="35"/>
      <c r="FF115" s="35"/>
      <c r="FG115" s="35"/>
      <c r="FH115" s="35"/>
      <c r="FI115" s="35"/>
      <c r="FJ115" s="35"/>
      <c r="FK115" s="35"/>
      <c r="FL115" s="35"/>
      <c r="FM115" s="35"/>
      <c r="FN115" s="35"/>
      <c r="FO115" s="35"/>
      <c r="FP115" s="35"/>
      <c r="FQ115" s="35"/>
      <c r="FR115" s="35"/>
      <c r="FS115" s="35"/>
      <c r="FT115" s="35"/>
      <c r="FU115" s="35"/>
      <c r="FV115" s="35"/>
      <c r="FW115" s="35"/>
      <c r="FX115" s="35"/>
      <c r="FY115" s="35"/>
      <c r="FZ115" s="35"/>
      <c r="GA115" s="35"/>
      <c r="GB115" s="35"/>
      <c r="GC115" s="35"/>
      <c r="GD115" s="35"/>
      <c r="GE115" s="35"/>
      <c r="GF115" s="35"/>
      <c r="GG115" s="35"/>
      <c r="GH115" s="35"/>
      <c r="GI115" s="35"/>
      <c r="GJ115" s="35"/>
      <c r="GK115" s="35"/>
      <c r="GL115" s="35"/>
      <c r="GM115" s="35"/>
      <c r="GN115" s="35"/>
      <c r="GO115" s="35"/>
      <c r="GP115" s="35"/>
      <c r="GQ115" s="35"/>
      <c r="GR115" s="35"/>
      <c r="GS115" s="35"/>
      <c r="GT115" s="35"/>
      <c r="GU115" s="35"/>
      <c r="GV115" s="35"/>
      <c r="GW115" s="35"/>
      <c r="GX115" s="35"/>
      <c r="GY115" s="35"/>
      <c r="GZ115" s="35"/>
      <c r="HA115" s="35"/>
      <c r="HB115" s="35"/>
      <c r="HC115" s="35"/>
      <c r="HD115" s="35"/>
      <c r="HE115" s="35"/>
      <c r="HF115" s="35"/>
      <c r="HG115" s="35"/>
      <c r="HH115" s="35"/>
      <c r="HI115" s="35"/>
      <c r="HJ115" s="35"/>
      <c r="HK115" s="35"/>
      <c r="HL115" s="35"/>
      <c r="HM115" s="35"/>
      <c r="HN115" s="35"/>
      <c r="HO115" s="35"/>
      <c r="HP115" s="35"/>
      <c r="HQ115" s="35"/>
      <c r="HR115" s="35"/>
      <c r="HS115" s="35"/>
      <c r="HT115" s="35"/>
      <c r="HU115" s="35"/>
      <c r="HV115" s="35"/>
      <c r="HW115" s="35"/>
      <c r="HX115" s="35"/>
      <c r="HY115" s="35"/>
      <c r="HZ115" s="35"/>
      <c r="IA115" s="35"/>
      <c r="IB115" s="35"/>
      <c r="IC115" s="35"/>
      <c r="ID115" s="35"/>
      <c r="IE115" s="35"/>
      <c r="IF115" s="35"/>
      <c r="IG115" s="35"/>
    </row>
    <row r="116" spans="1:241" s="29" customFormat="1" x14ac:dyDescent="0.25">
      <c r="A116" s="6" t="s">
        <v>16</v>
      </c>
      <c r="B116" s="7" t="s">
        <v>17</v>
      </c>
      <c r="C116" s="8" t="s">
        <v>228</v>
      </c>
      <c r="D116" s="9" t="s">
        <v>229</v>
      </c>
      <c r="E116" s="10">
        <v>3</v>
      </c>
      <c r="F116" s="11" t="s">
        <v>63</v>
      </c>
      <c r="G116" s="12" t="s">
        <v>20</v>
      </c>
      <c r="H116" s="13">
        <v>1</v>
      </c>
      <c r="I116" s="14">
        <v>44</v>
      </c>
      <c r="J116" s="15">
        <v>1045</v>
      </c>
      <c r="K116" s="15">
        <v>0</v>
      </c>
      <c r="L116" s="15">
        <v>0</v>
      </c>
      <c r="M116" s="15">
        <f>209</f>
        <v>209</v>
      </c>
      <c r="N116" s="15">
        <v>0</v>
      </c>
      <c r="O116" s="15">
        <f>20.9+97.18</f>
        <v>118.08000000000001</v>
      </c>
      <c r="P116" s="16">
        <f t="shared" si="3"/>
        <v>1135.92</v>
      </c>
      <c r="Q116" s="33"/>
      <c r="R116" s="33"/>
      <c r="S116" s="33"/>
      <c r="T116" s="9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  <c r="GF116" s="34"/>
      <c r="GG116" s="34"/>
      <c r="GH116" s="34"/>
      <c r="GI116" s="34"/>
      <c r="GJ116" s="34"/>
      <c r="GK116" s="34"/>
      <c r="GL116" s="34"/>
      <c r="GM116" s="34"/>
      <c r="GN116" s="34"/>
      <c r="GO116" s="34"/>
      <c r="GP116" s="34"/>
      <c r="GQ116" s="34"/>
      <c r="GR116" s="34"/>
      <c r="GS116" s="34"/>
      <c r="GT116" s="34"/>
      <c r="GU116" s="34"/>
      <c r="GV116" s="34"/>
      <c r="GW116" s="34"/>
      <c r="GX116" s="34"/>
      <c r="GY116" s="34"/>
      <c r="GZ116" s="34"/>
      <c r="HA116" s="34"/>
      <c r="HB116" s="34"/>
      <c r="HC116" s="34"/>
      <c r="HD116" s="34"/>
      <c r="HE116" s="34"/>
      <c r="HF116" s="34"/>
      <c r="HG116" s="34"/>
      <c r="HH116" s="34"/>
      <c r="HI116" s="34"/>
      <c r="HJ116" s="34"/>
      <c r="HK116" s="34"/>
      <c r="HL116" s="34"/>
      <c r="HM116" s="34"/>
      <c r="HN116" s="34"/>
      <c r="HO116" s="34"/>
      <c r="HP116" s="34"/>
      <c r="HQ116" s="34"/>
      <c r="HR116" s="34"/>
      <c r="HS116" s="34"/>
      <c r="HT116" s="34"/>
      <c r="HU116" s="34"/>
      <c r="HV116" s="34"/>
      <c r="HW116" s="34"/>
      <c r="HX116" s="34"/>
      <c r="HY116" s="34"/>
      <c r="HZ116" s="34"/>
      <c r="IA116" s="34"/>
      <c r="IB116" s="34"/>
      <c r="IC116" s="34"/>
      <c r="ID116" s="34"/>
      <c r="IE116" s="34"/>
      <c r="IF116" s="34"/>
      <c r="IG116" s="34"/>
    </row>
    <row r="117" spans="1:241" s="29" customFormat="1" x14ac:dyDescent="0.25">
      <c r="A117" s="6" t="s">
        <v>16</v>
      </c>
      <c r="B117" s="7" t="s">
        <v>17</v>
      </c>
      <c r="C117" s="8" t="s">
        <v>230</v>
      </c>
      <c r="D117" s="9" t="s">
        <v>231</v>
      </c>
      <c r="E117" s="10">
        <v>2</v>
      </c>
      <c r="F117" s="11" t="s">
        <v>30</v>
      </c>
      <c r="G117" s="12" t="s">
        <v>20</v>
      </c>
      <c r="H117" s="13">
        <v>1</v>
      </c>
      <c r="I117" s="14">
        <v>44</v>
      </c>
      <c r="J117" s="15">
        <v>914.93</v>
      </c>
      <c r="K117" s="15">
        <v>0</v>
      </c>
      <c r="L117" s="15">
        <v>857.75</v>
      </c>
      <c r="M117" s="15">
        <f>800.56+111.47+11.4+49.39</f>
        <v>972.81999999999994</v>
      </c>
      <c r="N117" s="15">
        <v>0</v>
      </c>
      <c r="O117" s="15">
        <f>2.43+154.21</f>
        <v>156.64000000000001</v>
      </c>
      <c r="P117" s="16">
        <f t="shared" si="3"/>
        <v>2588.86</v>
      </c>
      <c r="Q117" s="28"/>
      <c r="R117" s="28"/>
      <c r="S117" s="28"/>
      <c r="T117" s="9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34"/>
      <c r="GF117" s="34"/>
      <c r="GG117" s="34"/>
      <c r="GH117" s="34"/>
      <c r="GI117" s="34"/>
      <c r="GJ117" s="34"/>
      <c r="GK117" s="34"/>
      <c r="GL117" s="34"/>
      <c r="GM117" s="34"/>
      <c r="GN117" s="34"/>
      <c r="GO117" s="34"/>
      <c r="GP117" s="34"/>
      <c r="GQ117" s="34"/>
      <c r="GR117" s="34"/>
      <c r="GS117" s="34"/>
      <c r="GT117" s="34"/>
      <c r="GU117" s="34"/>
      <c r="GV117" s="34"/>
      <c r="GW117" s="34"/>
      <c r="GX117" s="34"/>
      <c r="GY117" s="34"/>
      <c r="GZ117" s="34"/>
      <c r="HA117" s="34"/>
      <c r="HB117" s="34"/>
      <c r="HC117" s="34"/>
      <c r="HD117" s="34"/>
      <c r="HE117" s="34"/>
      <c r="HF117" s="34"/>
      <c r="HG117" s="34"/>
      <c r="HH117" s="34"/>
      <c r="HI117" s="34"/>
      <c r="HJ117" s="34"/>
      <c r="HK117" s="34"/>
      <c r="HL117" s="34"/>
      <c r="HM117" s="34"/>
      <c r="HN117" s="34"/>
      <c r="HO117" s="34"/>
      <c r="HP117" s="34"/>
      <c r="HQ117" s="34"/>
      <c r="HR117" s="34"/>
      <c r="HS117" s="34"/>
      <c r="HT117" s="34"/>
      <c r="HU117" s="34"/>
      <c r="HV117" s="34"/>
      <c r="HW117" s="34"/>
      <c r="HX117" s="34"/>
      <c r="HY117" s="34"/>
      <c r="HZ117" s="34"/>
      <c r="IA117" s="34"/>
      <c r="IB117" s="34"/>
      <c r="IC117" s="34"/>
      <c r="ID117" s="34"/>
      <c r="IE117" s="34"/>
      <c r="IF117" s="34"/>
      <c r="IG117" s="34"/>
    </row>
    <row r="118" spans="1:241" s="29" customFormat="1" x14ac:dyDescent="0.25">
      <c r="A118" s="6" t="s">
        <v>16</v>
      </c>
      <c r="B118" s="7" t="s">
        <v>17</v>
      </c>
      <c r="C118" s="8" t="s">
        <v>232</v>
      </c>
      <c r="D118" s="9" t="s">
        <v>233</v>
      </c>
      <c r="E118" s="10">
        <v>3</v>
      </c>
      <c r="F118" s="11" t="s">
        <v>63</v>
      </c>
      <c r="G118" s="12" t="s">
        <v>20</v>
      </c>
      <c r="H118" s="13">
        <v>1</v>
      </c>
      <c r="I118" s="14">
        <v>44</v>
      </c>
      <c r="J118" s="15">
        <v>1010.17</v>
      </c>
      <c r="K118" s="15">
        <v>0</v>
      </c>
      <c r="L118" s="15">
        <v>0</v>
      </c>
      <c r="M118" s="15">
        <f>34.83+48.62+202.03+20.32+97.53</f>
        <v>403.33000000000004</v>
      </c>
      <c r="N118" s="15">
        <v>0</v>
      </c>
      <c r="O118" s="15">
        <f>20.9+107.15+62.7</f>
        <v>190.75</v>
      </c>
      <c r="P118" s="16">
        <f t="shared" si="3"/>
        <v>1222.75</v>
      </c>
      <c r="Q118" s="28"/>
      <c r="R118" s="28"/>
      <c r="S118" s="28"/>
      <c r="T118" s="9"/>
    </row>
    <row r="119" spans="1:241" s="29" customFormat="1" x14ac:dyDescent="0.25">
      <c r="A119" s="6" t="s">
        <v>16</v>
      </c>
      <c r="B119" s="7" t="s">
        <v>17</v>
      </c>
      <c r="C119" s="8" t="s">
        <v>234</v>
      </c>
      <c r="D119" s="9" t="s">
        <v>235</v>
      </c>
      <c r="E119" s="10">
        <v>3</v>
      </c>
      <c r="F119" s="11" t="s">
        <v>236</v>
      </c>
      <c r="G119" s="12" t="s">
        <v>20</v>
      </c>
      <c r="H119" s="13">
        <v>2</v>
      </c>
      <c r="I119" s="14">
        <v>44</v>
      </c>
      <c r="J119" s="15">
        <v>1552.5</v>
      </c>
      <c r="K119" s="15">
        <v>0</v>
      </c>
      <c r="L119" s="15">
        <v>1491.47</v>
      </c>
      <c r="M119" s="15">
        <v>125.4</v>
      </c>
      <c r="N119" s="15">
        <v>0</v>
      </c>
      <c r="O119" s="15">
        <f>51.75+1491.47+184.09+118.55</f>
        <v>1845.86</v>
      </c>
      <c r="P119" s="16">
        <f t="shared" si="3"/>
        <v>1323.5100000000004</v>
      </c>
      <c r="Q119" s="28"/>
      <c r="R119" s="28"/>
      <c r="S119" s="28"/>
      <c r="T119" s="9"/>
    </row>
    <row r="120" spans="1:241" s="29" customFormat="1" x14ac:dyDescent="0.25">
      <c r="A120" s="6" t="s">
        <v>16</v>
      </c>
      <c r="B120" s="7" t="s">
        <v>17</v>
      </c>
      <c r="C120" s="8" t="s">
        <v>237</v>
      </c>
      <c r="D120" s="9" t="s">
        <v>238</v>
      </c>
      <c r="E120" s="10">
        <v>2</v>
      </c>
      <c r="F120" s="11" t="s">
        <v>35</v>
      </c>
      <c r="G120" s="12" t="s">
        <v>20</v>
      </c>
      <c r="H120" s="13">
        <v>1</v>
      </c>
      <c r="I120" s="14">
        <v>44</v>
      </c>
      <c r="J120" s="15">
        <v>2030.47</v>
      </c>
      <c r="K120" s="15">
        <v>0</v>
      </c>
      <c r="L120" s="15">
        <v>0</v>
      </c>
      <c r="M120" s="15">
        <f>42.64+213.2+812.19</f>
        <v>1068.03</v>
      </c>
      <c r="N120" s="15">
        <v>0</v>
      </c>
      <c r="O120" s="15">
        <f>293.44+39.14</f>
        <v>332.58</v>
      </c>
      <c r="P120" s="16">
        <f t="shared" si="3"/>
        <v>2765.92</v>
      </c>
      <c r="Q120" s="28"/>
      <c r="R120" s="28"/>
      <c r="S120" s="28"/>
      <c r="T120" s="9"/>
    </row>
    <row r="121" spans="1:241" s="29" customFormat="1" x14ac:dyDescent="0.25">
      <c r="A121" s="6" t="s">
        <v>16</v>
      </c>
      <c r="B121" s="7" t="s">
        <v>17</v>
      </c>
      <c r="C121" s="8" t="s">
        <v>239</v>
      </c>
      <c r="D121" s="9" t="s">
        <v>240</v>
      </c>
      <c r="E121" s="10">
        <v>3</v>
      </c>
      <c r="F121" s="11" t="s">
        <v>63</v>
      </c>
      <c r="G121" s="12" t="s">
        <v>20</v>
      </c>
      <c r="H121" s="13">
        <v>1</v>
      </c>
      <c r="I121" s="14">
        <v>44</v>
      </c>
      <c r="J121" s="15">
        <v>1045</v>
      </c>
      <c r="K121" s="15">
        <v>0</v>
      </c>
      <c r="L121" s="15">
        <v>0</v>
      </c>
      <c r="M121" s="15">
        <f>209+16.72+83.6</f>
        <v>309.32</v>
      </c>
      <c r="N121" s="15">
        <v>0</v>
      </c>
      <c r="O121" s="15">
        <f>20.9+106.2+62.7</f>
        <v>189.8</v>
      </c>
      <c r="P121" s="16">
        <f t="shared" si="3"/>
        <v>1164.52</v>
      </c>
      <c r="Q121" s="28"/>
      <c r="R121" s="28"/>
      <c r="S121" s="28"/>
      <c r="T121" s="9"/>
    </row>
    <row r="122" spans="1:241" s="29" customFormat="1" x14ac:dyDescent="0.25">
      <c r="A122" s="6" t="s">
        <v>16</v>
      </c>
      <c r="B122" s="7" t="s">
        <v>17</v>
      </c>
      <c r="C122" s="8" t="s">
        <v>241</v>
      </c>
      <c r="D122" s="9" t="s">
        <v>242</v>
      </c>
      <c r="E122" s="10">
        <v>2</v>
      </c>
      <c r="F122" s="19" t="s">
        <v>74</v>
      </c>
      <c r="G122" s="12" t="s">
        <v>20</v>
      </c>
      <c r="H122" s="13">
        <v>1</v>
      </c>
      <c r="I122" s="14">
        <v>44</v>
      </c>
      <c r="J122" s="15">
        <v>835.36</v>
      </c>
      <c r="K122" s="15">
        <v>0</v>
      </c>
      <c r="L122" s="15">
        <v>0</v>
      </c>
      <c r="M122" s="15">
        <f>55.73+3063.13+1021.04+1392.33</f>
        <v>5532.23</v>
      </c>
      <c r="N122" s="15">
        <v>0</v>
      </c>
      <c r="O122" s="15">
        <f>3132.6+15.66+410.79+36.02+109.62</f>
        <v>3704.6899999999996</v>
      </c>
      <c r="P122" s="16">
        <f t="shared" si="3"/>
        <v>2662.8999999999996</v>
      </c>
      <c r="Q122" s="28"/>
      <c r="R122" s="28"/>
      <c r="S122" s="28"/>
      <c r="T122" s="9"/>
    </row>
    <row r="123" spans="1:241" s="29" customFormat="1" x14ac:dyDescent="0.25">
      <c r="A123" s="6" t="s">
        <v>16</v>
      </c>
      <c r="B123" s="7" t="s">
        <v>17</v>
      </c>
      <c r="C123" s="8">
        <v>66715300410</v>
      </c>
      <c r="D123" s="9" t="s">
        <v>243</v>
      </c>
      <c r="E123" s="10">
        <v>2</v>
      </c>
      <c r="F123" s="11" t="s">
        <v>19</v>
      </c>
      <c r="G123" s="12" t="s">
        <v>20</v>
      </c>
      <c r="H123" s="13">
        <v>1</v>
      </c>
      <c r="I123" s="14">
        <v>44</v>
      </c>
      <c r="J123" s="15">
        <v>646.61</v>
      </c>
      <c r="K123" s="15">
        <v>0</v>
      </c>
      <c r="L123" s="15">
        <v>0</v>
      </c>
      <c r="M123" s="15">
        <f>565.79+111.47+47.38+205.31</f>
        <v>929.95</v>
      </c>
      <c r="N123" s="15">
        <v>0</v>
      </c>
      <c r="O123" s="15">
        <f>126.21+72.74</f>
        <v>198.95</v>
      </c>
      <c r="P123" s="16">
        <f t="shared" si="3"/>
        <v>1377.61</v>
      </c>
      <c r="Q123" s="28"/>
      <c r="R123" s="28"/>
      <c r="S123" s="28"/>
      <c r="T123" s="9"/>
    </row>
    <row r="124" spans="1:241" s="29" customFormat="1" x14ac:dyDescent="0.25">
      <c r="A124" s="6" t="s">
        <v>16</v>
      </c>
      <c r="B124" s="7" t="s">
        <v>17</v>
      </c>
      <c r="C124" s="8" t="s">
        <v>244</v>
      </c>
      <c r="D124" s="9" t="s">
        <v>245</v>
      </c>
      <c r="E124" s="10">
        <v>2</v>
      </c>
      <c r="F124" s="11" t="s">
        <v>19</v>
      </c>
      <c r="G124" s="12" t="s">
        <v>20</v>
      </c>
      <c r="H124" s="13">
        <v>1</v>
      </c>
      <c r="I124" s="14">
        <v>44</v>
      </c>
      <c r="J124" s="15">
        <v>1212.4000000000001</v>
      </c>
      <c r="K124" s="15">
        <v>0</v>
      </c>
      <c r="L124" s="15">
        <v>0</v>
      </c>
      <c r="M124" s="15">
        <f>209+48.62</f>
        <v>257.62</v>
      </c>
      <c r="N124" s="15">
        <v>0</v>
      </c>
      <c r="O124" s="15">
        <f>112.24+72.74</f>
        <v>184.98</v>
      </c>
      <c r="P124" s="16">
        <f t="shared" si="3"/>
        <v>1285.04</v>
      </c>
      <c r="Q124" s="28"/>
      <c r="R124" s="28"/>
      <c r="S124" s="28"/>
      <c r="T124" s="9"/>
    </row>
    <row r="125" spans="1:241" s="29" customFormat="1" x14ac:dyDescent="0.25">
      <c r="A125" s="6" t="s">
        <v>16</v>
      </c>
      <c r="B125" s="7" t="s">
        <v>17</v>
      </c>
      <c r="C125" s="8" t="s">
        <v>246</v>
      </c>
      <c r="D125" s="9" t="s">
        <v>247</v>
      </c>
      <c r="E125" s="10">
        <v>3</v>
      </c>
      <c r="F125" s="24" t="s">
        <v>60</v>
      </c>
      <c r="G125" s="12" t="s">
        <v>20</v>
      </c>
      <c r="H125" s="13">
        <v>1</v>
      </c>
      <c r="I125" s="14">
        <v>44</v>
      </c>
      <c r="J125" s="15">
        <v>1045</v>
      </c>
      <c r="K125" s="15">
        <v>0</v>
      </c>
      <c r="L125" s="15">
        <v>0</v>
      </c>
      <c r="M125" s="15">
        <f>97.24+209+64+27.71+138.55</f>
        <v>536.5</v>
      </c>
      <c r="N125" s="15">
        <v>0</v>
      </c>
      <c r="O125" s="15">
        <f>20.9+112.14+62.7</f>
        <v>195.74</v>
      </c>
      <c r="P125" s="16">
        <f t="shared" si="3"/>
        <v>1385.76</v>
      </c>
      <c r="Q125" s="28"/>
      <c r="R125" s="28"/>
      <c r="S125" s="28"/>
      <c r="T125" s="9"/>
    </row>
    <row r="126" spans="1:241" s="29" customFormat="1" x14ac:dyDescent="0.25">
      <c r="A126" s="6" t="s">
        <v>16</v>
      </c>
      <c r="B126" s="7" t="s">
        <v>17</v>
      </c>
      <c r="C126" s="8">
        <v>71197891471</v>
      </c>
      <c r="D126" s="9" t="s">
        <v>248</v>
      </c>
      <c r="E126" s="10">
        <v>3</v>
      </c>
      <c r="F126" s="19" t="s">
        <v>25</v>
      </c>
      <c r="G126" s="12" t="s">
        <v>20</v>
      </c>
      <c r="H126" s="13">
        <v>1</v>
      </c>
      <c r="I126" s="14">
        <v>44</v>
      </c>
      <c r="J126" s="15">
        <v>1020.73</v>
      </c>
      <c r="K126" s="15">
        <v>0</v>
      </c>
      <c r="L126" s="15">
        <v>0</v>
      </c>
      <c r="M126" s="15">
        <f>35.2+202.03</f>
        <v>237.23000000000002</v>
      </c>
      <c r="N126" s="15">
        <v>0</v>
      </c>
      <c r="O126" s="15">
        <f>21.12+97.53+63.36</f>
        <v>182.01</v>
      </c>
      <c r="P126" s="16">
        <f t="shared" si="3"/>
        <v>1075.95</v>
      </c>
      <c r="Q126" s="28"/>
      <c r="R126" s="28"/>
      <c r="S126" s="28"/>
      <c r="T126" s="9"/>
    </row>
    <row r="127" spans="1:241" s="29" customFormat="1" x14ac:dyDescent="0.25">
      <c r="A127" s="6" t="s">
        <v>16</v>
      </c>
      <c r="B127" s="7" t="s">
        <v>17</v>
      </c>
      <c r="C127" s="8" t="s">
        <v>249</v>
      </c>
      <c r="D127" s="9" t="s">
        <v>250</v>
      </c>
      <c r="E127" s="10">
        <v>3</v>
      </c>
      <c r="F127" s="19" t="s">
        <v>68</v>
      </c>
      <c r="G127" s="12" t="s">
        <v>20</v>
      </c>
      <c r="H127" s="13">
        <v>1</v>
      </c>
      <c r="I127" s="14">
        <v>44</v>
      </c>
      <c r="J127" s="15">
        <v>1254.55</v>
      </c>
      <c r="K127" s="15">
        <v>0</v>
      </c>
      <c r="L127" s="15">
        <v>0</v>
      </c>
      <c r="M127" s="15">
        <f>209+21.93+109.65</f>
        <v>340.58000000000004</v>
      </c>
      <c r="N127" s="15">
        <v>0</v>
      </c>
      <c r="O127" s="15">
        <f>25.09+127.88</f>
        <v>152.97</v>
      </c>
      <c r="P127" s="16">
        <f t="shared" si="3"/>
        <v>1442.16</v>
      </c>
      <c r="Q127" s="28"/>
      <c r="R127" s="28"/>
      <c r="S127" s="28"/>
      <c r="T127" s="9"/>
    </row>
    <row r="128" spans="1:241" s="29" customFormat="1" x14ac:dyDescent="0.25">
      <c r="A128" s="6" t="s">
        <v>16</v>
      </c>
      <c r="B128" s="7" t="s">
        <v>17</v>
      </c>
      <c r="C128" s="8" t="s">
        <v>251</v>
      </c>
      <c r="D128" s="9" t="s">
        <v>252</v>
      </c>
      <c r="E128" s="10">
        <v>2</v>
      </c>
      <c r="F128" s="11" t="s">
        <v>19</v>
      </c>
      <c r="G128" s="12" t="s">
        <v>20</v>
      </c>
      <c r="H128" s="13">
        <v>1</v>
      </c>
      <c r="I128" s="14">
        <v>44</v>
      </c>
      <c r="J128" s="15">
        <v>1212.4000000000001</v>
      </c>
      <c r="K128" s="15">
        <v>0</v>
      </c>
      <c r="L128" s="15">
        <v>0</v>
      </c>
      <c r="M128" s="15">
        <f>209+64+41.06+205.31</f>
        <v>519.37</v>
      </c>
      <c r="N128" s="15">
        <v>0</v>
      </c>
      <c r="O128" s="15">
        <f>134.41+72.74</f>
        <v>207.14999999999998</v>
      </c>
      <c r="P128" s="16">
        <f t="shared" si="3"/>
        <v>1524.62</v>
      </c>
      <c r="Q128" s="28"/>
      <c r="R128" s="28"/>
      <c r="S128" s="28"/>
      <c r="T128" s="22"/>
    </row>
    <row r="129" spans="1:20" s="29" customFormat="1" x14ac:dyDescent="0.25">
      <c r="A129" s="6" t="s">
        <v>16</v>
      </c>
      <c r="B129" s="7" t="s">
        <v>17</v>
      </c>
      <c r="C129" s="8">
        <v>11141755440</v>
      </c>
      <c r="D129" s="9" t="s">
        <v>253</v>
      </c>
      <c r="E129" s="10">
        <v>3</v>
      </c>
      <c r="F129" s="11" t="s">
        <v>254</v>
      </c>
      <c r="G129" s="12" t="s">
        <v>20</v>
      </c>
      <c r="H129" s="13">
        <v>2</v>
      </c>
      <c r="I129" s="14">
        <v>44</v>
      </c>
      <c r="J129" s="15">
        <v>2070</v>
      </c>
      <c r="K129" s="15">
        <v>0</v>
      </c>
      <c r="L129" s="15">
        <v>0</v>
      </c>
      <c r="M129" s="15">
        <f>209</f>
        <v>209</v>
      </c>
      <c r="N129" s="15">
        <v>0</v>
      </c>
      <c r="O129" s="15">
        <f>41.4+195.1+13.49</f>
        <v>249.99</v>
      </c>
      <c r="P129" s="16">
        <f t="shared" si="3"/>
        <v>2029.01</v>
      </c>
      <c r="Q129" s="28"/>
      <c r="R129" s="28"/>
      <c r="S129" s="28"/>
      <c r="T129" s="9"/>
    </row>
    <row r="130" spans="1:20" s="29" customFormat="1" x14ac:dyDescent="0.25">
      <c r="A130" s="6" t="s">
        <v>16</v>
      </c>
      <c r="B130" s="7" t="s">
        <v>17</v>
      </c>
      <c r="C130" s="8">
        <v>82203210400</v>
      </c>
      <c r="D130" s="9" t="s">
        <v>255</v>
      </c>
      <c r="E130" s="10">
        <v>2</v>
      </c>
      <c r="F130" s="11" t="s">
        <v>35</v>
      </c>
      <c r="G130" s="12" t="s">
        <v>20</v>
      </c>
      <c r="H130" s="13">
        <v>1</v>
      </c>
      <c r="I130" s="14">
        <v>44</v>
      </c>
      <c r="J130" s="15">
        <v>2030.47</v>
      </c>
      <c r="K130" s="15">
        <v>0</v>
      </c>
      <c r="L130" s="15">
        <v>0</v>
      </c>
      <c r="M130" s="15">
        <f>812.19</f>
        <v>812.19</v>
      </c>
      <c r="N130" s="15">
        <v>0</v>
      </c>
      <c r="O130" s="15">
        <f>262.74+36.47+121.83</f>
        <v>421.04</v>
      </c>
      <c r="P130" s="16">
        <f t="shared" ref="P130:P144" si="4">SUM(J130:N130)-O130</f>
        <v>2421.62</v>
      </c>
      <c r="Q130" s="28"/>
      <c r="R130" s="28"/>
      <c r="S130" s="28"/>
      <c r="T130" s="9"/>
    </row>
    <row r="131" spans="1:20" s="29" customFormat="1" x14ac:dyDescent="0.25">
      <c r="A131" s="6" t="s">
        <v>16</v>
      </c>
      <c r="B131" s="7" t="s">
        <v>17</v>
      </c>
      <c r="C131" s="8" t="s">
        <v>256</v>
      </c>
      <c r="D131" s="9" t="s">
        <v>257</v>
      </c>
      <c r="E131" s="10">
        <v>3</v>
      </c>
      <c r="F131" s="11" t="s">
        <v>63</v>
      </c>
      <c r="G131" s="12" t="s">
        <v>20</v>
      </c>
      <c r="H131" s="13">
        <v>1</v>
      </c>
      <c r="I131" s="14">
        <v>44</v>
      </c>
      <c r="J131" s="15">
        <v>1045</v>
      </c>
      <c r="K131" s="15">
        <v>0</v>
      </c>
      <c r="L131" s="15">
        <v>0</v>
      </c>
      <c r="M131" s="15">
        <f>209+64+30.65+153.27</f>
        <v>456.91999999999996</v>
      </c>
      <c r="N131" s="15">
        <v>0</v>
      </c>
      <c r="O131" s="15">
        <f>20.9+113.73</f>
        <v>134.63</v>
      </c>
      <c r="P131" s="16">
        <f t="shared" si="4"/>
        <v>1367.29</v>
      </c>
      <c r="Q131" s="28"/>
      <c r="R131" s="28"/>
      <c r="S131" s="28"/>
      <c r="T131" s="9"/>
    </row>
    <row r="132" spans="1:20" s="29" customFormat="1" x14ac:dyDescent="0.25">
      <c r="A132" s="6" t="s">
        <v>16</v>
      </c>
      <c r="B132" s="7" t="s">
        <v>17</v>
      </c>
      <c r="C132" s="8" t="s">
        <v>258</v>
      </c>
      <c r="D132" s="22" t="s">
        <v>259</v>
      </c>
      <c r="E132" s="10">
        <v>3</v>
      </c>
      <c r="F132" s="19" t="s">
        <v>99</v>
      </c>
      <c r="G132" s="12" t="s">
        <v>20</v>
      </c>
      <c r="H132" s="13">
        <v>1</v>
      </c>
      <c r="I132" s="14">
        <v>44</v>
      </c>
      <c r="J132" s="15">
        <v>1045</v>
      </c>
      <c r="K132" s="15">
        <v>0</v>
      </c>
      <c r="L132" s="15">
        <v>0</v>
      </c>
      <c r="M132" s="15">
        <f>209+33.44+167.2</f>
        <v>409.64</v>
      </c>
      <c r="N132" s="15">
        <v>0</v>
      </c>
      <c r="O132" s="15">
        <f>20.9+115.23+62.7</f>
        <v>198.82999999999998</v>
      </c>
      <c r="P132" s="16">
        <f t="shared" si="4"/>
        <v>1255.81</v>
      </c>
      <c r="Q132" s="28"/>
      <c r="R132" s="28"/>
      <c r="S132" s="28"/>
      <c r="T132" s="9"/>
    </row>
    <row r="133" spans="1:20" s="29" customFormat="1" x14ac:dyDescent="0.25">
      <c r="A133" s="6" t="s">
        <v>16</v>
      </c>
      <c r="B133" s="7" t="s">
        <v>17</v>
      </c>
      <c r="C133" s="8">
        <v>50934384487</v>
      </c>
      <c r="D133" s="9" t="s">
        <v>260</v>
      </c>
      <c r="E133" s="10">
        <v>2</v>
      </c>
      <c r="F133" s="11" t="s">
        <v>30</v>
      </c>
      <c r="G133" s="12" t="s">
        <v>20</v>
      </c>
      <c r="H133" s="13">
        <v>1</v>
      </c>
      <c r="I133" s="14">
        <v>44</v>
      </c>
      <c r="J133" s="15">
        <v>0</v>
      </c>
      <c r="K133" s="15">
        <v>0</v>
      </c>
      <c r="L133" s="15">
        <v>230.93</v>
      </c>
      <c r="M133" s="15">
        <v>0</v>
      </c>
      <c r="N133" s="15">
        <v>0</v>
      </c>
      <c r="O133" s="15">
        <v>0</v>
      </c>
      <c r="P133" s="16">
        <f t="shared" si="4"/>
        <v>230.93</v>
      </c>
      <c r="Q133" s="28"/>
      <c r="R133" s="28"/>
      <c r="S133" s="28"/>
      <c r="T133" s="9"/>
    </row>
    <row r="134" spans="1:20" s="29" customFormat="1" x14ac:dyDescent="0.25">
      <c r="A134" s="6" t="s">
        <v>16</v>
      </c>
      <c r="B134" s="7" t="s">
        <v>17</v>
      </c>
      <c r="C134" s="8" t="s">
        <v>261</v>
      </c>
      <c r="D134" s="9" t="s">
        <v>262</v>
      </c>
      <c r="E134" s="10">
        <v>2</v>
      </c>
      <c r="F134" s="11" t="s">
        <v>19</v>
      </c>
      <c r="G134" s="12" t="s">
        <v>20</v>
      </c>
      <c r="H134" s="13">
        <v>1</v>
      </c>
      <c r="I134" s="14">
        <v>44</v>
      </c>
      <c r="J134" s="15">
        <v>1212.4000000000001</v>
      </c>
      <c r="K134" s="15">
        <v>0</v>
      </c>
      <c r="L134" s="15">
        <v>0</v>
      </c>
      <c r="M134" s="15">
        <f>209+41.06+205.31</f>
        <v>455.37</v>
      </c>
      <c r="N134" s="15">
        <v>0</v>
      </c>
      <c r="O134" s="15">
        <f>134.41+72.74</f>
        <v>207.14999999999998</v>
      </c>
      <c r="P134" s="16">
        <f t="shared" si="4"/>
        <v>1460.62</v>
      </c>
      <c r="Q134" s="28"/>
      <c r="R134" s="28"/>
      <c r="S134" s="28"/>
      <c r="T134" s="22"/>
    </row>
    <row r="135" spans="1:20" s="29" customFormat="1" x14ac:dyDescent="0.25">
      <c r="A135" s="6" t="s">
        <v>16</v>
      </c>
      <c r="B135" s="7" t="s">
        <v>17</v>
      </c>
      <c r="C135" s="8" t="s">
        <v>263</v>
      </c>
      <c r="D135" s="9" t="s">
        <v>264</v>
      </c>
      <c r="E135" s="10">
        <v>2</v>
      </c>
      <c r="F135" s="19" t="s">
        <v>55</v>
      </c>
      <c r="G135" s="12" t="s">
        <v>20</v>
      </c>
      <c r="H135" s="13">
        <v>1</v>
      </c>
      <c r="I135" s="14">
        <v>44</v>
      </c>
      <c r="J135" s="15">
        <v>1208.82</v>
      </c>
      <c r="K135" s="15">
        <v>0</v>
      </c>
      <c r="L135" s="15">
        <v>0</v>
      </c>
      <c r="M135" s="15">
        <f>209+40.96+204.8</f>
        <v>454.76</v>
      </c>
      <c r="N135" s="15">
        <v>0</v>
      </c>
      <c r="O135" s="15">
        <f>24.18+134.04</f>
        <v>158.22</v>
      </c>
      <c r="P135" s="16">
        <f t="shared" si="4"/>
        <v>1505.36</v>
      </c>
      <c r="Q135" s="28"/>
      <c r="R135" s="28"/>
      <c r="S135" s="28"/>
      <c r="T135" s="9"/>
    </row>
    <row r="136" spans="1:20" s="29" customFormat="1" x14ac:dyDescent="0.25">
      <c r="A136" s="6" t="s">
        <v>16</v>
      </c>
      <c r="B136" s="7" t="s">
        <v>17</v>
      </c>
      <c r="C136" s="8" t="s">
        <v>265</v>
      </c>
      <c r="D136" s="22" t="s">
        <v>266</v>
      </c>
      <c r="E136" s="10">
        <v>2</v>
      </c>
      <c r="F136" s="11" t="s">
        <v>30</v>
      </c>
      <c r="G136" s="12" t="s">
        <v>20</v>
      </c>
      <c r="H136" s="13">
        <v>1</v>
      </c>
      <c r="I136" s="14">
        <v>44</v>
      </c>
      <c r="J136" s="15">
        <v>1715.49</v>
      </c>
      <c r="K136" s="15">
        <v>0</v>
      </c>
      <c r="L136" s="15">
        <v>857.75</v>
      </c>
      <c r="M136" s="15">
        <f>209</f>
        <v>209</v>
      </c>
      <c r="N136" s="15">
        <v>0</v>
      </c>
      <c r="O136" s="15">
        <f>2.43+157.52</f>
        <v>159.95000000000002</v>
      </c>
      <c r="P136" s="16">
        <f t="shared" si="4"/>
        <v>2622.29</v>
      </c>
      <c r="Q136" s="28"/>
      <c r="R136" s="28"/>
      <c r="S136" s="28"/>
      <c r="T136" s="9"/>
    </row>
    <row r="137" spans="1:20" s="29" customFormat="1" x14ac:dyDescent="0.25">
      <c r="A137" s="6" t="s">
        <v>16</v>
      </c>
      <c r="B137" s="7" t="s">
        <v>17</v>
      </c>
      <c r="C137" s="8" t="s">
        <v>267</v>
      </c>
      <c r="D137" s="9" t="s">
        <v>268</v>
      </c>
      <c r="E137" s="10">
        <v>2</v>
      </c>
      <c r="F137" s="19" t="s">
        <v>74</v>
      </c>
      <c r="G137" s="12" t="s">
        <v>20</v>
      </c>
      <c r="H137" s="13">
        <v>1</v>
      </c>
      <c r="I137" s="14">
        <v>44</v>
      </c>
      <c r="J137" s="15">
        <v>1566.3</v>
      </c>
      <c r="K137" s="15">
        <v>0</v>
      </c>
      <c r="L137" s="15">
        <v>913.68</v>
      </c>
      <c r="M137" s="15">
        <v>104.5</v>
      </c>
      <c r="N137" s="15">
        <v>0</v>
      </c>
      <c r="O137" s="15">
        <f>15.66+134.69</f>
        <v>150.35</v>
      </c>
      <c r="P137" s="16">
        <f t="shared" si="4"/>
        <v>2434.13</v>
      </c>
      <c r="Q137" s="28"/>
      <c r="R137" s="28"/>
      <c r="S137" s="28"/>
      <c r="T137" s="9"/>
    </row>
    <row r="138" spans="1:20" s="29" customFormat="1" x14ac:dyDescent="0.25">
      <c r="A138" s="6" t="s">
        <v>16</v>
      </c>
      <c r="B138" s="7" t="s">
        <v>17</v>
      </c>
      <c r="C138" s="8" t="s">
        <v>269</v>
      </c>
      <c r="D138" s="9" t="s">
        <v>270</v>
      </c>
      <c r="E138" s="10">
        <v>2</v>
      </c>
      <c r="F138" s="11" t="s">
        <v>19</v>
      </c>
      <c r="G138" s="12" t="s">
        <v>20</v>
      </c>
      <c r="H138" s="13">
        <v>1</v>
      </c>
      <c r="I138" s="14">
        <v>44</v>
      </c>
      <c r="J138" s="15">
        <v>1212.4000000000001</v>
      </c>
      <c r="K138" s="15">
        <v>0</v>
      </c>
      <c r="L138" s="15">
        <v>0</v>
      </c>
      <c r="M138" s="15">
        <f>48.62+209+64</f>
        <v>321.62</v>
      </c>
      <c r="N138" s="15">
        <v>0</v>
      </c>
      <c r="O138" s="15">
        <f>112.24+72.74</f>
        <v>184.98</v>
      </c>
      <c r="P138" s="16">
        <f t="shared" si="4"/>
        <v>1349.04</v>
      </c>
      <c r="Q138" s="28"/>
      <c r="R138" s="28"/>
      <c r="S138" s="28"/>
      <c r="T138" s="9"/>
    </row>
    <row r="139" spans="1:20" s="29" customFormat="1" x14ac:dyDescent="0.25">
      <c r="A139" s="6" t="s">
        <v>16</v>
      </c>
      <c r="B139" s="7" t="s">
        <v>17</v>
      </c>
      <c r="C139" s="8" t="s">
        <v>271</v>
      </c>
      <c r="D139" s="9" t="s">
        <v>272</v>
      </c>
      <c r="E139" s="10">
        <v>3</v>
      </c>
      <c r="F139" s="11" t="s">
        <v>63</v>
      </c>
      <c r="G139" s="12" t="s">
        <v>20</v>
      </c>
      <c r="H139" s="13">
        <v>1</v>
      </c>
      <c r="I139" s="14">
        <v>44</v>
      </c>
      <c r="J139" s="15">
        <v>870.83</v>
      </c>
      <c r="K139" s="15">
        <v>0</v>
      </c>
      <c r="L139" s="15">
        <v>0</v>
      </c>
      <c r="M139" s="15">
        <f>174.17+48.62+174.17+64</f>
        <v>460.96</v>
      </c>
      <c r="N139" s="15">
        <v>0</v>
      </c>
      <c r="O139" s="15">
        <f>20.9+94.04</f>
        <v>114.94</v>
      </c>
      <c r="P139" s="16">
        <f t="shared" si="4"/>
        <v>1216.8499999999999</v>
      </c>
      <c r="Q139" s="28"/>
      <c r="R139" s="28"/>
      <c r="S139" s="28"/>
      <c r="T139" s="9"/>
    </row>
    <row r="140" spans="1:20" s="29" customFormat="1" x14ac:dyDescent="0.25">
      <c r="A140" s="6" t="s">
        <v>16</v>
      </c>
      <c r="B140" s="7" t="s">
        <v>17</v>
      </c>
      <c r="C140" s="8" t="s">
        <v>273</v>
      </c>
      <c r="D140" s="9" t="s">
        <v>274</v>
      </c>
      <c r="E140" s="10">
        <v>3</v>
      </c>
      <c r="F140" s="19" t="s">
        <v>25</v>
      </c>
      <c r="G140" s="12" t="s">
        <v>20</v>
      </c>
      <c r="H140" s="13">
        <v>1</v>
      </c>
      <c r="I140" s="14">
        <v>44</v>
      </c>
      <c r="J140" s="15">
        <v>1055.93</v>
      </c>
      <c r="K140" s="15">
        <v>0</v>
      </c>
      <c r="L140" s="15">
        <v>0</v>
      </c>
      <c r="M140" s="15">
        <f>48.62+209+64</f>
        <v>321.62</v>
      </c>
      <c r="N140" s="15">
        <v>0</v>
      </c>
      <c r="O140" s="15">
        <f>21.12+98.16</f>
        <v>119.28</v>
      </c>
      <c r="P140" s="16">
        <f t="shared" si="4"/>
        <v>1258.2700000000002</v>
      </c>
      <c r="Q140" s="28"/>
      <c r="R140" s="28"/>
      <c r="S140" s="28"/>
      <c r="T140" s="9"/>
    </row>
    <row r="141" spans="1:20" s="29" customFormat="1" x14ac:dyDescent="0.25">
      <c r="A141" s="6" t="s">
        <v>16</v>
      </c>
      <c r="B141" s="7" t="s">
        <v>17</v>
      </c>
      <c r="C141" s="8" t="s">
        <v>275</v>
      </c>
      <c r="D141" s="9" t="s">
        <v>276</v>
      </c>
      <c r="E141" s="10">
        <v>3</v>
      </c>
      <c r="F141" s="19" t="s">
        <v>277</v>
      </c>
      <c r="G141" s="12" t="s">
        <v>20</v>
      </c>
      <c r="H141" s="13">
        <v>1</v>
      </c>
      <c r="I141" s="14">
        <v>44</v>
      </c>
      <c r="J141" s="15">
        <v>1045</v>
      </c>
      <c r="K141" s="15">
        <v>0</v>
      </c>
      <c r="L141" s="15">
        <v>0</v>
      </c>
      <c r="M141" s="15">
        <f>48.62+209+64</f>
        <v>321.62</v>
      </c>
      <c r="N141" s="15">
        <v>0</v>
      </c>
      <c r="O141" s="15">
        <v>97.18</v>
      </c>
      <c r="P141" s="16">
        <f t="shared" si="4"/>
        <v>1269.4399999999998</v>
      </c>
      <c r="Q141" s="28"/>
      <c r="R141" s="28"/>
      <c r="S141" s="28"/>
      <c r="T141" s="9"/>
    </row>
    <row r="142" spans="1:20" s="29" customFormat="1" x14ac:dyDescent="0.25">
      <c r="A142" s="6" t="s">
        <v>16</v>
      </c>
      <c r="B142" s="7" t="s">
        <v>17</v>
      </c>
      <c r="C142" s="8" t="s">
        <v>278</v>
      </c>
      <c r="D142" s="9" t="s">
        <v>279</v>
      </c>
      <c r="E142" s="10">
        <v>2</v>
      </c>
      <c r="F142" s="11" t="s">
        <v>19</v>
      </c>
      <c r="G142" s="12" t="s">
        <v>20</v>
      </c>
      <c r="H142" s="13">
        <v>1</v>
      </c>
      <c r="I142" s="14">
        <v>44</v>
      </c>
      <c r="J142" s="15">
        <v>1212.4000000000001</v>
      </c>
      <c r="K142" s="15">
        <v>0</v>
      </c>
      <c r="L142" s="15">
        <v>0</v>
      </c>
      <c r="M142" s="15">
        <f>48.62+209</f>
        <v>257.62</v>
      </c>
      <c r="N142" s="15">
        <v>0</v>
      </c>
      <c r="O142" s="15">
        <f>112.24+72.74</f>
        <v>184.98</v>
      </c>
      <c r="P142" s="16">
        <f t="shared" si="4"/>
        <v>1285.04</v>
      </c>
      <c r="Q142" s="28"/>
      <c r="R142" s="28"/>
      <c r="S142" s="28"/>
      <c r="T142" s="9"/>
    </row>
    <row r="143" spans="1:20" x14ac:dyDescent="0.2">
      <c r="A143" s="6" t="s">
        <v>16</v>
      </c>
      <c r="B143" s="7" t="s">
        <v>17</v>
      </c>
      <c r="C143" s="8">
        <v>76931382420</v>
      </c>
      <c r="D143" s="9" t="s">
        <v>280</v>
      </c>
      <c r="E143" s="10">
        <v>2</v>
      </c>
      <c r="F143" s="11" t="s">
        <v>30</v>
      </c>
      <c r="G143" s="12" t="s">
        <v>20</v>
      </c>
      <c r="H143" s="13">
        <v>1</v>
      </c>
      <c r="I143" s="14">
        <v>44</v>
      </c>
      <c r="J143" s="15">
        <v>1715.49</v>
      </c>
      <c r="K143" s="15">
        <v>0</v>
      </c>
      <c r="L143" s="15">
        <v>857.75</v>
      </c>
      <c r="M143" s="15">
        <f>209+81.14</f>
        <v>290.14</v>
      </c>
      <c r="N143" s="15">
        <v>0</v>
      </c>
      <c r="O143" s="15">
        <f>2.43+164.82</f>
        <v>167.25</v>
      </c>
      <c r="P143" s="16">
        <f t="shared" si="4"/>
        <v>2696.1299999999997</v>
      </c>
      <c r="T143" s="9"/>
    </row>
    <row r="144" spans="1:20" x14ac:dyDescent="0.2">
      <c r="A144" s="6" t="s">
        <v>16</v>
      </c>
      <c r="B144" s="7" t="s">
        <v>17</v>
      </c>
      <c r="C144" s="8">
        <v>89866681491</v>
      </c>
      <c r="D144" s="9" t="s">
        <v>281</v>
      </c>
      <c r="E144" s="10">
        <v>2</v>
      </c>
      <c r="F144" s="11" t="s">
        <v>19</v>
      </c>
      <c r="G144" s="12" t="s">
        <v>20</v>
      </c>
      <c r="H144" s="13">
        <v>1</v>
      </c>
      <c r="I144" s="14">
        <v>44</v>
      </c>
      <c r="J144" s="15">
        <v>1212.4000000000001</v>
      </c>
      <c r="K144" s="15">
        <v>0</v>
      </c>
      <c r="L144" s="15">
        <v>0</v>
      </c>
      <c r="M144" s="15">
        <f>209</f>
        <v>209</v>
      </c>
      <c r="N144" s="15">
        <v>0</v>
      </c>
      <c r="O144" s="15">
        <f>112.24+47.97</f>
        <v>160.20999999999998</v>
      </c>
      <c r="P144" s="16">
        <f t="shared" si="4"/>
        <v>1261.19</v>
      </c>
      <c r="T144" s="9"/>
    </row>
    <row r="145" spans="5:20" ht="15" x14ac:dyDescent="0.2"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T145" s="9"/>
    </row>
    <row r="146" spans="5:20" x14ac:dyDescent="0.2">
      <c r="T146" s="9"/>
    </row>
    <row r="147" spans="5:20" x14ac:dyDescent="0.2">
      <c r="T147" s="22"/>
    </row>
    <row r="148" spans="5:20" x14ac:dyDescent="0.2">
      <c r="T148" s="9"/>
    </row>
    <row r="149" spans="5:20" x14ac:dyDescent="0.2">
      <c r="T149" s="9"/>
    </row>
    <row r="150" spans="5:20" x14ac:dyDescent="0.2">
      <c r="T150" s="9"/>
    </row>
    <row r="151" spans="5:20" x14ac:dyDescent="0.2">
      <c r="T151" s="9"/>
    </row>
    <row r="152" spans="5:20" x14ac:dyDescent="0.2">
      <c r="T152" s="9"/>
    </row>
    <row r="153" spans="5:20" x14ac:dyDescent="0.2">
      <c r="T153" s="9"/>
    </row>
    <row r="154" spans="5:20" x14ac:dyDescent="0.2">
      <c r="T154" s="9"/>
    </row>
    <row r="155" spans="5:20" x14ac:dyDescent="0.2">
      <c r="T155" s="9"/>
    </row>
    <row r="156" spans="5:20" x14ac:dyDescent="0.2">
      <c r="T156" s="9"/>
    </row>
    <row r="157" spans="5:20" ht="15" x14ac:dyDescent="0.2"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T157" s="9"/>
    </row>
    <row r="158" spans="5:20" ht="15" x14ac:dyDescent="0.2"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T158" s="9"/>
    </row>
    <row r="159" spans="5:20" ht="15" x14ac:dyDescent="0.2"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T159" s="9"/>
    </row>
    <row r="160" spans="5:20" ht="15" x14ac:dyDescent="0.2"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T160" s="9"/>
    </row>
    <row r="161" spans="5:20" ht="15" x14ac:dyDescent="0.2"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T161" s="9"/>
    </row>
    <row r="162" spans="5:20" ht="15" x14ac:dyDescent="0.2"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T162" s="9"/>
    </row>
    <row r="163" spans="5:20" x14ac:dyDescent="0.2">
      <c r="T163" s="9"/>
    </row>
    <row r="164" spans="5:20" x14ac:dyDescent="0.2">
      <c r="T164" s="9"/>
    </row>
    <row r="165" spans="5:20" x14ac:dyDescent="0.2">
      <c r="T165" s="9"/>
    </row>
    <row r="166" spans="5:20" x14ac:dyDescent="0.2">
      <c r="T166" s="9"/>
    </row>
    <row r="167" spans="5:20" x14ac:dyDescent="0.2">
      <c r="T167" s="9"/>
    </row>
    <row r="168" spans="5:20" x14ac:dyDescent="0.2">
      <c r="T168" s="9"/>
    </row>
    <row r="169" spans="5:20" x14ac:dyDescent="0.2">
      <c r="T169" s="9"/>
    </row>
    <row r="170" spans="5:20" x14ac:dyDescent="0.2">
      <c r="T170" s="9"/>
    </row>
    <row r="171" spans="5:20" x14ac:dyDescent="0.2">
      <c r="T171" s="9"/>
    </row>
    <row r="172" spans="5:20" x14ac:dyDescent="0.2">
      <c r="T172" s="9"/>
    </row>
    <row r="173" spans="5:20" ht="15" x14ac:dyDescent="0.2"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T173" s="9"/>
    </row>
    <row r="174" spans="5:20" ht="15" x14ac:dyDescent="0.2"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T174" s="9"/>
    </row>
    <row r="175" spans="5:20" ht="15" x14ac:dyDescent="0.2"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T175" s="9"/>
    </row>
    <row r="176" spans="5:20" ht="15" x14ac:dyDescent="0.2"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T176" s="9"/>
    </row>
    <row r="177" spans="5:20" ht="15" x14ac:dyDescent="0.2"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T177" s="9"/>
    </row>
    <row r="178" spans="5:20" ht="15" x14ac:dyDescent="0.2"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T178" s="9"/>
    </row>
    <row r="179" spans="5:20" ht="15" x14ac:dyDescent="0.2"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T179" s="9"/>
    </row>
    <row r="180" spans="5:20" ht="15" x14ac:dyDescent="0.2"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T180" s="9"/>
    </row>
    <row r="181" spans="5:20" ht="15" x14ac:dyDescent="0.2"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T181" s="9"/>
    </row>
    <row r="182" spans="5:20" ht="15" x14ac:dyDescent="0.2"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T182" s="9"/>
    </row>
    <row r="183" spans="5:20" ht="15" x14ac:dyDescent="0.2"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T183" s="9"/>
    </row>
    <row r="184" spans="5:20" ht="15" x14ac:dyDescent="0.2"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T184" s="9"/>
    </row>
    <row r="185" spans="5:20" ht="15" x14ac:dyDescent="0.2"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T185" s="9"/>
    </row>
    <row r="186" spans="5:20" ht="15" x14ac:dyDescent="0.2"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T186" s="9"/>
    </row>
    <row r="187" spans="5:20" ht="15" x14ac:dyDescent="0.2"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T187" s="9"/>
    </row>
    <row r="188" spans="5:20" ht="15" x14ac:dyDescent="0.2"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T188" s="22"/>
    </row>
    <row r="189" spans="5:20" ht="15" x14ac:dyDescent="0.2"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T189" s="9"/>
    </row>
    <row r="190" spans="5:20" ht="15" x14ac:dyDescent="0.2"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T190" s="9"/>
    </row>
    <row r="191" spans="5:20" ht="15" x14ac:dyDescent="0.2"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T191" s="9"/>
    </row>
    <row r="192" spans="5:20" ht="15" x14ac:dyDescent="0.2"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T192" s="22"/>
    </row>
    <row r="193" spans="5:20" ht="15" x14ac:dyDescent="0.2"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T193" s="9"/>
    </row>
    <row r="194" spans="5:20" ht="15" x14ac:dyDescent="0.2"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T194" s="9"/>
    </row>
    <row r="195" spans="5:20" ht="15" x14ac:dyDescent="0.2"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T195" s="9"/>
    </row>
    <row r="196" spans="5:20" ht="15" x14ac:dyDescent="0.2"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T196" s="9"/>
    </row>
    <row r="197" spans="5:20" ht="15" x14ac:dyDescent="0.2"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T197" s="9"/>
    </row>
    <row r="198" spans="5:20" ht="15" x14ac:dyDescent="0.2"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T198" s="9"/>
    </row>
    <row r="199" spans="5:20" ht="15" x14ac:dyDescent="0.2"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T199" s="9"/>
    </row>
    <row r="200" spans="5:20" ht="15" x14ac:dyDescent="0.2"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T200" s="9"/>
    </row>
    <row r="209" spans="5:16" ht="15" x14ac:dyDescent="0.25"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</row>
    <row r="210" spans="5:16" ht="15" x14ac:dyDescent="0.25"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</row>
    <row r="211" spans="5:16" ht="15" x14ac:dyDescent="0.25"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</row>
    <row r="212" spans="5:16" ht="15" x14ac:dyDescent="0.25"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</row>
    <row r="213" spans="5:16" ht="15" x14ac:dyDescent="0.25"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</row>
  </sheetData>
  <pageMargins left="0.51181102362204722" right="0.51181102362204722" top="0.78740157480314965" bottom="0.78740157480314965" header="0.31496062992125984" footer="0.31496062992125984"/>
  <pageSetup paperSize="9" scale="40" orientation="landscape" horizontalDpi="4294967294" verticalDpi="4294967294" r:id="rId1"/>
  <rowBreaks count="1" manualBreakCount="1">
    <brk id="77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Regina Gomes de Oliveira</dc:creator>
  <cp:lastModifiedBy>Camila Regina Gomes de Oliveira</cp:lastModifiedBy>
  <dcterms:created xsi:type="dcterms:W3CDTF">2020-08-15T11:29:56Z</dcterms:created>
  <dcterms:modified xsi:type="dcterms:W3CDTF">2020-08-15T11:45:57Z</dcterms:modified>
</cp:coreProperties>
</file>