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'!$A$1:$IG$144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P143" i="1" l="1"/>
  <c r="O143" i="1"/>
  <c r="M143" i="1"/>
  <c r="P142" i="1"/>
  <c r="O142" i="1"/>
  <c r="O141" i="1"/>
  <c r="M141" i="1"/>
  <c r="P141" i="1" s="1"/>
  <c r="O140" i="1"/>
  <c r="P140" i="1" s="1"/>
  <c r="M140" i="1"/>
  <c r="P139" i="1"/>
  <c r="O139" i="1"/>
  <c r="M139" i="1"/>
  <c r="O138" i="1"/>
  <c r="P138" i="1" s="1"/>
  <c r="M138" i="1"/>
  <c r="O137" i="1"/>
  <c r="M137" i="1"/>
  <c r="P137" i="1" s="1"/>
  <c r="O136" i="1"/>
  <c r="P136" i="1" s="1"/>
  <c r="M136" i="1"/>
  <c r="K136" i="1"/>
  <c r="O135" i="1"/>
  <c r="P135" i="1" s="1"/>
  <c r="O134" i="1"/>
  <c r="P134" i="1" s="1"/>
  <c r="M134" i="1"/>
  <c r="O133" i="1"/>
  <c r="M133" i="1"/>
  <c r="P133" i="1" s="1"/>
  <c r="O132" i="1"/>
  <c r="P132" i="1" s="1"/>
  <c r="M132" i="1"/>
  <c r="P130" i="1"/>
  <c r="O130" i="1"/>
  <c r="M130" i="1"/>
  <c r="O129" i="1"/>
  <c r="P129" i="1" s="1"/>
  <c r="M129" i="1"/>
  <c r="O128" i="1"/>
  <c r="M128" i="1"/>
  <c r="P128" i="1" s="1"/>
  <c r="O127" i="1"/>
  <c r="P127" i="1" s="1"/>
  <c r="K127" i="1"/>
  <c r="P126" i="1"/>
  <c r="O126" i="1"/>
  <c r="M126" i="1"/>
  <c r="O125" i="1"/>
  <c r="P125" i="1" s="1"/>
  <c r="M125" i="1"/>
  <c r="K125" i="1"/>
  <c r="O124" i="1"/>
  <c r="P124" i="1" s="1"/>
  <c r="M124" i="1"/>
  <c r="O123" i="1"/>
  <c r="M123" i="1"/>
  <c r="P123" i="1" s="1"/>
  <c r="O122" i="1"/>
  <c r="P122" i="1" s="1"/>
  <c r="M122" i="1"/>
  <c r="P121" i="1"/>
  <c r="O121" i="1"/>
  <c r="M121" i="1"/>
  <c r="O120" i="1"/>
  <c r="P120" i="1" s="1"/>
  <c r="M120" i="1"/>
  <c r="O119" i="1"/>
  <c r="M119" i="1"/>
  <c r="P119" i="1" s="1"/>
  <c r="O118" i="1"/>
  <c r="P118" i="1" s="1"/>
  <c r="O117" i="1"/>
  <c r="P117" i="1" s="1"/>
  <c r="M117" i="1"/>
  <c r="O116" i="1"/>
  <c r="M116" i="1"/>
  <c r="P116" i="1" s="1"/>
  <c r="O115" i="1"/>
  <c r="P115" i="1" s="1"/>
  <c r="M115" i="1"/>
  <c r="K115" i="1"/>
  <c r="O114" i="1"/>
  <c r="P114" i="1" s="1"/>
  <c r="O113" i="1"/>
  <c r="P113" i="1" s="1"/>
  <c r="M113" i="1"/>
  <c r="O112" i="1"/>
  <c r="M112" i="1"/>
  <c r="P112" i="1" s="1"/>
  <c r="O111" i="1"/>
  <c r="P111" i="1" s="1"/>
  <c r="M111" i="1"/>
  <c r="P110" i="1"/>
  <c r="O110" i="1"/>
  <c r="M110" i="1"/>
  <c r="O109" i="1"/>
  <c r="P109" i="1" s="1"/>
  <c r="M109" i="1"/>
  <c r="O108" i="1"/>
  <c r="M108" i="1"/>
  <c r="P108" i="1" s="1"/>
  <c r="K108" i="1"/>
  <c r="O107" i="1"/>
  <c r="M107" i="1"/>
  <c r="P107" i="1" s="1"/>
  <c r="K107" i="1"/>
  <c r="O106" i="1"/>
  <c r="M106" i="1"/>
  <c r="P106" i="1" s="1"/>
  <c r="O105" i="1"/>
  <c r="P105" i="1" s="1"/>
  <c r="M105" i="1"/>
  <c r="P104" i="1"/>
  <c r="O104" i="1"/>
  <c r="M104" i="1"/>
  <c r="O103" i="1"/>
  <c r="P103" i="1" s="1"/>
  <c r="M103" i="1"/>
  <c r="O102" i="1"/>
  <c r="M102" i="1"/>
  <c r="P102" i="1" s="1"/>
  <c r="O101" i="1"/>
  <c r="P101" i="1" s="1"/>
  <c r="O100" i="1"/>
  <c r="P100" i="1" s="1"/>
  <c r="M100" i="1"/>
  <c r="P99" i="1"/>
  <c r="O99" i="1"/>
  <c r="P98" i="1"/>
  <c r="O98" i="1"/>
  <c r="M98" i="1"/>
  <c r="O97" i="1"/>
  <c r="P97" i="1" s="1"/>
  <c r="M97" i="1"/>
  <c r="P96" i="1"/>
  <c r="O96" i="1"/>
  <c r="P95" i="1"/>
  <c r="O95" i="1"/>
  <c r="M95" i="1"/>
  <c r="K95" i="1"/>
  <c r="P94" i="1"/>
  <c r="M94" i="1"/>
  <c r="O93" i="1"/>
  <c r="M93" i="1"/>
  <c r="P93" i="1" s="1"/>
  <c r="K93" i="1"/>
  <c r="O92" i="1"/>
  <c r="M92" i="1"/>
  <c r="P92" i="1" s="1"/>
  <c r="O91" i="1"/>
  <c r="P91" i="1" s="1"/>
  <c r="M91" i="1"/>
  <c r="P90" i="1"/>
  <c r="P89" i="1"/>
  <c r="O88" i="1"/>
  <c r="M88" i="1"/>
  <c r="P88" i="1" s="1"/>
  <c r="K88" i="1"/>
  <c r="P87" i="1"/>
  <c r="O87" i="1"/>
  <c r="P86" i="1"/>
  <c r="O86" i="1"/>
  <c r="M86" i="1"/>
  <c r="O85" i="1"/>
  <c r="P85" i="1" s="1"/>
  <c r="M85" i="1"/>
  <c r="P84" i="1"/>
  <c r="O84" i="1"/>
  <c r="P83" i="1"/>
  <c r="O83" i="1"/>
  <c r="M83" i="1"/>
  <c r="O82" i="1"/>
  <c r="P82" i="1" s="1"/>
  <c r="M82" i="1"/>
  <c r="O81" i="1"/>
  <c r="M81" i="1"/>
  <c r="P81" i="1" s="1"/>
  <c r="O80" i="1"/>
  <c r="P80" i="1" s="1"/>
  <c r="M80" i="1"/>
  <c r="P79" i="1"/>
  <c r="O79" i="1"/>
  <c r="M79" i="1"/>
  <c r="M78" i="1"/>
  <c r="P78" i="1" s="1"/>
  <c r="O77" i="1"/>
  <c r="P77" i="1" s="1"/>
  <c r="M77" i="1"/>
  <c r="P76" i="1"/>
  <c r="O76" i="1"/>
  <c r="M76" i="1"/>
  <c r="O75" i="1"/>
  <c r="P75" i="1" s="1"/>
  <c r="M75" i="1"/>
  <c r="O74" i="1"/>
  <c r="M74" i="1"/>
  <c r="P74" i="1" s="1"/>
  <c r="O73" i="1"/>
  <c r="P73" i="1" s="1"/>
  <c r="P72" i="1"/>
  <c r="P71" i="1"/>
  <c r="O71" i="1"/>
  <c r="M71" i="1"/>
  <c r="O70" i="1"/>
  <c r="P70" i="1" s="1"/>
  <c r="M70" i="1"/>
  <c r="O69" i="1"/>
  <c r="M69" i="1"/>
  <c r="P69" i="1" s="1"/>
  <c r="O68" i="1"/>
  <c r="P68" i="1" s="1"/>
  <c r="M68" i="1"/>
  <c r="P67" i="1"/>
  <c r="O67" i="1"/>
  <c r="M67" i="1"/>
  <c r="O66" i="1"/>
  <c r="P66" i="1" s="1"/>
  <c r="M66" i="1"/>
  <c r="K66" i="1"/>
  <c r="O65" i="1"/>
  <c r="P65" i="1" s="1"/>
  <c r="M65" i="1"/>
  <c r="P64" i="1"/>
  <c r="O63" i="1"/>
  <c r="P63" i="1" s="1"/>
  <c r="O62" i="1"/>
  <c r="P62" i="1" s="1"/>
  <c r="M62" i="1"/>
  <c r="P61" i="1"/>
  <c r="O61" i="1"/>
  <c r="M61" i="1"/>
  <c r="O60" i="1"/>
  <c r="P60" i="1" s="1"/>
  <c r="M60" i="1"/>
  <c r="O59" i="1"/>
  <c r="M59" i="1"/>
  <c r="P59" i="1" s="1"/>
  <c r="O58" i="1"/>
  <c r="P58" i="1" s="1"/>
  <c r="M58" i="1"/>
  <c r="P57" i="1"/>
  <c r="O57" i="1"/>
  <c r="M57" i="1"/>
  <c r="O56" i="1"/>
  <c r="P56" i="1" s="1"/>
  <c r="M56" i="1"/>
  <c r="O55" i="1"/>
  <c r="M55" i="1"/>
  <c r="P55" i="1" s="1"/>
  <c r="K55" i="1"/>
  <c r="O54" i="1"/>
  <c r="M54" i="1"/>
  <c r="P54" i="1" s="1"/>
  <c r="O53" i="1"/>
  <c r="P53" i="1" s="1"/>
  <c r="M53" i="1"/>
  <c r="P52" i="1"/>
  <c r="O52" i="1"/>
  <c r="O51" i="1"/>
  <c r="M51" i="1"/>
  <c r="P51" i="1" s="1"/>
  <c r="O50" i="1"/>
  <c r="P50" i="1" s="1"/>
  <c r="M50" i="1"/>
  <c r="P49" i="1"/>
  <c r="O49" i="1"/>
  <c r="M49" i="1"/>
  <c r="O48" i="1"/>
  <c r="P48" i="1" s="1"/>
  <c r="M48" i="1"/>
  <c r="O47" i="1"/>
  <c r="M47" i="1"/>
  <c r="P47" i="1" s="1"/>
  <c r="O46" i="1"/>
  <c r="P46" i="1" s="1"/>
  <c r="M46" i="1"/>
  <c r="K46" i="1"/>
  <c r="O45" i="1"/>
  <c r="P45" i="1" s="1"/>
  <c r="M45" i="1"/>
  <c r="P44" i="1"/>
  <c r="O44" i="1"/>
  <c r="M44" i="1"/>
  <c r="O43" i="1"/>
  <c r="P43" i="1" s="1"/>
  <c r="M43" i="1"/>
  <c r="K43" i="1"/>
  <c r="O42" i="1"/>
  <c r="P42" i="1" s="1"/>
  <c r="M42" i="1"/>
  <c r="K42" i="1"/>
  <c r="O41" i="1"/>
  <c r="P41" i="1" s="1"/>
  <c r="M41" i="1"/>
  <c r="O40" i="1"/>
  <c r="M40" i="1"/>
  <c r="P40" i="1" s="1"/>
  <c r="O39" i="1"/>
  <c r="P39" i="1" s="1"/>
  <c r="M39" i="1"/>
  <c r="P38" i="1"/>
  <c r="O38" i="1"/>
  <c r="M38" i="1"/>
  <c r="O37" i="1"/>
  <c r="P37" i="1" s="1"/>
  <c r="O36" i="1"/>
  <c r="P36" i="1" s="1"/>
  <c r="M36" i="1"/>
  <c r="P35" i="1"/>
  <c r="O35" i="1"/>
  <c r="M35" i="1"/>
  <c r="O34" i="1"/>
  <c r="P34" i="1" s="1"/>
  <c r="M34" i="1"/>
  <c r="P33" i="1"/>
  <c r="O33" i="1"/>
  <c r="P32" i="1"/>
  <c r="O32" i="1"/>
  <c r="P31" i="1"/>
  <c r="O30" i="1"/>
  <c r="P30" i="1" s="1"/>
  <c r="M30" i="1"/>
  <c r="P29" i="1"/>
  <c r="O29" i="1"/>
  <c r="P28" i="1"/>
  <c r="O28" i="1"/>
  <c r="P27" i="1"/>
  <c r="O27" i="1"/>
  <c r="P26" i="1"/>
  <c r="O26" i="1"/>
  <c r="M26" i="1"/>
  <c r="O25" i="1"/>
  <c r="P25" i="1" s="1"/>
  <c r="M25" i="1"/>
  <c r="O24" i="1"/>
  <c r="M24" i="1"/>
  <c r="P24" i="1" s="1"/>
  <c r="O23" i="1"/>
  <c r="P23" i="1" s="1"/>
  <c r="M23" i="1"/>
  <c r="P22" i="1"/>
  <c r="O22" i="1"/>
  <c r="M22" i="1"/>
  <c r="O21" i="1"/>
  <c r="P21" i="1" s="1"/>
  <c r="M21" i="1"/>
  <c r="O20" i="1"/>
  <c r="M20" i="1"/>
  <c r="P20" i="1" s="1"/>
  <c r="O19" i="1"/>
  <c r="P19" i="1" s="1"/>
  <c r="M19" i="1"/>
  <c r="P18" i="1"/>
  <c r="O18" i="1"/>
  <c r="M18" i="1"/>
  <c r="P17" i="1"/>
  <c r="P16" i="1"/>
  <c r="O16" i="1"/>
  <c r="M16" i="1"/>
  <c r="O15" i="1"/>
  <c r="P15" i="1" s="1"/>
  <c r="M15" i="1"/>
  <c r="O14" i="1"/>
  <c r="M14" i="1"/>
  <c r="P14" i="1" s="1"/>
  <c r="O13" i="1"/>
  <c r="P13" i="1" s="1"/>
  <c r="M13" i="1"/>
  <c r="P12" i="1"/>
  <c r="O12" i="1"/>
  <c r="M12" i="1"/>
  <c r="O11" i="1"/>
  <c r="P11" i="1" s="1"/>
  <c r="M11" i="1"/>
  <c r="O10" i="1"/>
  <c r="M10" i="1"/>
  <c r="P10" i="1" s="1"/>
  <c r="O9" i="1"/>
  <c r="P9" i="1" s="1"/>
  <c r="M9" i="1"/>
  <c r="P8" i="1"/>
  <c r="O8" i="1"/>
  <c r="M8" i="1"/>
  <c r="K8" i="1"/>
  <c r="P7" i="1"/>
  <c r="O7" i="1"/>
  <c r="M7" i="1"/>
  <c r="K7" i="1"/>
  <c r="P6" i="1"/>
  <c r="O6" i="1"/>
  <c r="M6" i="1"/>
  <c r="O5" i="1"/>
  <c r="P5" i="1" s="1"/>
  <c r="O4" i="1"/>
  <c r="P4" i="1" s="1"/>
  <c r="M4" i="1"/>
  <c r="P3" i="1"/>
  <c r="O3" i="1"/>
  <c r="M3" i="1"/>
  <c r="K3" i="1"/>
  <c r="P2" i="1"/>
  <c r="O2" i="1"/>
</calcChain>
</file>

<file path=xl/sharedStrings.xml><?xml version="1.0" encoding="utf-8"?>
<sst xmlns="http://schemas.openxmlformats.org/spreadsheetml/2006/main" count="821" uniqueCount="281">
  <si>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</si>
  <si>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</si>
  <si>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</si>
  <si>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</si>
  <si>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</si>
  <si>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</si>
  <si>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</si>
  <si>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</si>
  <si>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</si>
  <si>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</si>
  <si>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</si>
  <si>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</si>
  <si>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</si>
  <si>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</si>
  <si>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</si>
  <si>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</si>
  <si>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</si>
  <si>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</si>
  <si>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</si>
  <si>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</si>
  <si>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07/2020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</si>
  <si>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</si>
  <si>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</si>
  <si>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</si>
  <si>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</si>
  <si>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</si>
  <si>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</si>
  <si>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</si>
  <si>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</si>
  <si>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</si>
  <si>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</si>
  <si>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</si>
  <si>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</si>
  <si>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</si>
  <si>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</si>
  <si>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</si>
  <si>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</si>
  <si>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</si>
  <si>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</si>
  <si>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</si>
  <si>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</si>
  <si>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</si>
  <si>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</si>
  <si>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</si>
  <si>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</si>
  <si>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</si>
  <si>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</si>
  <si>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</si>
  <si>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</si>
  <si>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</si>
  <si>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</si>
  <si>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</si>
  <si>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</si>
  <si>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</si>
  <si>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</si>
  <si>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</si>
  <si>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</si>
  <si>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</si>
  <si>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</si>
  <si>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</si>
  <si>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</si>
  <si>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</si>
  <si>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</si>
  <si>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</si>
  <si>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</si>
  <si>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</si>
  <si>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</si>
  <si>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</si>
  <si>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</si>
  <si>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</si>
  <si>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</si>
  <si>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</si>
  <si>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</si>
  <si>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</si>
  <si>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</si>
  <si>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</si>
  <si>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</si>
  <si>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</si>
  <si>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</si>
  <si>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</si>
  <si>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</si>
  <si>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</si>
  <si>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</si>
  <si>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</si>
  <si>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</si>
  <si>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</si>
  <si>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</si>
  <si>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</si>
  <si>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</si>
  <si>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</si>
  <si>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</si>
  <si>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</si>
  <si>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</si>
  <si>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</si>
  <si>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</si>
  <si>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</si>
  <si>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</si>
  <si>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</si>
  <si>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</si>
  <si>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</si>
  <si>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</si>
  <si>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</si>
  <si>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</si>
  <si>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</si>
  <si>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</si>
  <si>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</si>
  <si>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</si>
  <si>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</si>
  <si>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</si>
  <si>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</si>
  <si>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</si>
  <si>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</si>
  <si>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</si>
  <si>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</si>
  <si>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</si>
  <si>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</si>
  <si>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</si>
  <si>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</si>
  <si>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</si>
  <si>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</si>
  <si>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</si>
  <si>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</si>
  <si>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</si>
  <si>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</si>
  <si>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</si>
  <si>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</si>
  <si>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</si>
  <si>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</si>
  <si>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</si>
  <si>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</si>
  <si>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</si>
  <si>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</si>
  <si>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</si>
  <si>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</si>
  <si>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</si>
  <si>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</si>
  <si>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</si>
  <si>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</si>
  <si>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</si>
  <si>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07952391496</t>
  </si>
  <si>
    <t>HEWERTON BRENNER MENDES BASTOS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</si>
  <si>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</si>
  <si>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</si>
  <si>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</si>
  <si>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</si>
  <si>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</si>
  <si>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</si>
  <si>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</si>
  <si>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</si>
  <si>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</si>
  <si>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</si>
  <si>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</si>
  <si>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</si>
  <si>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</si>
  <si>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</si>
  <si>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</si>
  <si>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</si>
  <si>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</si>
  <si>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</si>
  <si>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</si>
  <si>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</si>
  <si>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</si>
  <si>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</si>
  <si>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</si>
  <si>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</si>
  <si>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</si>
  <si>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</si>
  <si>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</si>
  <si>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</si>
  <si>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</si>
  <si>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</si>
  <si>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</si>
  <si>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</si>
  <si>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</si>
  <si>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</si>
  <si>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</si>
  <si>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</si>
  <si>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</si>
  <si>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</si>
  <si>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</si>
  <si>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</si>
  <si>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</si>
  <si>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</si>
  <si>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</si>
  <si>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</si>
  <si>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</si>
  <si>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</si>
  <si>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</si>
  <si>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</si>
  <si>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</si>
  <si>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</si>
  <si>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</si>
  <si>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</si>
  <si>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</si>
  <si>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</si>
  <si>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</si>
  <si>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</si>
  <si>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</si>
  <si>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</si>
  <si>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</si>
  <si>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</si>
  <si>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</si>
  <si>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</si>
  <si>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</si>
  <si>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</si>
  <si>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</si>
  <si>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</si>
  <si>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</si>
  <si>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</si>
  <si>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</si>
  <si>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</si>
  <si>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</si>
  <si>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</si>
  <si>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</si>
  <si>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</si>
  <si>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</si>
  <si>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</si>
  <si>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</si>
  <si>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</si>
  <si>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</si>
  <si>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</si>
  <si>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</si>
  <si>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</si>
  <si>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</si>
  <si>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</si>
  <si>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</si>
  <si>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</si>
  <si>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</si>
  <si>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</si>
  <si>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</si>
  <si>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</si>
  <si>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</si>
  <si>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</si>
  <si>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</si>
  <si>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</si>
  <si>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</si>
  <si>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</si>
  <si>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</si>
  <si>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</si>
  <si>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</si>
  <si>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</si>
  <si>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</si>
  <si>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</si>
  <si>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</si>
  <si>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</si>
  <si>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</si>
  <si>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</si>
  <si>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</si>
  <si>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</si>
  <si>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</si>
  <si>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</si>
  <si>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</si>
  <si>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</si>
  <si>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</si>
  <si>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</si>
  <si>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</si>
  <si>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</si>
  <si>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</si>
  <si>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</si>
  <si>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</si>
  <si>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</si>
  <si>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</si>
  <si>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</si>
  <si>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</si>
  <si>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</si>
  <si>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</si>
  <si>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</si>
  <si>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</si>
  <si>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</si>
  <si>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</si>
  <si>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</si>
  <si>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</si>
  <si>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</si>
  <si>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</si>
  <si>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</si>
  <si>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</si>
  <si>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</si>
  <si>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70243973497</t>
  </si>
  <si>
    <t>WALERIA WALLESKA DA SILVA COUTINHO</t>
  </si>
  <si>
    <t>(Incluir)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</si>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</sst>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4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9" fillId="45" borderId="0" applyNumberFormat="0" applyBorder="0" applyAlignment="0" applyProtection="0"/>
    <xf numFmtId="0" fontId="17" fillId="16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29" fillId="43" borderId="0" applyNumberFormat="0" applyBorder="0" applyAlignment="0" applyProtection="0"/>
    <xf numFmtId="0" fontId="17" fillId="24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29" fillId="48" borderId="0" applyNumberFormat="0" applyBorder="0" applyAlignment="0" applyProtection="0"/>
    <xf numFmtId="0" fontId="6" fillId="2" borderId="0" applyNumberFormat="0" applyBorder="0" applyAlignment="0" applyProtection="0"/>
    <xf numFmtId="0" fontId="30" fillId="37" borderId="0" applyNumberFormat="0" applyBorder="0" applyAlignment="0" applyProtection="0"/>
    <xf numFmtId="0" fontId="11" fillId="6" borderId="4" applyNumberFormat="0" applyAlignment="0" applyProtection="0"/>
    <xf numFmtId="0" fontId="31" fillId="49" borderId="12" applyNumberFormat="0" applyAlignment="0" applyProtection="0"/>
    <xf numFmtId="0" fontId="13" fillId="7" borderId="7" applyNumberFormat="0" applyAlignment="0" applyProtection="0"/>
    <xf numFmtId="0" fontId="32" fillId="50" borderId="13" applyNumberFormat="0" applyAlignment="0" applyProtection="0"/>
    <xf numFmtId="0" fontId="12" fillId="0" borderId="6" applyNumberFormat="0" applyFill="0" applyAlignment="0" applyProtection="0"/>
    <xf numFmtId="0" fontId="33" fillId="0" borderId="14" applyNumberFormat="0" applyFill="0" applyAlignment="0" applyProtection="0"/>
    <xf numFmtId="0" fontId="17" fillId="9" borderId="0" applyNumberFormat="0" applyBorder="0" applyAlignment="0" applyProtection="0"/>
    <xf numFmtId="0" fontId="29" fillId="51" borderId="0" applyNumberFormat="0" applyBorder="0" applyAlignment="0" applyProtection="0"/>
    <xf numFmtId="0" fontId="17" fillId="13" borderId="0" applyNumberFormat="0" applyBorder="0" applyAlignment="0" applyProtection="0"/>
    <xf numFmtId="0" fontId="29" fillId="52" borderId="0" applyNumberFormat="0" applyBorder="0" applyAlignment="0" applyProtection="0"/>
    <xf numFmtId="0" fontId="17" fillId="17" borderId="0" applyNumberFormat="0" applyBorder="0" applyAlignment="0" applyProtection="0"/>
    <xf numFmtId="0" fontId="29" fillId="53" borderId="0" applyNumberFormat="0" applyBorder="0" applyAlignment="0" applyProtection="0"/>
    <xf numFmtId="0" fontId="17" fillId="21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29" fillId="47" borderId="0" applyNumberFormat="0" applyBorder="0" applyAlignment="0" applyProtection="0"/>
    <xf numFmtId="0" fontId="17" fillId="29" borderId="0" applyNumberFormat="0" applyBorder="0" applyAlignment="0" applyProtection="0"/>
    <xf numFmtId="0" fontId="29" fillId="54" borderId="0" applyNumberFormat="0" applyBorder="0" applyAlignment="0" applyProtection="0"/>
    <xf numFmtId="0" fontId="9" fillId="5" borderId="4" applyNumberFormat="0" applyAlignment="0" applyProtection="0"/>
    <xf numFmtId="0" fontId="34" fillId="40" borderId="12" applyNumberFormat="0" applyAlignment="0" applyProtection="0"/>
    <xf numFmtId="166" fontId="28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5" fillId="36" borderId="0" applyNumberFormat="0" applyBorder="0" applyAlignment="0" applyProtection="0"/>
    <xf numFmtId="42" fontId="3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8" fillId="4" borderId="0" applyNumberFormat="0" applyBorder="0" applyAlignment="0" applyProtection="0"/>
    <xf numFmtId="0" fontId="38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56" borderId="1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6" fillId="0" borderId="0" applyFont="0" applyFill="0" applyBorder="0" applyAlignment="0" applyProtection="0"/>
    <xf numFmtId="0" fontId="10" fillId="6" borderId="5" applyNumberFormat="0" applyAlignment="0" applyProtection="0"/>
    <xf numFmtId="0" fontId="40" fillId="49" borderId="16" applyNumberFormat="0" applyAlignment="0" applyProtection="0"/>
    <xf numFmtId="41" fontId="36" fillId="0" borderId="0" applyFont="0" applyFill="0" applyBorder="0" applyAlignment="0" applyProtection="0"/>
    <xf numFmtId="168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3" fillId="0" borderId="17" applyNumberFormat="0" applyFill="0" applyAlignment="0" applyProtection="0"/>
    <xf numFmtId="0" fontId="4" fillId="0" borderId="2" applyNumberFormat="0" applyFill="0" applyAlignment="0" applyProtection="0"/>
    <xf numFmtId="0" fontId="44" fillId="0" borderId="18" applyNumberFormat="0" applyFill="0" applyAlignment="0" applyProtection="0"/>
    <xf numFmtId="0" fontId="5" fillId="0" borderId="3" applyNumberFormat="0" applyFill="0" applyAlignment="0" applyProtection="0"/>
    <xf numFmtId="0" fontId="45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Border="0" applyAlignment="0" applyProtection="0"/>
    <xf numFmtId="43" fontId="37" fillId="0" borderId="0" applyBorder="0" applyAlignment="0" applyProtection="0"/>
    <xf numFmtId="43" fontId="37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49" fontId="21" fillId="34" borderId="10" xfId="0" applyNumberFormat="1" applyFont="1" applyFill="1" applyBorder="1" applyAlignment="1" applyProtection="1">
      <alignment horizontal="center"/>
      <protection locked="0"/>
    </xf>
    <xf numFmtId="0" fontId="21" fillId="34" borderId="10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horizontal="center"/>
      <protection locked="0"/>
    </xf>
    <xf numFmtId="0" fontId="22" fillId="34" borderId="10" xfId="4" applyNumberFormat="1" applyFont="1" applyFill="1" applyBorder="1" applyAlignment="1" applyProtection="1">
      <alignment horizontal="center"/>
      <protection locked="0"/>
    </xf>
    <xf numFmtId="49" fontId="23" fillId="34" borderId="10" xfId="2" applyNumberFormat="1" applyFont="1" applyFill="1" applyBorder="1" applyAlignment="1" applyProtection="1">
      <alignment horizontal="center" vertical="center"/>
      <protection locked="0"/>
    </xf>
    <xf numFmtId="1" fontId="24" fillId="34" borderId="11" xfId="2" applyNumberFormat="1" applyFont="1" applyFill="1" applyBorder="1" applyAlignment="1" applyProtection="1">
      <alignment horizontal="center" vertical="center"/>
      <protection locked="0"/>
    </xf>
    <xf numFmtId="1" fontId="24" fillId="34" borderId="10" xfId="2" applyNumberFormat="1" applyFont="1" applyFill="1" applyBorder="1" applyAlignment="1" applyProtection="1">
      <alignment horizontal="center" vertical="center"/>
      <protection locked="0"/>
    </xf>
    <xf numFmtId="2" fontId="23" fillId="34" borderId="10" xfId="3" applyNumberFormat="1" applyFont="1" applyFill="1" applyBorder="1" applyAlignment="1" applyProtection="1">
      <alignment horizontal="right" vertical="center"/>
      <protection locked="0"/>
    </xf>
    <xf numFmtId="2" fontId="23" fillId="34" borderId="10" xfId="3" applyNumberFormat="1" applyFont="1" applyFill="1" applyBorder="1" applyAlignment="1" applyProtection="1">
      <alignment horizontal="right" vertical="center"/>
    </xf>
    <xf numFmtId="0" fontId="25" fillId="0" borderId="10" xfId="4" applyNumberFormat="1" applyFont="1" applyBorder="1" applyAlignment="1" applyProtection="1">
      <alignment horizontal="center" wrapText="1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34" borderId="10" xfId="2" applyNumberFormat="1" applyFont="1" applyFill="1" applyBorder="1" applyAlignment="1" applyProtection="1">
      <alignment horizontal="center" vertical="center"/>
      <protection locked="0"/>
    </xf>
    <xf numFmtId="0" fontId="22" fillId="0" borderId="10" xfId="4" applyFont="1" applyBorder="1" applyAlignment="1" applyProtection="1">
      <alignment horizontal="center"/>
      <protection locked="0"/>
    </xf>
    <xf numFmtId="0" fontId="22" fillId="0" borderId="10" xfId="5" applyFont="1" applyBorder="1" applyAlignment="1" applyProtection="1">
      <alignment horizontal="center"/>
      <protection locked="0"/>
    </xf>
    <xf numFmtId="0" fontId="22" fillId="34" borderId="10" xfId="5" applyNumberFormat="1" applyFont="1" applyFill="1" applyBorder="1" applyAlignment="1" applyProtection="1">
      <alignment horizontal="center"/>
      <protection locked="0"/>
    </xf>
    <xf numFmtId="0" fontId="25" fillId="0" borderId="10" xfId="4" applyFont="1" applyBorder="1" applyAlignment="1" applyProtection="1">
      <alignment horizontal="center" wrapText="1"/>
      <protection locked="0"/>
    </xf>
    <xf numFmtId="0" fontId="22" fillId="34" borderId="10" xfId="4" applyFont="1" applyFill="1" applyBorder="1" applyAlignment="1" applyProtection="1">
      <alignment horizontal="center"/>
      <protection locked="0"/>
    </xf>
    <xf numFmtId="0" fontId="26" fillId="0" borderId="0" xfId="2" applyFont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horizontal="center" vertical="center"/>
      <protection locked="0"/>
    </xf>
    <xf numFmtId="1" fontId="26" fillId="0" borderId="0" xfId="2" applyNumberFormat="1" applyFont="1" applyBorder="1" applyAlignment="1" applyProtection="1">
      <alignment horizontal="center" vertical="center"/>
      <protection locked="0"/>
    </xf>
    <xf numFmtId="165" fontId="26" fillId="0" borderId="0" xfId="3" applyNumberFormat="1" applyFont="1" applyBorder="1" applyAlignment="1" applyProtection="1">
      <alignment horizontal="center" vertical="center"/>
      <protection locked="0"/>
    </xf>
  </cellXfs>
  <cellStyles count="60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5" xfId="413"/>
    <cellStyle name="Neutra 2" xfId="414"/>
    <cellStyle name="Neutra 3" xfId="415"/>
    <cellStyle name="Normal" xfId="0" builtinId="0"/>
    <cellStyle name="Normal 10" xfId="416"/>
    <cellStyle name="Normal 10 2" xfId="5"/>
    <cellStyle name="Normal 10 3" xfId="417"/>
    <cellStyle name="Normal 11" xfId="418"/>
    <cellStyle name="Normal 11 2" xfId="419"/>
    <cellStyle name="Normal 12" xfId="420"/>
    <cellStyle name="Normal 12 2" xfId="421"/>
    <cellStyle name="Normal 13" xfId="422"/>
    <cellStyle name="Normal 13 2" xfId="423"/>
    <cellStyle name="Normal 14" xfId="424"/>
    <cellStyle name="Normal 14 2" xfId="425"/>
    <cellStyle name="Normal 15" xfId="426"/>
    <cellStyle name="Normal 15 2" xfId="427"/>
    <cellStyle name="Normal 16" xfId="428"/>
    <cellStyle name="Normal 16 2" xfId="429"/>
    <cellStyle name="Normal 17" xfId="430"/>
    <cellStyle name="Normal 17 2" xfId="431"/>
    <cellStyle name="Normal 18" xfId="432"/>
    <cellStyle name="Normal 18 2" xfId="433"/>
    <cellStyle name="Normal 19" xfId="434"/>
    <cellStyle name="Normal 19 2" xfId="435"/>
    <cellStyle name="Normal 2" xfId="436"/>
    <cellStyle name="Normal 2 10" xfId="437"/>
    <cellStyle name="Normal 2 2" xfId="438"/>
    <cellStyle name="Normal 2 2 2" xfId="439"/>
    <cellStyle name="Normal 2 3" xfId="440"/>
    <cellStyle name="Normal 2 3 2" xfId="441"/>
    <cellStyle name="Normal 2 4" xfId="442"/>
    <cellStyle name="Normal 2 4 2" xfId="443"/>
    <cellStyle name="Normal 2 5" xfId="444"/>
    <cellStyle name="Normal 2 5 2" xfId="445"/>
    <cellStyle name="Normal 2 6" xfId="446"/>
    <cellStyle name="Normal 2 6 2" xfId="447"/>
    <cellStyle name="Normal 2 7" xfId="448"/>
    <cellStyle name="Normal 2 7 2" xfId="449"/>
    <cellStyle name="Normal 2 8" xfId="450"/>
    <cellStyle name="Normal 2 8 2" xfId="451"/>
    <cellStyle name="Normal 2 9" xfId="452"/>
    <cellStyle name="Normal 2 9 2" xfId="453"/>
    <cellStyle name="Normal 2 9 3" xfId="454"/>
    <cellStyle name="Normal 2 9 4" xfId="455"/>
    <cellStyle name="Normal 2 9 5" xfId="456"/>
    <cellStyle name="Normal 2 9 6" xfId="457"/>
    <cellStyle name="Normal 2 9 7" xfId="458"/>
    <cellStyle name="Normal 2 9 8" xfId="459"/>
    <cellStyle name="Normal 2 9 9" xfId="460"/>
    <cellStyle name="Normal 20" xfId="461"/>
    <cellStyle name="Normal 21" xfId="462"/>
    <cellStyle name="Normal 22" xfId="463"/>
    <cellStyle name="Normal 23" xfId="464"/>
    <cellStyle name="Normal 24" xfId="465"/>
    <cellStyle name="Normal 25" xfId="466"/>
    <cellStyle name="Normal 26" xfId="467"/>
    <cellStyle name="Normal 27" xfId="468"/>
    <cellStyle name="Normal 28" xfId="469"/>
    <cellStyle name="Normal 29" xfId="470"/>
    <cellStyle name="Normal 3" xfId="471"/>
    <cellStyle name="Normal 30" xfId="472"/>
    <cellStyle name="Normal 31" xfId="473"/>
    <cellStyle name="Normal 32" xfId="474"/>
    <cellStyle name="Normal 33" xfId="475"/>
    <cellStyle name="Normal 34" xfId="476"/>
    <cellStyle name="Normal 35" xfId="477"/>
    <cellStyle name="Normal 35 2" xfId="478"/>
    <cellStyle name="Normal 36" xfId="479"/>
    <cellStyle name="Normal 37" xfId="480"/>
    <cellStyle name="Normal 38" xfId="481"/>
    <cellStyle name="Normal 39" xfId="482"/>
    <cellStyle name="Normal 4" xfId="483"/>
    <cellStyle name="Normal 4 2" xfId="484"/>
    <cellStyle name="Normal 40" xfId="485"/>
    <cellStyle name="Normal 41" xfId="486"/>
    <cellStyle name="Normal 42" xfId="4"/>
    <cellStyle name="Normal 43" xfId="487"/>
    <cellStyle name="Normal 44" xfId="488"/>
    <cellStyle name="Normal 5" xfId="489"/>
    <cellStyle name="Normal 5 2" xfId="490"/>
    <cellStyle name="Normal 5 2 2" xfId="491"/>
    <cellStyle name="Normal 5 3" xfId="492"/>
    <cellStyle name="Normal 6" xfId="493"/>
    <cellStyle name="Normal 6 2" xfId="494"/>
    <cellStyle name="Normal 7" xfId="495"/>
    <cellStyle name="Normal 7 2" xfId="496"/>
    <cellStyle name="Normal 8" xfId="497"/>
    <cellStyle name="Normal 8 2" xfId="498"/>
    <cellStyle name="Normal 9" xfId="499"/>
    <cellStyle name="Normal 9 2" xfId="500"/>
    <cellStyle name="Normal 9 2 2" xfId="501"/>
    <cellStyle name="Normal 9 3" xfId="502"/>
    <cellStyle name="Nota 10" xfId="503"/>
    <cellStyle name="Nota 10 2" xfId="504"/>
    <cellStyle name="Nota 11" xfId="505"/>
    <cellStyle name="Nota 11 2" xfId="506"/>
    <cellStyle name="Nota 12" xfId="507"/>
    <cellStyle name="Nota 13" xfId="508"/>
    <cellStyle name="Nota 14" xfId="509"/>
    <cellStyle name="Nota 15" xfId="510"/>
    <cellStyle name="Nota 16" xfId="511"/>
    <cellStyle name="Nota 17" xfId="512"/>
    <cellStyle name="Nota 18" xfId="513"/>
    <cellStyle name="Nota 19" xfId="514"/>
    <cellStyle name="Nota 2" xfId="515"/>
    <cellStyle name="Nota 2 2" xfId="516"/>
    <cellStyle name="Nota 2 2 2" xfId="517"/>
    <cellStyle name="Nota 2 3" xfId="518"/>
    <cellStyle name="Nota 20" xfId="519"/>
    <cellStyle name="Nota 21" xfId="520"/>
    <cellStyle name="Nota 22" xfId="521"/>
    <cellStyle name="Nota 23" xfId="522"/>
    <cellStyle name="Nota 3" xfId="523"/>
    <cellStyle name="Nota 3 2" xfId="524"/>
    <cellStyle name="Nota 4" xfId="525"/>
    <cellStyle name="Nota 4 2" xfId="526"/>
    <cellStyle name="Nota 5" xfId="527"/>
    <cellStyle name="Nota 5 2" xfId="528"/>
    <cellStyle name="Nota 6" xfId="529"/>
    <cellStyle name="Nota 6 2" xfId="530"/>
    <cellStyle name="Nota 7" xfId="531"/>
    <cellStyle name="Nota 7 2" xfId="532"/>
    <cellStyle name="Nota 8" xfId="533"/>
    <cellStyle name="Nota 8 2" xfId="534"/>
    <cellStyle name="Nota 9" xfId="535"/>
    <cellStyle name="Nota 9 2" xfId="536"/>
    <cellStyle name="Porcentagem 2" xfId="537"/>
    <cellStyle name="Saída 2" xfId="538"/>
    <cellStyle name="Saída 3" xfId="539"/>
    <cellStyle name="Separador de milhares [0] 2" xfId="540"/>
    <cellStyle name="Separador de milhares 2" xfId="541"/>
    <cellStyle name="Separador de milhares 2 2" xfId="542"/>
    <cellStyle name="Separador de milhares 2 2 2" xfId="543"/>
    <cellStyle name="Separador de milhares 2 3" xfId="544"/>
    <cellStyle name="Separador de milhares 2 3 2" xfId="545"/>
    <cellStyle name="Separador de milhares 2 4" xfId="546"/>
    <cellStyle name="Separador de milhares 3" xfId="547"/>
    <cellStyle name="Separador de milhares 3 10" xfId="548"/>
    <cellStyle name="Separador de milhares 3 10 2" xfId="549"/>
    <cellStyle name="Separador de milhares 3 2" xfId="550"/>
    <cellStyle name="Separador de milhares 3 2 2" xfId="551"/>
    <cellStyle name="Separador de milhares 3 3" xfId="552"/>
    <cellStyle name="Separador de milhares 4" xfId="553"/>
    <cellStyle name="Separador de milhares 4 2" xfId="554"/>
    <cellStyle name="Separador de milhares 4 2 2" xfId="555"/>
    <cellStyle name="Separador de milhares 4 3" xfId="556"/>
    <cellStyle name="TableStyleLight1" xfId="2"/>
    <cellStyle name="Texto de Aviso 2" xfId="557"/>
    <cellStyle name="Texto de Aviso 3" xfId="558"/>
    <cellStyle name="Texto Explicativo 2" xfId="559"/>
    <cellStyle name="Texto Explicativo 3" xfId="560"/>
    <cellStyle name="Título 1 2" xfId="561"/>
    <cellStyle name="Título 1 3" xfId="562"/>
    <cellStyle name="Título 2 2" xfId="563"/>
    <cellStyle name="Título 2 3" xfId="564"/>
    <cellStyle name="Título 3 2" xfId="565"/>
    <cellStyle name="Título 3 3" xfId="566"/>
    <cellStyle name="Título 4 2" xfId="567"/>
    <cellStyle name="Título 4 3" xfId="568"/>
    <cellStyle name="Título 5" xfId="569"/>
    <cellStyle name="Título 6" xfId="570"/>
    <cellStyle name="Título 7" xfId="571"/>
    <cellStyle name="Total 2" xfId="572"/>
    <cellStyle name="Total 3" xfId="573"/>
    <cellStyle name="Vírgula" xfId="1" builtinId="3"/>
    <cellStyle name="Vírgula 10" xfId="574"/>
    <cellStyle name="Vírgula 11" xfId="575"/>
    <cellStyle name="Vírgula 12" xfId="576"/>
    <cellStyle name="Vírgula 13" xfId="577"/>
    <cellStyle name="Vírgula 14" xfId="578"/>
    <cellStyle name="Vírgula 15" xfId="579"/>
    <cellStyle name="Vírgula 16" xfId="580"/>
    <cellStyle name="Vírgula 16 2" xfId="581"/>
    <cellStyle name="Vírgula 16 3" xfId="582"/>
    <cellStyle name="Vírgula 17" xfId="583"/>
    <cellStyle name="Vírgula 18" xfId="584"/>
    <cellStyle name="Vírgula 19" xfId="585"/>
    <cellStyle name="Vírgula 2" xfId="586"/>
    <cellStyle name="Vírgula 2 2" xfId="587"/>
    <cellStyle name="Vírgula 20" xfId="588"/>
    <cellStyle name="Vírgula 21" xfId="589"/>
    <cellStyle name="Vírgula 21 2" xfId="590"/>
    <cellStyle name="Vírgula 3" xfId="591"/>
    <cellStyle name="Vírgula 3 2" xfId="592"/>
    <cellStyle name="Vírgula 4" xfId="593"/>
    <cellStyle name="Vírgula 4 2" xfId="3"/>
    <cellStyle name="Vírgula 4 3" xfId="594"/>
    <cellStyle name="Vírgula 5" xfId="595"/>
    <cellStyle name="Vírgula 5 2" xfId="596"/>
    <cellStyle name="Vírgula 6" xfId="597"/>
    <cellStyle name="Vírgula 6 2" xfId="598"/>
    <cellStyle name="Vírgula 7" xfId="599"/>
    <cellStyle name="Vírgula 7 2" xfId="600"/>
    <cellStyle name="Vírgula 8" xfId="601"/>
    <cellStyle name="Vírgula 8 2" xfId="602"/>
    <cellStyle name="Vírgula 9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7.%20PCF%20Julh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Despesa pessoal ANEXO II "/>
      <sheetName val="Demais despesa pesso ANEXO III"/>
      <sheetName val="Despesas gerais ANEXO IV"/>
      <sheetName val="Receitas ANEXO V"/>
      <sheetName val="Demais receitas ANEXO VI"/>
      <sheetName val="Contratos ANEXO VII"/>
      <sheetName val="Termos aditivos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zoomScaleNormal="100" workbookViewId="0">
      <selection activeCell="B19" sqref="B19"/>
    </sheetView>
  </sheetViews>
  <sheetFormatPr defaultRowHeight="15.75" x14ac:dyDescent="0.25"/>
  <cols>
    <col min="1" max="1" width="27.5703125" style="24" customWidth="1"/>
    <col min="2" max="2" width="51.140625" style="24" customWidth="1"/>
    <col min="3" max="3" width="19.5703125" style="24" customWidth="1"/>
    <col min="4" max="4" width="44.140625" style="24" bestFit="1" customWidth="1"/>
    <col min="5" max="5" width="19.140625" style="25" customWidth="1"/>
    <col min="6" max="6" width="13.28515625" style="25" customWidth="1"/>
    <col min="7" max="7" width="13.85546875" style="25" customWidth="1"/>
    <col min="8" max="8" width="20.7109375" style="26" customWidth="1"/>
    <col min="9" max="9" width="20.85546875" style="26" customWidth="1"/>
    <col min="10" max="10" width="14" style="27" bestFit="1" customWidth="1"/>
    <col min="11" max="11" width="12.7109375" style="27" customWidth="1"/>
    <col min="12" max="12" width="11.5703125" style="27" bestFit="1" customWidth="1"/>
    <col min="13" max="13" width="11" style="27" bestFit="1" customWidth="1"/>
    <col min="14" max="14" width="13.7109375" style="27" bestFit="1" customWidth="1"/>
    <col min="15" max="15" width="11" style="27" bestFit="1" customWidth="1"/>
    <col min="16" max="16" width="15.7109375" style="27" bestFit="1" customWidth="1"/>
  </cols>
  <sheetData>
    <row r="1" spans="1:16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x14ac:dyDescent="0.25">
      <c r="A2" s="5" t="s">
        <v>16</v>
      </c>
      <c r="B2" s="6" t="s">
        <v>17</v>
      </c>
      <c r="C2" s="7">
        <v>66832667434</v>
      </c>
      <c r="D2" s="8" t="s">
        <v>18</v>
      </c>
      <c r="E2" s="9">
        <v>2</v>
      </c>
      <c r="F2" s="10" t="s">
        <v>19</v>
      </c>
      <c r="G2" s="11" t="s">
        <v>20</v>
      </c>
      <c r="H2" s="12">
        <v>1</v>
      </c>
      <c r="I2" s="13">
        <v>44</v>
      </c>
      <c r="J2" s="14">
        <v>1212.4000000000001</v>
      </c>
      <c r="K2" s="14">
        <v>0</v>
      </c>
      <c r="L2" s="14">
        <v>0</v>
      </c>
      <c r="M2" s="14">
        <v>209</v>
      </c>
      <c r="N2" s="14">
        <v>0</v>
      </c>
      <c r="O2" s="14">
        <f>112.24+72.74+24.25</f>
        <v>209.23</v>
      </c>
      <c r="P2" s="15">
        <f t="shared" ref="P2:P33" si="0">SUM(J2:N2)-O2</f>
        <v>1212.17</v>
      </c>
    </row>
    <row r="3" spans="1:16" x14ac:dyDescent="0.25">
      <c r="A3" s="5" t="s">
        <v>16</v>
      </c>
      <c r="B3" s="6" t="s">
        <v>17</v>
      </c>
      <c r="C3" s="7" t="s">
        <v>21</v>
      </c>
      <c r="D3" s="8" t="s">
        <v>22</v>
      </c>
      <c r="E3" s="9">
        <v>3</v>
      </c>
      <c r="F3" s="10" t="s">
        <v>23</v>
      </c>
      <c r="G3" s="11" t="s">
        <v>20</v>
      </c>
      <c r="H3" s="12">
        <v>1</v>
      </c>
      <c r="I3" s="13">
        <v>44</v>
      </c>
      <c r="J3" s="14">
        <v>627</v>
      </c>
      <c r="K3" s="14">
        <f>501.6+167.2+752.4+250.8+135.75+203.63</f>
        <v>2011.3799999999997</v>
      </c>
      <c r="L3" s="14">
        <v>0</v>
      </c>
      <c r="M3" s="14">
        <f>125.4+41.8+222.93</f>
        <v>390.13</v>
      </c>
      <c r="N3" s="14">
        <v>0</v>
      </c>
      <c r="O3" s="14">
        <f>20.9+1846.04+113.6+147.01+62.7+165.34</f>
        <v>2355.59</v>
      </c>
      <c r="P3" s="15">
        <f t="shared" si="0"/>
        <v>672.91999999999962</v>
      </c>
    </row>
    <row r="4" spans="1:16" x14ac:dyDescent="0.25">
      <c r="A4" s="5" t="s">
        <v>16</v>
      </c>
      <c r="B4" s="6" t="s">
        <v>17</v>
      </c>
      <c r="C4" s="7">
        <v>13595668480</v>
      </c>
      <c r="D4" s="8" t="s">
        <v>24</v>
      </c>
      <c r="E4" s="9">
        <v>3</v>
      </c>
      <c r="F4" s="16" t="s">
        <v>25</v>
      </c>
      <c r="G4" s="11" t="s">
        <v>20</v>
      </c>
      <c r="H4" s="12">
        <v>1</v>
      </c>
      <c r="I4" s="13">
        <v>44</v>
      </c>
      <c r="J4" s="14">
        <v>1055.93</v>
      </c>
      <c r="K4" s="14">
        <v>0</v>
      </c>
      <c r="L4" s="14">
        <v>0</v>
      </c>
      <c r="M4" s="14">
        <f>209+8.33+56.22</f>
        <v>273.55</v>
      </c>
      <c r="N4" s="14">
        <v>0</v>
      </c>
      <c r="O4" s="14">
        <f>21.12+103.97+63.36</f>
        <v>188.45</v>
      </c>
      <c r="P4" s="15">
        <f t="shared" si="0"/>
        <v>1141.03</v>
      </c>
    </row>
    <row r="5" spans="1:16" x14ac:dyDescent="0.25">
      <c r="A5" s="5" t="s">
        <v>16</v>
      </c>
      <c r="B5" s="6" t="s">
        <v>17</v>
      </c>
      <c r="C5" s="7" t="s">
        <v>26</v>
      </c>
      <c r="D5" s="8" t="s">
        <v>27</v>
      </c>
      <c r="E5" s="9">
        <v>3</v>
      </c>
      <c r="F5" s="10" t="s">
        <v>28</v>
      </c>
      <c r="G5" s="11" t="s">
        <v>20</v>
      </c>
      <c r="H5" s="12">
        <v>2</v>
      </c>
      <c r="I5" s="13">
        <v>44</v>
      </c>
      <c r="J5" s="14">
        <v>3387.62</v>
      </c>
      <c r="K5" s="14">
        <v>0</v>
      </c>
      <c r="L5" s="14">
        <v>0</v>
      </c>
      <c r="M5" s="14">
        <v>209</v>
      </c>
      <c r="N5" s="14">
        <v>0</v>
      </c>
      <c r="O5" s="14">
        <f>67.75+362.46+130.32</f>
        <v>560.53</v>
      </c>
      <c r="P5" s="15">
        <f t="shared" si="0"/>
        <v>3036.09</v>
      </c>
    </row>
    <row r="6" spans="1:16" x14ac:dyDescent="0.25">
      <c r="A6" s="5" t="s">
        <v>16</v>
      </c>
      <c r="B6" s="6" t="s">
        <v>17</v>
      </c>
      <c r="C6" s="7">
        <v>10004995457</v>
      </c>
      <c r="D6" s="8" t="s">
        <v>29</v>
      </c>
      <c r="E6" s="9">
        <v>2</v>
      </c>
      <c r="F6" s="10" t="s">
        <v>30</v>
      </c>
      <c r="G6" s="11" t="s">
        <v>20</v>
      </c>
      <c r="H6" s="12">
        <v>2</v>
      </c>
      <c r="I6" s="13">
        <v>44</v>
      </c>
      <c r="J6" s="14">
        <v>1543.94</v>
      </c>
      <c r="K6" s="14">
        <v>0</v>
      </c>
      <c r="L6" s="14">
        <v>0</v>
      </c>
      <c r="M6" s="14">
        <f>171.55+188.1+26.52+221.01</f>
        <v>607.17999999999995</v>
      </c>
      <c r="N6" s="14">
        <v>0</v>
      </c>
      <c r="O6" s="14">
        <f>2.43+179.76</f>
        <v>182.19</v>
      </c>
      <c r="P6" s="15">
        <f t="shared" si="0"/>
        <v>1968.9299999999998</v>
      </c>
    </row>
    <row r="7" spans="1:16" x14ac:dyDescent="0.25">
      <c r="A7" s="5" t="s">
        <v>16</v>
      </c>
      <c r="B7" s="6" t="s">
        <v>17</v>
      </c>
      <c r="C7" s="7" t="s">
        <v>31</v>
      </c>
      <c r="D7" s="8" t="s">
        <v>32</v>
      </c>
      <c r="E7" s="9">
        <v>2</v>
      </c>
      <c r="F7" s="10" t="s">
        <v>19</v>
      </c>
      <c r="G7" s="11" t="s">
        <v>20</v>
      </c>
      <c r="H7" s="12">
        <v>1</v>
      </c>
      <c r="I7" s="13">
        <v>44</v>
      </c>
      <c r="J7" s="14">
        <v>727.44</v>
      </c>
      <c r="K7" s="14">
        <f>568.56+189.52+852.84+284.28+129.43+194.15</f>
        <v>2218.7800000000002</v>
      </c>
      <c r="L7" s="14">
        <v>0</v>
      </c>
      <c r="M7" s="14">
        <f>125.4+47.22+251.84</f>
        <v>424.46000000000004</v>
      </c>
      <c r="N7" s="14">
        <v>0</v>
      </c>
      <c r="O7" s="14">
        <f>24.25+2030.9+137.11+166.53+187.88</f>
        <v>2546.6700000000005</v>
      </c>
      <c r="P7" s="15">
        <f t="shared" si="0"/>
        <v>824.00999999999976</v>
      </c>
    </row>
    <row r="8" spans="1:16" x14ac:dyDescent="0.25">
      <c r="A8" s="5" t="s">
        <v>16</v>
      </c>
      <c r="B8" s="6" t="s">
        <v>17</v>
      </c>
      <c r="C8" s="7" t="s">
        <v>33</v>
      </c>
      <c r="D8" s="8" t="s">
        <v>34</v>
      </c>
      <c r="E8" s="9">
        <v>2</v>
      </c>
      <c r="F8" s="10" t="s">
        <v>35</v>
      </c>
      <c r="G8" s="11" t="s">
        <v>20</v>
      </c>
      <c r="H8" s="12">
        <v>1</v>
      </c>
      <c r="I8" s="13">
        <v>44</v>
      </c>
      <c r="J8" s="14">
        <v>1218.28</v>
      </c>
      <c r="K8" s="14">
        <f>1137.06+379.02+1705.59+568.53+175.23+262.85</f>
        <v>4228.28</v>
      </c>
      <c r="L8" s="14">
        <v>0</v>
      </c>
      <c r="M8" s="14">
        <f>66.62+355.33+487.32</f>
        <v>909.27</v>
      </c>
      <c r="N8" s="14">
        <v>0</v>
      </c>
      <c r="O8" s="14">
        <f>3622.46+297.86+414.09+154.93+450.89</f>
        <v>4940.2300000000005</v>
      </c>
      <c r="P8" s="15">
        <f t="shared" si="0"/>
        <v>1415.5999999999995</v>
      </c>
    </row>
    <row r="9" spans="1:16" x14ac:dyDescent="0.25">
      <c r="A9" s="5" t="s">
        <v>16</v>
      </c>
      <c r="B9" s="6" t="s">
        <v>17</v>
      </c>
      <c r="C9" s="7" t="s">
        <v>36</v>
      </c>
      <c r="D9" s="8" t="s">
        <v>37</v>
      </c>
      <c r="E9" s="9">
        <v>2</v>
      </c>
      <c r="F9" s="10" t="s">
        <v>19</v>
      </c>
      <c r="G9" s="11" t="s">
        <v>20</v>
      </c>
      <c r="H9" s="12">
        <v>1</v>
      </c>
      <c r="I9" s="13">
        <v>44</v>
      </c>
      <c r="J9" s="14">
        <v>1212.4000000000001</v>
      </c>
      <c r="K9" s="14">
        <v>0</v>
      </c>
      <c r="L9" s="14">
        <v>0</v>
      </c>
      <c r="M9" s="14">
        <f>209+2.34+15.79</f>
        <v>227.13</v>
      </c>
      <c r="N9" s="14">
        <v>0</v>
      </c>
      <c r="O9" s="14">
        <f>24.25+113.87+72.74</f>
        <v>210.86</v>
      </c>
      <c r="P9" s="15">
        <f t="shared" si="0"/>
        <v>1228.67</v>
      </c>
    </row>
    <row r="10" spans="1:16" x14ac:dyDescent="0.25">
      <c r="A10" s="5" t="s">
        <v>16</v>
      </c>
      <c r="B10" s="6" t="s">
        <v>17</v>
      </c>
      <c r="C10" s="7" t="s">
        <v>38</v>
      </c>
      <c r="D10" s="8" t="s">
        <v>39</v>
      </c>
      <c r="E10" s="9">
        <v>3</v>
      </c>
      <c r="F10" s="16" t="s">
        <v>25</v>
      </c>
      <c r="G10" s="11" t="s">
        <v>20</v>
      </c>
      <c r="H10" s="12">
        <v>1</v>
      </c>
      <c r="I10" s="13">
        <v>44</v>
      </c>
      <c r="J10" s="14">
        <v>1055.93</v>
      </c>
      <c r="K10" s="14">
        <v>0</v>
      </c>
      <c r="L10" s="14">
        <v>0</v>
      </c>
      <c r="M10" s="14">
        <f>209</f>
        <v>209</v>
      </c>
      <c r="N10" s="14">
        <v>0</v>
      </c>
      <c r="O10" s="14">
        <f>21.12+98.16</f>
        <v>119.28</v>
      </c>
      <c r="P10" s="15">
        <f t="shared" si="0"/>
        <v>1145.6500000000001</v>
      </c>
    </row>
    <row r="11" spans="1:16" x14ac:dyDescent="0.25">
      <c r="A11" s="5" t="s">
        <v>16</v>
      </c>
      <c r="B11" s="6" t="s">
        <v>17</v>
      </c>
      <c r="C11" s="7">
        <v>88999882420</v>
      </c>
      <c r="D11" s="8" t="s">
        <v>40</v>
      </c>
      <c r="E11" s="9">
        <v>3</v>
      </c>
      <c r="F11" s="16" t="s">
        <v>25</v>
      </c>
      <c r="G11" s="11" t="s">
        <v>20</v>
      </c>
      <c r="H11" s="12">
        <v>1</v>
      </c>
      <c r="I11" s="13">
        <v>44</v>
      </c>
      <c r="J11" s="14">
        <v>1055.93</v>
      </c>
      <c r="K11" s="14">
        <v>0</v>
      </c>
      <c r="L11" s="14">
        <v>0</v>
      </c>
      <c r="M11" s="14">
        <f>209+33.32+224.88</f>
        <v>467.2</v>
      </c>
      <c r="N11" s="14">
        <v>0</v>
      </c>
      <c r="O11" s="14">
        <f>21.12+121.4+63.36</f>
        <v>205.88</v>
      </c>
      <c r="P11" s="15">
        <f t="shared" si="0"/>
        <v>1317.25</v>
      </c>
    </row>
    <row r="12" spans="1:16" x14ac:dyDescent="0.25">
      <c r="A12" s="5" t="s">
        <v>16</v>
      </c>
      <c r="B12" s="6" t="s">
        <v>17</v>
      </c>
      <c r="C12" s="7" t="s">
        <v>41</v>
      </c>
      <c r="D12" s="8" t="s">
        <v>42</v>
      </c>
      <c r="E12" s="9">
        <v>2</v>
      </c>
      <c r="F12" s="10" t="s">
        <v>19</v>
      </c>
      <c r="G12" s="11" t="s">
        <v>20</v>
      </c>
      <c r="H12" s="12">
        <v>1</v>
      </c>
      <c r="I12" s="13">
        <v>44</v>
      </c>
      <c r="J12" s="14">
        <v>1212.4000000000001</v>
      </c>
      <c r="K12" s="14">
        <v>0</v>
      </c>
      <c r="L12" s="14">
        <v>0</v>
      </c>
      <c r="M12" s="14">
        <f>209</f>
        <v>209</v>
      </c>
      <c r="N12" s="14">
        <v>0</v>
      </c>
      <c r="O12" s="14">
        <f>24.25+112.24+72.74</f>
        <v>209.23000000000002</v>
      </c>
      <c r="P12" s="15">
        <f t="shared" si="0"/>
        <v>1212.17</v>
      </c>
    </row>
    <row r="13" spans="1:16" x14ac:dyDescent="0.25">
      <c r="A13" s="5" t="s">
        <v>16</v>
      </c>
      <c r="B13" s="6" t="s">
        <v>17</v>
      </c>
      <c r="C13" s="7" t="s">
        <v>43</v>
      </c>
      <c r="D13" s="17" t="s">
        <v>44</v>
      </c>
      <c r="E13" s="9">
        <v>2</v>
      </c>
      <c r="F13" s="10" t="s">
        <v>19</v>
      </c>
      <c r="G13" s="11" t="s">
        <v>20</v>
      </c>
      <c r="H13" s="12">
        <v>1</v>
      </c>
      <c r="I13" s="13">
        <v>44</v>
      </c>
      <c r="J13" s="14">
        <v>1212.4000000000001</v>
      </c>
      <c r="K13" s="14">
        <v>0</v>
      </c>
      <c r="L13" s="14">
        <v>0</v>
      </c>
      <c r="M13" s="14">
        <f>209+30+202.52</f>
        <v>441.52</v>
      </c>
      <c r="N13" s="14">
        <v>0</v>
      </c>
      <c r="O13" s="14">
        <f>24.25+86.86+125.35+72.74</f>
        <v>309.2</v>
      </c>
      <c r="P13" s="15">
        <f t="shared" si="0"/>
        <v>1344.72</v>
      </c>
    </row>
    <row r="14" spans="1:16" x14ac:dyDescent="0.25">
      <c r="A14" s="5" t="s">
        <v>16</v>
      </c>
      <c r="B14" s="6" t="s">
        <v>17</v>
      </c>
      <c r="C14" s="7" t="s">
        <v>45</v>
      </c>
      <c r="D14" s="8" t="s">
        <v>46</v>
      </c>
      <c r="E14" s="9">
        <v>2</v>
      </c>
      <c r="F14" s="10" t="s">
        <v>19</v>
      </c>
      <c r="G14" s="11" t="s">
        <v>20</v>
      </c>
      <c r="H14" s="12">
        <v>1</v>
      </c>
      <c r="I14" s="13">
        <v>44</v>
      </c>
      <c r="J14" s="14">
        <v>1212.4000000000001</v>
      </c>
      <c r="K14" s="14">
        <v>0</v>
      </c>
      <c r="L14" s="14">
        <v>0</v>
      </c>
      <c r="M14" s="14">
        <f>48.62+209</f>
        <v>257.62</v>
      </c>
      <c r="N14" s="14">
        <v>0</v>
      </c>
      <c r="O14" s="14">
        <f>112.24+72.74+24.25</f>
        <v>209.23</v>
      </c>
      <c r="P14" s="15">
        <f t="shared" si="0"/>
        <v>1260.79</v>
      </c>
    </row>
    <row r="15" spans="1:16" x14ac:dyDescent="0.25">
      <c r="A15" s="5" t="s">
        <v>16</v>
      </c>
      <c r="B15" s="6" t="s">
        <v>17</v>
      </c>
      <c r="C15" s="7" t="s">
        <v>47</v>
      </c>
      <c r="D15" s="8" t="s">
        <v>48</v>
      </c>
      <c r="E15" s="9">
        <v>2</v>
      </c>
      <c r="F15" s="10" t="s">
        <v>35</v>
      </c>
      <c r="G15" s="11" t="s">
        <v>20</v>
      </c>
      <c r="H15" s="12">
        <v>1</v>
      </c>
      <c r="I15" s="13">
        <v>44</v>
      </c>
      <c r="J15" s="14">
        <v>2030.47</v>
      </c>
      <c r="K15" s="14">
        <v>0</v>
      </c>
      <c r="L15" s="14">
        <v>1015.24</v>
      </c>
      <c r="M15" s="14">
        <f>31.59+213.2+812.19</f>
        <v>1056.98</v>
      </c>
      <c r="N15" s="14">
        <v>0</v>
      </c>
      <c r="O15" s="14">
        <f>292.12+66.85</f>
        <v>358.97</v>
      </c>
      <c r="P15" s="15">
        <f t="shared" si="0"/>
        <v>3743.7200000000003</v>
      </c>
    </row>
    <row r="16" spans="1:16" x14ac:dyDescent="0.25">
      <c r="A16" s="5" t="s">
        <v>16</v>
      </c>
      <c r="B16" s="6" t="s">
        <v>17</v>
      </c>
      <c r="C16" s="7" t="s">
        <v>49</v>
      </c>
      <c r="D16" s="8" t="s">
        <v>50</v>
      </c>
      <c r="E16" s="9">
        <v>2</v>
      </c>
      <c r="F16" s="10" t="s">
        <v>30</v>
      </c>
      <c r="G16" s="11" t="s">
        <v>20</v>
      </c>
      <c r="H16" s="12">
        <v>1</v>
      </c>
      <c r="I16" s="13">
        <v>44</v>
      </c>
      <c r="J16" s="14">
        <v>1847.47</v>
      </c>
      <c r="K16" s="14">
        <v>0</v>
      </c>
      <c r="L16" s="14">
        <v>0</v>
      </c>
      <c r="M16" s="14">
        <f>209+54.84+370.16+81.14</f>
        <v>715.14</v>
      </c>
      <c r="N16" s="14">
        <v>0</v>
      </c>
      <c r="O16" s="14">
        <f>2.43+229.14</f>
        <v>231.57</v>
      </c>
      <c r="P16" s="15">
        <f t="shared" si="0"/>
        <v>2331.04</v>
      </c>
    </row>
    <row r="17" spans="1:16" x14ac:dyDescent="0.25">
      <c r="A17" s="5" t="s">
        <v>16</v>
      </c>
      <c r="B17" s="6" t="s">
        <v>17</v>
      </c>
      <c r="C17" s="7" t="s">
        <v>51</v>
      </c>
      <c r="D17" s="8" t="s">
        <v>52</v>
      </c>
      <c r="E17" s="9">
        <v>2</v>
      </c>
      <c r="F17" s="18" t="s">
        <v>53</v>
      </c>
      <c r="G17" s="11" t="s">
        <v>20</v>
      </c>
      <c r="H17" s="12">
        <v>1</v>
      </c>
      <c r="I17" s="13">
        <v>44</v>
      </c>
      <c r="J17" s="14">
        <v>1500</v>
      </c>
      <c r="K17" s="14">
        <v>0</v>
      </c>
      <c r="L17" s="14">
        <v>0</v>
      </c>
      <c r="M17" s="14">
        <v>209</v>
      </c>
      <c r="N17" s="14">
        <v>0</v>
      </c>
      <c r="O17" s="14">
        <v>138.13</v>
      </c>
      <c r="P17" s="15">
        <f t="shared" si="0"/>
        <v>1570.87</v>
      </c>
    </row>
    <row r="18" spans="1:16" x14ac:dyDescent="0.25">
      <c r="A18" s="5" t="s">
        <v>16</v>
      </c>
      <c r="B18" s="6" t="s">
        <v>17</v>
      </c>
      <c r="C18" s="7">
        <v>10283186429</v>
      </c>
      <c r="D18" s="8" t="s">
        <v>54</v>
      </c>
      <c r="E18" s="9">
        <v>2</v>
      </c>
      <c r="F18" s="16" t="s">
        <v>55</v>
      </c>
      <c r="G18" s="11" t="s">
        <v>20</v>
      </c>
      <c r="H18" s="12">
        <v>1</v>
      </c>
      <c r="I18" s="13">
        <v>44</v>
      </c>
      <c r="J18" s="14">
        <v>1208.82</v>
      </c>
      <c r="K18" s="14">
        <v>0</v>
      </c>
      <c r="L18" s="14">
        <v>0</v>
      </c>
      <c r="M18" s="14">
        <f>209+48.62</f>
        <v>257.62</v>
      </c>
      <c r="N18" s="14">
        <v>0</v>
      </c>
      <c r="O18" s="14">
        <f>24.18+111.92+72.53</f>
        <v>208.63</v>
      </c>
      <c r="P18" s="15">
        <f t="shared" si="0"/>
        <v>1257.81</v>
      </c>
    </row>
    <row r="19" spans="1:16" x14ac:dyDescent="0.25">
      <c r="A19" s="5" t="s">
        <v>16</v>
      </c>
      <c r="B19" s="6" t="s">
        <v>17</v>
      </c>
      <c r="C19" s="7" t="s">
        <v>56</v>
      </c>
      <c r="D19" s="17" t="s">
        <v>57</v>
      </c>
      <c r="E19" s="9">
        <v>2</v>
      </c>
      <c r="F19" s="16" t="s">
        <v>55</v>
      </c>
      <c r="G19" s="11" t="s">
        <v>20</v>
      </c>
      <c r="H19" s="12">
        <v>1</v>
      </c>
      <c r="I19" s="13">
        <v>44</v>
      </c>
      <c r="J19" s="14">
        <v>1208.82</v>
      </c>
      <c r="K19" s="14">
        <v>0</v>
      </c>
      <c r="L19" s="14">
        <v>0</v>
      </c>
      <c r="M19" s="14">
        <f>209+4.67+31.51</f>
        <v>245.17999999999998</v>
      </c>
      <c r="N19" s="14">
        <v>0</v>
      </c>
      <c r="O19" s="14">
        <f>24.18+115.18+72.53</f>
        <v>211.89000000000001</v>
      </c>
      <c r="P19" s="15">
        <f t="shared" si="0"/>
        <v>1242.1099999999999</v>
      </c>
    </row>
    <row r="20" spans="1:16" x14ac:dyDescent="0.25">
      <c r="A20" s="5" t="s">
        <v>16</v>
      </c>
      <c r="B20" s="6" t="s">
        <v>17</v>
      </c>
      <c r="C20" s="7" t="s">
        <v>58</v>
      </c>
      <c r="D20" s="8" t="s">
        <v>59</v>
      </c>
      <c r="E20" s="9">
        <v>3</v>
      </c>
      <c r="F20" s="19" t="s">
        <v>60</v>
      </c>
      <c r="G20" s="11" t="s">
        <v>20</v>
      </c>
      <c r="H20" s="12">
        <v>1</v>
      </c>
      <c r="I20" s="13">
        <v>44</v>
      </c>
      <c r="J20" s="14">
        <v>1045</v>
      </c>
      <c r="K20" s="14">
        <v>0</v>
      </c>
      <c r="L20" s="14">
        <v>0</v>
      </c>
      <c r="M20" s="14">
        <f>209+30.96+209</f>
        <v>448.96000000000004</v>
      </c>
      <c r="N20" s="14">
        <v>0</v>
      </c>
      <c r="O20" s="14">
        <f>20.9+118.77</f>
        <v>139.66999999999999</v>
      </c>
      <c r="P20" s="15">
        <f t="shared" si="0"/>
        <v>1354.29</v>
      </c>
    </row>
    <row r="21" spans="1:16" x14ac:dyDescent="0.25">
      <c r="A21" s="5" t="s">
        <v>16</v>
      </c>
      <c r="B21" s="6" t="s">
        <v>17</v>
      </c>
      <c r="C21" s="7">
        <v>70178717401</v>
      </c>
      <c r="D21" s="8" t="s">
        <v>61</v>
      </c>
      <c r="E21" s="9">
        <v>3</v>
      </c>
      <c r="F21" s="19" t="s">
        <v>60</v>
      </c>
      <c r="G21" s="11" t="s">
        <v>20</v>
      </c>
      <c r="H21" s="12">
        <v>1</v>
      </c>
      <c r="I21" s="13">
        <v>44</v>
      </c>
      <c r="J21" s="14">
        <v>1045</v>
      </c>
      <c r="K21" s="14">
        <v>0</v>
      </c>
      <c r="L21" s="14">
        <v>0</v>
      </c>
      <c r="M21" s="14">
        <f>48.62+209+64+10.32+69.67</f>
        <v>401.61</v>
      </c>
      <c r="N21" s="14">
        <v>0</v>
      </c>
      <c r="O21" s="14">
        <f>20.9+104.37+62.7</f>
        <v>187.97000000000003</v>
      </c>
      <c r="P21" s="15">
        <f t="shared" si="0"/>
        <v>1258.6400000000001</v>
      </c>
    </row>
    <row r="22" spans="1:16" x14ac:dyDescent="0.25">
      <c r="A22" s="5" t="s">
        <v>16</v>
      </c>
      <c r="B22" s="6" t="s">
        <v>17</v>
      </c>
      <c r="C22" s="7">
        <v>76801144472</v>
      </c>
      <c r="D22" s="8" t="s">
        <v>62</v>
      </c>
      <c r="E22" s="9">
        <v>3</v>
      </c>
      <c r="F22" s="10" t="s">
        <v>63</v>
      </c>
      <c r="G22" s="11" t="s">
        <v>20</v>
      </c>
      <c r="H22" s="12">
        <v>1</v>
      </c>
      <c r="I22" s="13">
        <v>44</v>
      </c>
      <c r="J22" s="14">
        <v>1045</v>
      </c>
      <c r="K22" s="14">
        <v>0</v>
      </c>
      <c r="L22" s="14">
        <v>0</v>
      </c>
      <c r="M22" s="14">
        <f>209+26.27+177.32</f>
        <v>412.59000000000003</v>
      </c>
      <c r="N22" s="14">
        <v>0</v>
      </c>
      <c r="O22" s="14">
        <f>20.9+115.5+62.7</f>
        <v>199.10000000000002</v>
      </c>
      <c r="P22" s="15">
        <f t="shared" si="0"/>
        <v>1258.4900000000002</v>
      </c>
    </row>
    <row r="23" spans="1:16" x14ac:dyDescent="0.25">
      <c r="A23" s="5" t="s">
        <v>16</v>
      </c>
      <c r="B23" s="6" t="s">
        <v>17</v>
      </c>
      <c r="C23" s="7" t="s">
        <v>64</v>
      </c>
      <c r="D23" s="17" t="s">
        <v>65</v>
      </c>
      <c r="E23" s="9">
        <v>2</v>
      </c>
      <c r="F23" s="10" t="s">
        <v>19</v>
      </c>
      <c r="G23" s="11" t="s">
        <v>20</v>
      </c>
      <c r="H23" s="12">
        <v>1</v>
      </c>
      <c r="I23" s="13">
        <v>44</v>
      </c>
      <c r="J23" s="14">
        <v>1212.4000000000001</v>
      </c>
      <c r="K23" s="14">
        <v>0</v>
      </c>
      <c r="L23" s="14">
        <v>0</v>
      </c>
      <c r="M23" s="14">
        <f>209</f>
        <v>209</v>
      </c>
      <c r="N23" s="14">
        <v>0</v>
      </c>
      <c r="O23" s="14">
        <f>112.24+72.74+24.25</f>
        <v>209.23</v>
      </c>
      <c r="P23" s="15">
        <f t="shared" si="0"/>
        <v>1212.17</v>
      </c>
    </row>
    <row r="24" spans="1:16" x14ac:dyDescent="0.25">
      <c r="A24" s="5" t="s">
        <v>16</v>
      </c>
      <c r="B24" s="6" t="s">
        <v>17</v>
      </c>
      <c r="C24" s="7" t="s">
        <v>66</v>
      </c>
      <c r="D24" s="8" t="s">
        <v>67</v>
      </c>
      <c r="E24" s="9">
        <v>3</v>
      </c>
      <c r="F24" s="16" t="s">
        <v>68</v>
      </c>
      <c r="G24" s="11" t="s">
        <v>20</v>
      </c>
      <c r="H24" s="12">
        <v>1</v>
      </c>
      <c r="I24" s="13">
        <v>44</v>
      </c>
      <c r="J24" s="14">
        <v>1254.55</v>
      </c>
      <c r="K24" s="14">
        <v>0</v>
      </c>
      <c r="L24" s="14">
        <v>0</v>
      </c>
      <c r="M24" s="14">
        <f>209+2.41+16.26</f>
        <v>227.67</v>
      </c>
      <c r="N24" s="14">
        <v>0</v>
      </c>
      <c r="O24" s="14">
        <f>25.09+117.71</f>
        <v>142.79999999999998</v>
      </c>
      <c r="P24" s="15">
        <f t="shared" si="0"/>
        <v>1339.42</v>
      </c>
    </row>
    <row r="25" spans="1:16" x14ac:dyDescent="0.25">
      <c r="A25" s="5" t="s">
        <v>16</v>
      </c>
      <c r="B25" s="6" t="s">
        <v>17</v>
      </c>
      <c r="C25" s="7" t="s">
        <v>69</v>
      </c>
      <c r="D25" s="8" t="s">
        <v>70</v>
      </c>
      <c r="E25" s="9">
        <v>3</v>
      </c>
      <c r="F25" s="16" t="s">
        <v>71</v>
      </c>
      <c r="G25" s="11" t="s">
        <v>20</v>
      </c>
      <c r="H25" s="12">
        <v>2</v>
      </c>
      <c r="I25" s="13">
        <v>44</v>
      </c>
      <c r="J25" s="14">
        <v>3000</v>
      </c>
      <c r="K25" s="14">
        <v>0</v>
      </c>
      <c r="L25" s="14">
        <v>0</v>
      </c>
      <c r="M25" s="14">
        <f>209</f>
        <v>209</v>
      </c>
      <c r="N25" s="14">
        <v>0</v>
      </c>
      <c r="O25" s="14">
        <f>308.19+60+80.32</f>
        <v>448.51</v>
      </c>
      <c r="P25" s="15">
        <f t="shared" si="0"/>
        <v>2760.49</v>
      </c>
    </row>
    <row r="26" spans="1:16" x14ac:dyDescent="0.25">
      <c r="A26" s="5" t="s">
        <v>16</v>
      </c>
      <c r="B26" s="6" t="s">
        <v>17</v>
      </c>
      <c r="C26" s="7">
        <v>78272203472</v>
      </c>
      <c r="D26" s="8" t="s">
        <v>72</v>
      </c>
      <c r="E26" s="9">
        <v>3</v>
      </c>
      <c r="F26" s="16" t="s">
        <v>68</v>
      </c>
      <c r="G26" s="11" t="s">
        <v>20</v>
      </c>
      <c r="H26" s="12">
        <v>1</v>
      </c>
      <c r="I26" s="13">
        <v>44</v>
      </c>
      <c r="J26" s="14">
        <v>1254.55</v>
      </c>
      <c r="K26" s="14">
        <v>0</v>
      </c>
      <c r="L26" s="14">
        <v>0</v>
      </c>
      <c r="M26" s="14">
        <f>209</f>
        <v>209</v>
      </c>
      <c r="N26" s="14">
        <v>0</v>
      </c>
      <c r="O26" s="14">
        <f>25.09+116.03</f>
        <v>141.12</v>
      </c>
      <c r="P26" s="15">
        <f t="shared" si="0"/>
        <v>1322.4299999999998</v>
      </c>
    </row>
    <row r="27" spans="1:16" x14ac:dyDescent="0.25">
      <c r="A27" s="5" t="s">
        <v>16</v>
      </c>
      <c r="B27" s="6" t="s">
        <v>17</v>
      </c>
      <c r="C27" s="7">
        <v>65002938434</v>
      </c>
      <c r="D27" s="8" t="s">
        <v>73</v>
      </c>
      <c r="E27" s="9">
        <v>2</v>
      </c>
      <c r="F27" s="16" t="s">
        <v>74</v>
      </c>
      <c r="G27" s="11" t="s">
        <v>20</v>
      </c>
      <c r="H27" s="12">
        <v>1</v>
      </c>
      <c r="I27" s="13">
        <v>44</v>
      </c>
      <c r="J27" s="14">
        <v>3132.6</v>
      </c>
      <c r="K27" s="14">
        <v>0</v>
      </c>
      <c r="L27" s="14">
        <v>0</v>
      </c>
      <c r="M27" s="14">
        <v>209</v>
      </c>
      <c r="N27" s="14">
        <v>0</v>
      </c>
      <c r="O27" s="14">
        <f>14.92+326.75+69.09</f>
        <v>410.76</v>
      </c>
      <c r="P27" s="15">
        <f t="shared" si="0"/>
        <v>2930.84</v>
      </c>
    </row>
    <row r="28" spans="1:16" x14ac:dyDescent="0.25">
      <c r="A28" s="5" t="s">
        <v>16</v>
      </c>
      <c r="B28" s="6" t="s">
        <v>17</v>
      </c>
      <c r="C28" s="7" t="s">
        <v>75</v>
      </c>
      <c r="D28" s="8" t="s">
        <v>76</v>
      </c>
      <c r="E28" s="9">
        <v>2</v>
      </c>
      <c r="F28" s="10" t="s">
        <v>30</v>
      </c>
      <c r="G28" s="11" t="s">
        <v>20</v>
      </c>
      <c r="H28" s="12">
        <v>1</v>
      </c>
      <c r="I28" s="13">
        <v>44</v>
      </c>
      <c r="J28" s="14">
        <v>1715.49</v>
      </c>
      <c r="K28" s="14">
        <v>0</v>
      </c>
      <c r="L28" s="14">
        <v>0</v>
      </c>
      <c r="M28" s="14">
        <v>209</v>
      </c>
      <c r="N28" s="14">
        <v>0</v>
      </c>
      <c r="O28" s="14">
        <f>157.52+2.43</f>
        <v>159.95000000000002</v>
      </c>
      <c r="P28" s="15">
        <f t="shared" si="0"/>
        <v>1764.54</v>
      </c>
    </row>
    <row r="29" spans="1:16" x14ac:dyDescent="0.25">
      <c r="A29" s="5" t="s">
        <v>16</v>
      </c>
      <c r="B29" s="6" t="s">
        <v>17</v>
      </c>
      <c r="C29" s="7">
        <v>84767812453</v>
      </c>
      <c r="D29" s="17" t="s">
        <v>77</v>
      </c>
      <c r="E29" s="9">
        <v>3</v>
      </c>
      <c r="F29" s="16" t="s">
        <v>78</v>
      </c>
      <c r="G29" s="11" t="s">
        <v>20</v>
      </c>
      <c r="H29" s="12">
        <v>1</v>
      </c>
      <c r="I29" s="13">
        <v>44</v>
      </c>
      <c r="J29" s="14">
        <v>1892.07</v>
      </c>
      <c r="K29" s="14">
        <v>0</v>
      </c>
      <c r="L29" s="14">
        <v>0</v>
      </c>
      <c r="M29" s="14">
        <v>209</v>
      </c>
      <c r="N29" s="14">
        <v>0</v>
      </c>
      <c r="O29" s="14">
        <f>37.84+173.75</f>
        <v>211.59</v>
      </c>
      <c r="P29" s="15">
        <f t="shared" si="0"/>
        <v>1889.4799999999998</v>
      </c>
    </row>
    <row r="30" spans="1:16" x14ac:dyDescent="0.25">
      <c r="A30" s="5" t="s">
        <v>16</v>
      </c>
      <c r="B30" s="6" t="s">
        <v>17</v>
      </c>
      <c r="C30" s="7">
        <v>77118162434</v>
      </c>
      <c r="D30" s="8" t="s">
        <v>79</v>
      </c>
      <c r="E30" s="9">
        <v>2</v>
      </c>
      <c r="F30" s="10" t="s">
        <v>30</v>
      </c>
      <c r="G30" s="11" t="s">
        <v>20</v>
      </c>
      <c r="H30" s="12">
        <v>1</v>
      </c>
      <c r="I30" s="13">
        <v>44</v>
      </c>
      <c r="J30" s="14">
        <v>1715.49</v>
      </c>
      <c r="K30" s="14">
        <v>0</v>
      </c>
      <c r="L30" s="14">
        <v>0</v>
      </c>
      <c r="M30" s="14">
        <f>209+5.7+38.49+81.14</f>
        <v>334.33</v>
      </c>
      <c r="N30" s="14">
        <v>0</v>
      </c>
      <c r="O30" s="14">
        <f>2.43+168.8</f>
        <v>171.23000000000002</v>
      </c>
      <c r="P30" s="15">
        <f t="shared" si="0"/>
        <v>1878.5900000000001</v>
      </c>
    </row>
    <row r="31" spans="1:16" x14ac:dyDescent="0.25">
      <c r="A31" s="5" t="s">
        <v>16</v>
      </c>
      <c r="B31" s="6" t="s">
        <v>17</v>
      </c>
      <c r="C31" s="7" t="s">
        <v>80</v>
      </c>
      <c r="D31" s="8" t="s">
        <v>81</v>
      </c>
      <c r="E31" s="9">
        <v>3</v>
      </c>
      <c r="F31" s="16" t="s">
        <v>68</v>
      </c>
      <c r="G31" s="11" t="s">
        <v>20</v>
      </c>
      <c r="H31" s="12">
        <v>1</v>
      </c>
      <c r="I31" s="13">
        <v>44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0</v>
      </c>
    </row>
    <row r="32" spans="1:16" x14ac:dyDescent="0.25">
      <c r="A32" s="5" t="s">
        <v>16</v>
      </c>
      <c r="B32" s="6" t="s">
        <v>17</v>
      </c>
      <c r="C32" s="7">
        <v>62012720463</v>
      </c>
      <c r="D32" s="8" t="s">
        <v>82</v>
      </c>
      <c r="E32" s="9">
        <v>3</v>
      </c>
      <c r="F32" s="16" t="s">
        <v>78</v>
      </c>
      <c r="G32" s="11" t="s">
        <v>20</v>
      </c>
      <c r="H32" s="12">
        <v>1</v>
      </c>
      <c r="I32" s="13">
        <v>44</v>
      </c>
      <c r="J32" s="14">
        <v>1892.07</v>
      </c>
      <c r="K32" s="14">
        <v>0</v>
      </c>
      <c r="L32" s="14">
        <v>0</v>
      </c>
      <c r="M32" s="14">
        <v>209</v>
      </c>
      <c r="N32" s="14">
        <v>0</v>
      </c>
      <c r="O32" s="14">
        <f>37.84+173.75</f>
        <v>211.59</v>
      </c>
      <c r="P32" s="15">
        <f t="shared" si="0"/>
        <v>1889.4799999999998</v>
      </c>
    </row>
    <row r="33" spans="1:16" x14ac:dyDescent="0.25">
      <c r="A33" s="5" t="s">
        <v>16</v>
      </c>
      <c r="B33" s="6" t="s">
        <v>17</v>
      </c>
      <c r="C33" s="7" t="s">
        <v>83</v>
      </c>
      <c r="D33" s="17" t="s">
        <v>84</v>
      </c>
      <c r="E33" s="9">
        <v>3</v>
      </c>
      <c r="F33" s="20" t="s">
        <v>85</v>
      </c>
      <c r="G33" s="11" t="s">
        <v>20</v>
      </c>
      <c r="H33" s="12">
        <v>2</v>
      </c>
      <c r="I33" s="13">
        <v>44</v>
      </c>
      <c r="J33" s="14">
        <v>1262.93</v>
      </c>
      <c r="K33" s="14">
        <v>0</v>
      </c>
      <c r="L33" s="14">
        <v>0</v>
      </c>
      <c r="M33" s="14">
        <v>209</v>
      </c>
      <c r="N33" s="14">
        <v>0</v>
      </c>
      <c r="O33" s="14">
        <f>25.26+116.79</f>
        <v>142.05000000000001</v>
      </c>
      <c r="P33" s="15">
        <f t="shared" si="0"/>
        <v>1329.88</v>
      </c>
    </row>
    <row r="34" spans="1:16" x14ac:dyDescent="0.25">
      <c r="A34" s="5" t="s">
        <v>16</v>
      </c>
      <c r="B34" s="6" t="s">
        <v>17</v>
      </c>
      <c r="C34" s="7" t="s">
        <v>86</v>
      </c>
      <c r="D34" s="8" t="s">
        <v>87</v>
      </c>
      <c r="E34" s="9">
        <v>2</v>
      </c>
      <c r="F34" s="10" t="s">
        <v>19</v>
      </c>
      <c r="G34" s="11" t="s">
        <v>20</v>
      </c>
      <c r="H34" s="12">
        <v>1</v>
      </c>
      <c r="I34" s="13">
        <v>44</v>
      </c>
      <c r="J34" s="14">
        <v>1212.4000000000001</v>
      </c>
      <c r="K34" s="14">
        <v>0</v>
      </c>
      <c r="L34" s="14">
        <v>0</v>
      </c>
      <c r="M34" s="14">
        <f>209+48.62+64</f>
        <v>321.62</v>
      </c>
      <c r="N34" s="14">
        <v>0</v>
      </c>
      <c r="O34" s="14">
        <f>72.74+112.24+24.25</f>
        <v>209.23</v>
      </c>
      <c r="P34" s="15">
        <f t="shared" ref="P34:P65" si="1">SUM(J34:N34)-O34</f>
        <v>1324.79</v>
      </c>
    </row>
    <row r="35" spans="1:16" x14ac:dyDescent="0.25">
      <c r="A35" s="5" t="s">
        <v>16</v>
      </c>
      <c r="B35" s="6" t="s">
        <v>17</v>
      </c>
      <c r="C35" s="7" t="s">
        <v>88</v>
      </c>
      <c r="D35" s="8" t="s">
        <v>89</v>
      </c>
      <c r="E35" s="9">
        <v>2</v>
      </c>
      <c r="F35" s="10" t="s">
        <v>19</v>
      </c>
      <c r="G35" s="11" t="s">
        <v>20</v>
      </c>
      <c r="H35" s="12">
        <v>1</v>
      </c>
      <c r="I35" s="13">
        <v>44</v>
      </c>
      <c r="J35" s="14">
        <v>1212.4000000000001</v>
      </c>
      <c r="K35" s="14">
        <v>0</v>
      </c>
      <c r="L35" s="14">
        <v>0</v>
      </c>
      <c r="M35" s="14">
        <f>209+39.78+268.49</f>
        <v>517.27</v>
      </c>
      <c r="N35" s="14">
        <v>0</v>
      </c>
      <c r="O35" s="14">
        <f>24.25+139.99</f>
        <v>164.24</v>
      </c>
      <c r="P35" s="15">
        <f t="shared" si="1"/>
        <v>1565.43</v>
      </c>
    </row>
    <row r="36" spans="1:16" x14ac:dyDescent="0.25">
      <c r="A36" s="5" t="s">
        <v>16</v>
      </c>
      <c r="B36" s="6" t="s">
        <v>17</v>
      </c>
      <c r="C36" s="7" t="s">
        <v>90</v>
      </c>
      <c r="D36" s="17" t="s">
        <v>91</v>
      </c>
      <c r="E36" s="9">
        <v>3</v>
      </c>
      <c r="F36" s="10" t="s">
        <v>63</v>
      </c>
      <c r="G36" s="11" t="s">
        <v>20</v>
      </c>
      <c r="H36" s="12">
        <v>1</v>
      </c>
      <c r="I36" s="13">
        <v>44</v>
      </c>
      <c r="J36" s="14">
        <v>801.17</v>
      </c>
      <c r="K36" s="14">
        <v>0</v>
      </c>
      <c r="L36" s="14">
        <v>0</v>
      </c>
      <c r="M36" s="14">
        <f>243.83+160.24+29.86+209</f>
        <v>642.93000000000006</v>
      </c>
      <c r="N36" s="14">
        <v>0</v>
      </c>
      <c r="O36" s="14">
        <f>20.9+114.28</f>
        <v>135.18</v>
      </c>
      <c r="P36" s="15">
        <f t="shared" si="1"/>
        <v>1308.9199999999998</v>
      </c>
    </row>
    <row r="37" spans="1:16" x14ac:dyDescent="0.25">
      <c r="A37" s="5" t="s">
        <v>16</v>
      </c>
      <c r="B37" s="6" t="s">
        <v>17</v>
      </c>
      <c r="C37" s="7">
        <v>85625752400</v>
      </c>
      <c r="D37" s="8" t="s">
        <v>92</v>
      </c>
      <c r="E37" s="9">
        <v>2</v>
      </c>
      <c r="F37" s="10" t="s">
        <v>19</v>
      </c>
      <c r="G37" s="11" t="s">
        <v>20</v>
      </c>
      <c r="H37" s="12">
        <v>1</v>
      </c>
      <c r="I37" s="13">
        <v>44</v>
      </c>
      <c r="J37" s="14">
        <v>1212.4000000000001</v>
      </c>
      <c r="K37" s="14">
        <v>0</v>
      </c>
      <c r="L37" s="14">
        <v>0</v>
      </c>
      <c r="M37" s="14">
        <v>209</v>
      </c>
      <c r="N37" s="14">
        <v>0</v>
      </c>
      <c r="O37" s="14">
        <f>24.25+86.86+104.42</f>
        <v>215.53</v>
      </c>
      <c r="P37" s="15">
        <f t="shared" si="1"/>
        <v>1205.8700000000001</v>
      </c>
    </row>
    <row r="38" spans="1:16" x14ac:dyDescent="0.25">
      <c r="A38" s="5" t="s">
        <v>16</v>
      </c>
      <c r="B38" s="6" t="s">
        <v>17</v>
      </c>
      <c r="C38" s="7" t="s">
        <v>93</v>
      </c>
      <c r="D38" s="8" t="s">
        <v>94</v>
      </c>
      <c r="E38" s="9">
        <v>2</v>
      </c>
      <c r="F38" s="10" t="s">
        <v>19</v>
      </c>
      <c r="G38" s="11" t="s">
        <v>20</v>
      </c>
      <c r="H38" s="12">
        <v>1</v>
      </c>
      <c r="I38" s="13">
        <v>44</v>
      </c>
      <c r="J38" s="14">
        <v>1212.4000000000001</v>
      </c>
      <c r="K38" s="14">
        <v>0</v>
      </c>
      <c r="L38" s="14">
        <v>0</v>
      </c>
      <c r="M38" s="14">
        <f>209+39.78+268.49</f>
        <v>517.27</v>
      </c>
      <c r="N38" s="14">
        <v>0</v>
      </c>
      <c r="O38" s="14">
        <f>24.25+139.99+72.74</f>
        <v>236.98000000000002</v>
      </c>
      <c r="P38" s="15">
        <f t="shared" si="1"/>
        <v>1492.69</v>
      </c>
    </row>
    <row r="39" spans="1:16" x14ac:dyDescent="0.25">
      <c r="A39" s="5" t="s">
        <v>16</v>
      </c>
      <c r="B39" s="6" t="s">
        <v>17</v>
      </c>
      <c r="C39" s="7" t="s">
        <v>95</v>
      </c>
      <c r="D39" s="8" t="s">
        <v>96</v>
      </c>
      <c r="E39" s="9">
        <v>2</v>
      </c>
      <c r="F39" s="10" t="s">
        <v>19</v>
      </c>
      <c r="G39" s="11" t="s">
        <v>20</v>
      </c>
      <c r="H39" s="12">
        <v>1</v>
      </c>
      <c r="I39" s="13">
        <v>44</v>
      </c>
      <c r="J39" s="14">
        <v>1212.4000000000001</v>
      </c>
      <c r="K39" s="14">
        <v>0</v>
      </c>
      <c r="L39" s="14">
        <v>0</v>
      </c>
      <c r="M39" s="14">
        <f>209+37.44+252.69</f>
        <v>499.13</v>
      </c>
      <c r="N39" s="14">
        <v>0</v>
      </c>
      <c r="O39" s="14">
        <f>24.25+138.35+72.74</f>
        <v>235.33999999999997</v>
      </c>
      <c r="P39" s="15">
        <f t="shared" si="1"/>
        <v>1476.1900000000003</v>
      </c>
    </row>
    <row r="40" spans="1:16" x14ac:dyDescent="0.25">
      <c r="A40" s="5" t="s">
        <v>16</v>
      </c>
      <c r="B40" s="6" t="s">
        <v>17</v>
      </c>
      <c r="C40" s="7" t="s">
        <v>97</v>
      </c>
      <c r="D40" s="8" t="s">
        <v>98</v>
      </c>
      <c r="E40" s="9">
        <v>3</v>
      </c>
      <c r="F40" s="16" t="s">
        <v>99</v>
      </c>
      <c r="G40" s="11" t="s">
        <v>20</v>
      </c>
      <c r="H40" s="12">
        <v>1</v>
      </c>
      <c r="I40" s="13">
        <v>44</v>
      </c>
      <c r="J40" s="14">
        <v>1045</v>
      </c>
      <c r="K40" s="14">
        <v>0</v>
      </c>
      <c r="L40" s="14">
        <v>0</v>
      </c>
      <c r="M40" s="14">
        <f>209+64</f>
        <v>273</v>
      </c>
      <c r="N40" s="14">
        <v>0</v>
      </c>
      <c r="O40" s="14">
        <f>20.9+97.18</f>
        <v>118.08000000000001</v>
      </c>
      <c r="P40" s="15">
        <f t="shared" si="1"/>
        <v>1199.92</v>
      </c>
    </row>
    <row r="41" spans="1:16" x14ac:dyDescent="0.25">
      <c r="A41" s="5" t="s">
        <v>16</v>
      </c>
      <c r="B41" s="6" t="s">
        <v>17</v>
      </c>
      <c r="C41" s="7" t="s">
        <v>100</v>
      </c>
      <c r="D41" s="8" t="s">
        <v>101</v>
      </c>
      <c r="E41" s="9">
        <v>3</v>
      </c>
      <c r="F41" s="19" t="s">
        <v>60</v>
      </c>
      <c r="G41" s="11" t="s">
        <v>20</v>
      </c>
      <c r="H41" s="12">
        <v>1</v>
      </c>
      <c r="I41" s="13">
        <v>44</v>
      </c>
      <c r="J41" s="14">
        <v>1045</v>
      </c>
      <c r="K41" s="14">
        <v>0</v>
      </c>
      <c r="L41" s="14">
        <v>0</v>
      </c>
      <c r="M41" s="14">
        <f>48.62+209+6.19+41.8</f>
        <v>305.61</v>
      </c>
      <c r="N41" s="14">
        <v>0</v>
      </c>
      <c r="O41" s="14">
        <f>20.9+101.49+62.7</f>
        <v>185.08999999999997</v>
      </c>
      <c r="P41" s="15">
        <f t="shared" si="1"/>
        <v>1165.5200000000002</v>
      </c>
    </row>
    <row r="42" spans="1:16" x14ac:dyDescent="0.25">
      <c r="A42" s="5" t="s">
        <v>16</v>
      </c>
      <c r="B42" s="6" t="s">
        <v>17</v>
      </c>
      <c r="C42" s="7" t="s">
        <v>102</v>
      </c>
      <c r="D42" s="8" t="s">
        <v>103</v>
      </c>
      <c r="E42" s="9">
        <v>3</v>
      </c>
      <c r="F42" s="16" t="s">
        <v>99</v>
      </c>
      <c r="G42" s="11" t="s">
        <v>20</v>
      </c>
      <c r="H42" s="12">
        <v>1</v>
      </c>
      <c r="I42" s="13">
        <v>44</v>
      </c>
      <c r="J42" s="14">
        <v>627</v>
      </c>
      <c r="K42" s="14">
        <f>501.6+167.2+752.4+250.8+131.35+197.01</f>
        <v>2000.3599999999997</v>
      </c>
      <c r="L42" s="14">
        <v>0</v>
      </c>
      <c r="M42" s="14">
        <f>125.4+39.19+209</f>
        <v>373.59000000000003</v>
      </c>
      <c r="N42" s="14">
        <v>0</v>
      </c>
      <c r="O42" s="14">
        <f>20.9+1836.01+111.48+146.62+62.7+164.35</f>
        <v>2342.06</v>
      </c>
      <c r="P42" s="15">
        <f t="shared" si="1"/>
        <v>658.88999999999987</v>
      </c>
    </row>
    <row r="43" spans="1:16" x14ac:dyDescent="0.25">
      <c r="A43" s="5" t="s">
        <v>16</v>
      </c>
      <c r="B43" s="6" t="s">
        <v>17</v>
      </c>
      <c r="C43" s="7" t="s">
        <v>104</v>
      </c>
      <c r="D43" s="8" t="s">
        <v>105</v>
      </c>
      <c r="E43" s="9">
        <v>2</v>
      </c>
      <c r="F43" s="10" t="s">
        <v>30</v>
      </c>
      <c r="G43" s="11" t="s">
        <v>20</v>
      </c>
      <c r="H43" s="12">
        <v>1</v>
      </c>
      <c r="I43" s="13">
        <v>44</v>
      </c>
      <c r="J43" s="14">
        <v>1108.48</v>
      </c>
      <c r="K43" s="14">
        <f>822.59+274.2+1233.88+411.29+214.48+321.72</f>
        <v>3278.16</v>
      </c>
      <c r="L43" s="14">
        <v>0</v>
      </c>
      <c r="M43" s="14">
        <f>125.4+100+61.03+325.5+81.14</f>
        <v>693.07</v>
      </c>
      <c r="N43" s="14">
        <v>0</v>
      </c>
      <c r="O43" s="14">
        <f>2.43+2909.51+234.65+276.4+50.78+317.87</f>
        <v>3791.6400000000003</v>
      </c>
      <c r="P43" s="15">
        <f t="shared" si="1"/>
        <v>1288.0699999999988</v>
      </c>
    </row>
    <row r="44" spans="1:16" x14ac:dyDescent="0.25">
      <c r="A44" s="5" t="s">
        <v>16</v>
      </c>
      <c r="B44" s="6" t="s">
        <v>17</v>
      </c>
      <c r="C44" s="7">
        <v>86643770491</v>
      </c>
      <c r="D44" s="8" t="s">
        <v>106</v>
      </c>
      <c r="E44" s="9">
        <v>2</v>
      </c>
      <c r="F44" s="10" t="s">
        <v>30</v>
      </c>
      <c r="G44" s="11" t="s">
        <v>20</v>
      </c>
      <c r="H44" s="12">
        <v>1</v>
      </c>
      <c r="I44" s="13">
        <v>44</v>
      </c>
      <c r="J44" s="14">
        <v>1847.47</v>
      </c>
      <c r="K44" s="14">
        <v>0</v>
      </c>
      <c r="L44" s="14">
        <v>0</v>
      </c>
      <c r="M44" s="14">
        <f>209+12.19+82.26+81.14</f>
        <v>384.59</v>
      </c>
      <c r="N44" s="14">
        <v>0</v>
      </c>
      <c r="O44" s="14">
        <f>2.43+189.47+10.39</f>
        <v>202.29000000000002</v>
      </c>
      <c r="P44" s="15">
        <f t="shared" si="1"/>
        <v>2029.77</v>
      </c>
    </row>
    <row r="45" spans="1:16" x14ac:dyDescent="0.25">
      <c r="A45" s="5" t="s">
        <v>16</v>
      </c>
      <c r="B45" s="6" t="s">
        <v>17</v>
      </c>
      <c r="C45" s="7" t="s">
        <v>107</v>
      </c>
      <c r="D45" s="8" t="s">
        <v>108</v>
      </c>
      <c r="E45" s="9">
        <v>3</v>
      </c>
      <c r="F45" s="21" t="s">
        <v>109</v>
      </c>
      <c r="G45" s="11" t="s">
        <v>20</v>
      </c>
      <c r="H45" s="12">
        <v>1</v>
      </c>
      <c r="I45" s="13">
        <v>44</v>
      </c>
      <c r="J45" s="14">
        <v>798.87</v>
      </c>
      <c r="K45" s="14">
        <v>0</v>
      </c>
      <c r="L45" s="14">
        <v>0</v>
      </c>
      <c r="M45" s="14">
        <f>462.51+132.37+40.36+228.73</f>
        <v>863.97</v>
      </c>
      <c r="N45" s="14">
        <v>0</v>
      </c>
      <c r="O45" s="14">
        <f>25.23+133.97+75.68</f>
        <v>234.88</v>
      </c>
      <c r="P45" s="15">
        <f t="shared" si="1"/>
        <v>1427.96</v>
      </c>
    </row>
    <row r="46" spans="1:16" x14ac:dyDescent="0.25">
      <c r="A46" s="5" t="s">
        <v>16</v>
      </c>
      <c r="B46" s="6" t="s">
        <v>17</v>
      </c>
      <c r="C46" s="7" t="s">
        <v>110</v>
      </c>
      <c r="D46" s="8" t="s">
        <v>111</v>
      </c>
      <c r="E46" s="9">
        <v>2</v>
      </c>
      <c r="F46" s="10" t="s">
        <v>19</v>
      </c>
      <c r="G46" s="11" t="s">
        <v>20</v>
      </c>
      <c r="H46" s="12">
        <v>1</v>
      </c>
      <c r="I46" s="13">
        <v>44</v>
      </c>
      <c r="J46" s="14">
        <v>727.44</v>
      </c>
      <c r="K46" s="14">
        <f>568.56+189.52+852.84+284.28+137.03+205.53</f>
        <v>2237.7600000000002</v>
      </c>
      <c r="L46" s="14">
        <v>0</v>
      </c>
      <c r="M46" s="14">
        <f>125.4+44.42+236.9</f>
        <v>406.72</v>
      </c>
      <c r="N46" s="14">
        <v>0</v>
      </c>
      <c r="O46" s="14">
        <f>24.25+2047.61+135+167.22+72.74+190.15</f>
        <v>2636.9699999999993</v>
      </c>
      <c r="P46" s="15">
        <f t="shared" si="1"/>
        <v>734.95000000000073</v>
      </c>
    </row>
    <row r="47" spans="1:16" x14ac:dyDescent="0.25">
      <c r="A47" s="5" t="s">
        <v>16</v>
      </c>
      <c r="B47" s="6" t="s">
        <v>17</v>
      </c>
      <c r="C47" s="7" t="s">
        <v>112</v>
      </c>
      <c r="D47" s="8" t="s">
        <v>113</v>
      </c>
      <c r="E47" s="9">
        <v>3</v>
      </c>
      <c r="F47" s="10" t="s">
        <v>23</v>
      </c>
      <c r="G47" s="11" t="s">
        <v>20</v>
      </c>
      <c r="H47" s="12">
        <v>1</v>
      </c>
      <c r="I47" s="13">
        <v>44</v>
      </c>
      <c r="J47" s="14">
        <v>1045</v>
      </c>
      <c r="K47" s="14">
        <v>0</v>
      </c>
      <c r="L47" s="14">
        <v>0</v>
      </c>
      <c r="M47" s="14">
        <f>209+37.16+250.8</f>
        <v>496.96000000000004</v>
      </c>
      <c r="N47" s="14">
        <v>0</v>
      </c>
      <c r="O47" s="14">
        <f>20.9+123.09+62.7</f>
        <v>206.69</v>
      </c>
      <c r="P47" s="15">
        <f t="shared" si="1"/>
        <v>1335.27</v>
      </c>
    </row>
    <row r="48" spans="1:16" x14ac:dyDescent="0.25">
      <c r="A48" s="5" t="s">
        <v>16</v>
      </c>
      <c r="B48" s="6" t="s">
        <v>17</v>
      </c>
      <c r="C48" s="7" t="s">
        <v>114</v>
      </c>
      <c r="D48" s="17" t="s">
        <v>115</v>
      </c>
      <c r="E48" s="9">
        <v>2</v>
      </c>
      <c r="F48" s="22" t="s">
        <v>74</v>
      </c>
      <c r="G48" s="11" t="s">
        <v>20</v>
      </c>
      <c r="H48" s="12">
        <v>1</v>
      </c>
      <c r="I48" s="13">
        <v>44</v>
      </c>
      <c r="J48" s="14">
        <v>3132.6</v>
      </c>
      <c r="K48" s="14">
        <v>0</v>
      </c>
      <c r="L48" s="14">
        <v>0</v>
      </c>
      <c r="M48" s="14">
        <f>892+209</f>
        <v>1101</v>
      </c>
      <c r="N48" s="14">
        <v>0</v>
      </c>
      <c r="O48" s="14">
        <f>14.92+451.63+214.81</f>
        <v>681.36</v>
      </c>
      <c r="P48" s="15">
        <f t="shared" si="1"/>
        <v>3552.2400000000002</v>
      </c>
    </row>
    <row r="49" spans="1:16" x14ac:dyDescent="0.25">
      <c r="A49" s="5" t="s">
        <v>16</v>
      </c>
      <c r="B49" s="6" t="s">
        <v>17</v>
      </c>
      <c r="C49" s="7" t="s">
        <v>116</v>
      </c>
      <c r="D49" s="8" t="s">
        <v>117</v>
      </c>
      <c r="E49" s="9">
        <v>2</v>
      </c>
      <c r="F49" s="10" t="s">
        <v>19</v>
      </c>
      <c r="G49" s="11" t="s">
        <v>20</v>
      </c>
      <c r="H49" s="12">
        <v>1</v>
      </c>
      <c r="I49" s="13">
        <v>44</v>
      </c>
      <c r="J49" s="14">
        <v>1212.4000000000001</v>
      </c>
      <c r="K49" s="14">
        <v>0</v>
      </c>
      <c r="L49" s="14">
        <v>0</v>
      </c>
      <c r="M49" s="14">
        <f>209+64</f>
        <v>273</v>
      </c>
      <c r="N49" s="14">
        <v>0</v>
      </c>
      <c r="O49" s="14">
        <f>24.25+112.24+72.74</f>
        <v>209.23000000000002</v>
      </c>
      <c r="P49" s="15">
        <f t="shared" si="1"/>
        <v>1276.17</v>
      </c>
    </row>
    <row r="50" spans="1:16" x14ac:dyDescent="0.25">
      <c r="A50" s="5" t="s">
        <v>16</v>
      </c>
      <c r="B50" s="6" t="s">
        <v>17</v>
      </c>
      <c r="C50" s="7" t="s">
        <v>118</v>
      </c>
      <c r="D50" s="8" t="s">
        <v>119</v>
      </c>
      <c r="E50" s="9">
        <v>2</v>
      </c>
      <c r="F50" s="23" t="s">
        <v>30</v>
      </c>
      <c r="G50" s="11" t="s">
        <v>20</v>
      </c>
      <c r="H50" s="12">
        <v>1</v>
      </c>
      <c r="I50" s="13">
        <v>44</v>
      </c>
      <c r="J50" s="14">
        <v>1715.79</v>
      </c>
      <c r="K50" s="14">
        <v>0</v>
      </c>
      <c r="L50" s="14">
        <v>0</v>
      </c>
      <c r="M50" s="14">
        <f>209+4.75+32.08</f>
        <v>245.82999999999998</v>
      </c>
      <c r="N50" s="14">
        <v>0</v>
      </c>
      <c r="O50" s="14">
        <f>34.32+160.86</f>
        <v>195.18</v>
      </c>
      <c r="P50" s="15">
        <f t="shared" si="1"/>
        <v>1766.4399999999998</v>
      </c>
    </row>
    <row r="51" spans="1:16" x14ac:dyDescent="0.25">
      <c r="A51" s="5" t="s">
        <v>16</v>
      </c>
      <c r="B51" s="6" t="s">
        <v>17</v>
      </c>
      <c r="C51" s="7" t="s">
        <v>120</v>
      </c>
      <c r="D51" s="8" t="s">
        <v>121</v>
      </c>
      <c r="E51" s="9">
        <v>2</v>
      </c>
      <c r="F51" s="10" t="s">
        <v>35</v>
      </c>
      <c r="G51" s="11" t="s">
        <v>20</v>
      </c>
      <c r="H51" s="12">
        <v>1</v>
      </c>
      <c r="I51" s="13">
        <v>44</v>
      </c>
      <c r="J51" s="14">
        <v>2030.47</v>
      </c>
      <c r="K51" s="14">
        <v>0</v>
      </c>
      <c r="L51" s="14">
        <v>1015.24</v>
      </c>
      <c r="M51" s="14">
        <f>42.11+284.27+812.19</f>
        <v>1138.5700000000002</v>
      </c>
      <c r="N51" s="14">
        <v>0</v>
      </c>
      <c r="O51" s="14">
        <f>302.59+57.96</f>
        <v>360.54999999999995</v>
      </c>
      <c r="P51" s="15">
        <f t="shared" si="1"/>
        <v>3823.7300000000005</v>
      </c>
    </row>
    <row r="52" spans="1:16" x14ac:dyDescent="0.25">
      <c r="A52" s="5" t="s">
        <v>16</v>
      </c>
      <c r="B52" s="6" t="s">
        <v>17</v>
      </c>
      <c r="C52" s="7" t="s">
        <v>122</v>
      </c>
      <c r="D52" s="8" t="s">
        <v>123</v>
      </c>
      <c r="E52" s="9">
        <v>3</v>
      </c>
      <c r="F52" s="10" t="s">
        <v>124</v>
      </c>
      <c r="G52" s="11" t="s">
        <v>20</v>
      </c>
      <c r="H52" s="12">
        <v>2</v>
      </c>
      <c r="I52" s="13">
        <v>44</v>
      </c>
      <c r="J52" s="14">
        <v>5175</v>
      </c>
      <c r="K52" s="14">
        <v>0</v>
      </c>
      <c r="L52" s="14">
        <v>0</v>
      </c>
      <c r="M52" s="14">
        <v>209</v>
      </c>
      <c r="N52" s="14">
        <v>0</v>
      </c>
      <c r="O52" s="14">
        <f>612.69+442.75</f>
        <v>1055.44</v>
      </c>
      <c r="P52" s="15">
        <f t="shared" si="1"/>
        <v>4328.5599999999995</v>
      </c>
    </row>
    <row r="53" spans="1:16" x14ac:dyDescent="0.25">
      <c r="A53" s="5" t="s">
        <v>16</v>
      </c>
      <c r="B53" s="6" t="s">
        <v>17</v>
      </c>
      <c r="C53" s="7" t="s">
        <v>125</v>
      </c>
      <c r="D53" s="17" t="s">
        <v>126</v>
      </c>
      <c r="E53" s="9">
        <v>3</v>
      </c>
      <c r="F53" s="21" t="s">
        <v>109</v>
      </c>
      <c r="G53" s="11" t="s">
        <v>20</v>
      </c>
      <c r="H53" s="12">
        <v>1</v>
      </c>
      <c r="I53" s="13">
        <v>44</v>
      </c>
      <c r="J53" s="14">
        <v>1261.3800000000001</v>
      </c>
      <c r="K53" s="14">
        <v>0</v>
      </c>
      <c r="L53" s="14">
        <v>0</v>
      </c>
      <c r="M53" s="14">
        <f>209+64+43.57+294.08</f>
        <v>610.65</v>
      </c>
      <c r="N53" s="14">
        <v>0</v>
      </c>
      <c r="O53" s="14">
        <f>25.23+147.04+75.68</f>
        <v>247.95</v>
      </c>
      <c r="P53" s="15">
        <f t="shared" si="1"/>
        <v>1624.0800000000002</v>
      </c>
    </row>
    <row r="54" spans="1:16" x14ac:dyDescent="0.25">
      <c r="A54" s="5" t="s">
        <v>16</v>
      </c>
      <c r="B54" s="6" t="s">
        <v>17</v>
      </c>
      <c r="C54" s="7">
        <v>39960544400</v>
      </c>
      <c r="D54" s="8" t="s">
        <v>127</v>
      </c>
      <c r="E54" s="9">
        <v>2</v>
      </c>
      <c r="F54" s="10" t="s">
        <v>35</v>
      </c>
      <c r="G54" s="11" t="s">
        <v>20</v>
      </c>
      <c r="H54" s="12">
        <v>1</v>
      </c>
      <c r="I54" s="13">
        <v>44</v>
      </c>
      <c r="J54" s="14">
        <v>2030.47</v>
      </c>
      <c r="K54" s="14">
        <v>0</v>
      </c>
      <c r="L54" s="14">
        <v>1015.24</v>
      </c>
      <c r="M54" s="14">
        <f>42.11+284.27+812.19</f>
        <v>1138.5700000000002</v>
      </c>
      <c r="N54" s="14">
        <v>0</v>
      </c>
      <c r="O54" s="14">
        <f>302.59+75.17</f>
        <v>377.76</v>
      </c>
      <c r="P54" s="15">
        <f t="shared" si="1"/>
        <v>3806.5200000000004</v>
      </c>
    </row>
    <row r="55" spans="1:16" x14ac:dyDescent="0.25">
      <c r="A55" s="5" t="s">
        <v>16</v>
      </c>
      <c r="B55" s="6" t="s">
        <v>17</v>
      </c>
      <c r="C55" s="7" t="s">
        <v>128</v>
      </c>
      <c r="D55" s="8" t="s">
        <v>129</v>
      </c>
      <c r="E55" s="9">
        <v>2</v>
      </c>
      <c r="F55" s="10" t="s">
        <v>19</v>
      </c>
      <c r="G55" s="11" t="s">
        <v>20</v>
      </c>
      <c r="H55" s="12">
        <v>1</v>
      </c>
      <c r="I55" s="13">
        <v>44</v>
      </c>
      <c r="J55" s="14">
        <v>323.31</v>
      </c>
      <c r="K55" s="14">
        <f>568.56+189.52+852.84+284.28+10.59+15.87</f>
        <v>1921.6599999999999</v>
      </c>
      <c r="L55" s="14">
        <v>0</v>
      </c>
      <c r="M55" s="14">
        <f>404.13+55.74</f>
        <v>459.87</v>
      </c>
      <c r="N55" s="14">
        <v>0</v>
      </c>
      <c r="O55" s="14">
        <f>24.25+1764.4+88.46+155.84+72.74+157.26</f>
        <v>2262.9499999999998</v>
      </c>
      <c r="P55" s="15">
        <f t="shared" si="1"/>
        <v>441.88999999999987</v>
      </c>
    </row>
    <row r="56" spans="1:16" x14ac:dyDescent="0.25">
      <c r="A56" s="5" t="s">
        <v>16</v>
      </c>
      <c r="B56" s="6" t="s">
        <v>17</v>
      </c>
      <c r="C56" s="7" t="s">
        <v>130</v>
      </c>
      <c r="D56" s="8" t="s">
        <v>131</v>
      </c>
      <c r="E56" s="9">
        <v>3</v>
      </c>
      <c r="F56" s="10" t="s">
        <v>23</v>
      </c>
      <c r="G56" s="11" t="s">
        <v>20</v>
      </c>
      <c r="H56" s="12">
        <v>2</v>
      </c>
      <c r="I56" s="13">
        <v>44</v>
      </c>
      <c r="J56" s="14">
        <v>940.5</v>
      </c>
      <c r="K56" s="14">
        <v>0</v>
      </c>
      <c r="L56" s="14">
        <v>0</v>
      </c>
      <c r="M56" s="14">
        <f>104.5+188.1</f>
        <v>292.60000000000002</v>
      </c>
      <c r="N56" s="14">
        <v>0</v>
      </c>
      <c r="O56" s="14">
        <f>20.9+95.29</f>
        <v>116.19</v>
      </c>
      <c r="P56" s="15">
        <f t="shared" si="1"/>
        <v>1116.9099999999999</v>
      </c>
    </row>
    <row r="57" spans="1:16" x14ac:dyDescent="0.25">
      <c r="A57" s="5" t="s">
        <v>16</v>
      </c>
      <c r="B57" s="6" t="s">
        <v>17</v>
      </c>
      <c r="C57" s="7" t="s">
        <v>132</v>
      </c>
      <c r="D57" s="8" t="s">
        <v>133</v>
      </c>
      <c r="E57" s="9">
        <v>2</v>
      </c>
      <c r="F57" s="16" t="s">
        <v>74</v>
      </c>
      <c r="G57" s="11" t="s">
        <v>20</v>
      </c>
      <c r="H57" s="12">
        <v>1</v>
      </c>
      <c r="I57" s="13">
        <v>44</v>
      </c>
      <c r="J57" s="14">
        <v>3132.6</v>
      </c>
      <c r="K57" s="14">
        <v>0</v>
      </c>
      <c r="L57" s="14">
        <v>0</v>
      </c>
      <c r="M57" s="14">
        <f>209+99.01+668.32</f>
        <v>976.33</v>
      </c>
      <c r="N57" s="14">
        <v>0</v>
      </c>
      <c r="O57" s="14">
        <f>15.66+434.18+196.41</f>
        <v>646.25</v>
      </c>
      <c r="P57" s="15">
        <f t="shared" si="1"/>
        <v>3462.6800000000003</v>
      </c>
    </row>
    <row r="58" spans="1:16" x14ac:dyDescent="0.25">
      <c r="A58" s="5" t="s">
        <v>16</v>
      </c>
      <c r="B58" s="6" t="s">
        <v>17</v>
      </c>
      <c r="C58" s="7" t="s">
        <v>134</v>
      </c>
      <c r="D58" s="8" t="s">
        <v>135</v>
      </c>
      <c r="E58" s="9">
        <v>3</v>
      </c>
      <c r="F58" s="16" t="s">
        <v>136</v>
      </c>
      <c r="G58" s="11" t="s">
        <v>20</v>
      </c>
      <c r="H58" s="12">
        <v>2</v>
      </c>
      <c r="I58" s="13">
        <v>44</v>
      </c>
      <c r="J58" s="14">
        <v>1552.5</v>
      </c>
      <c r="K58" s="14">
        <v>0</v>
      </c>
      <c r="L58" s="14">
        <v>0</v>
      </c>
      <c r="M58" s="14">
        <f>209+128</f>
        <v>337</v>
      </c>
      <c r="N58" s="14">
        <v>0</v>
      </c>
      <c r="O58" s="14">
        <f>31.05+142.85</f>
        <v>173.9</v>
      </c>
      <c r="P58" s="15">
        <f t="shared" si="1"/>
        <v>1715.6</v>
      </c>
    </row>
    <row r="59" spans="1:16" x14ac:dyDescent="0.25">
      <c r="A59" s="5" t="s">
        <v>16</v>
      </c>
      <c r="B59" s="6" t="s">
        <v>17</v>
      </c>
      <c r="C59" s="7" t="s">
        <v>137</v>
      </c>
      <c r="D59" s="8" t="s">
        <v>138</v>
      </c>
      <c r="E59" s="9">
        <v>3</v>
      </c>
      <c r="F59" s="16" t="s">
        <v>78</v>
      </c>
      <c r="G59" s="11" t="s">
        <v>20</v>
      </c>
      <c r="H59" s="12">
        <v>1</v>
      </c>
      <c r="I59" s="13">
        <v>44</v>
      </c>
      <c r="J59" s="14">
        <v>1892.07</v>
      </c>
      <c r="K59" s="14">
        <v>0</v>
      </c>
      <c r="L59" s="14">
        <v>0</v>
      </c>
      <c r="M59" s="14">
        <f>209+64</f>
        <v>273</v>
      </c>
      <c r="N59" s="14">
        <v>0</v>
      </c>
      <c r="O59" s="14">
        <f>37.84+173.75</f>
        <v>211.59</v>
      </c>
      <c r="P59" s="15">
        <f t="shared" si="1"/>
        <v>1953.4799999999998</v>
      </c>
    </row>
    <row r="60" spans="1:16" x14ac:dyDescent="0.25">
      <c r="A60" s="5" t="s">
        <v>16</v>
      </c>
      <c r="B60" s="6" t="s">
        <v>17</v>
      </c>
      <c r="C60" s="7" t="s">
        <v>139</v>
      </c>
      <c r="D60" s="8" t="s">
        <v>140</v>
      </c>
      <c r="E60" s="9">
        <v>3</v>
      </c>
      <c r="F60" s="10" t="s">
        <v>63</v>
      </c>
      <c r="G60" s="11" t="s">
        <v>20</v>
      </c>
      <c r="H60" s="12">
        <v>1</v>
      </c>
      <c r="I60" s="13">
        <v>44</v>
      </c>
      <c r="J60" s="14">
        <v>1045</v>
      </c>
      <c r="K60" s="14">
        <v>0</v>
      </c>
      <c r="L60" s="14">
        <v>0</v>
      </c>
      <c r="M60" s="14">
        <f>209+128</f>
        <v>337</v>
      </c>
      <c r="N60" s="14">
        <v>0</v>
      </c>
      <c r="O60" s="14">
        <f>20.9+97.18</f>
        <v>118.08000000000001</v>
      </c>
      <c r="P60" s="15">
        <f t="shared" si="1"/>
        <v>1263.92</v>
      </c>
    </row>
    <row r="61" spans="1:16" x14ac:dyDescent="0.25">
      <c r="A61" s="5" t="s">
        <v>16</v>
      </c>
      <c r="B61" s="6" t="s">
        <v>17</v>
      </c>
      <c r="C61" s="7">
        <v>61087300487</v>
      </c>
      <c r="D61" s="8" t="s">
        <v>141</v>
      </c>
      <c r="E61" s="9">
        <v>2</v>
      </c>
      <c r="F61" s="10" t="s">
        <v>19</v>
      </c>
      <c r="G61" s="11" t="s">
        <v>20</v>
      </c>
      <c r="H61" s="12">
        <v>1</v>
      </c>
      <c r="I61" s="13">
        <v>44</v>
      </c>
      <c r="J61" s="14">
        <v>1212.4000000000001</v>
      </c>
      <c r="K61" s="14">
        <v>0</v>
      </c>
      <c r="L61" s="14">
        <v>0</v>
      </c>
      <c r="M61" s="14">
        <f>209+2.34+15.79</f>
        <v>227.13</v>
      </c>
      <c r="N61" s="14">
        <v>0</v>
      </c>
      <c r="O61" s="14">
        <f>24.25+113.87+72.74</f>
        <v>210.86</v>
      </c>
      <c r="P61" s="15">
        <f t="shared" si="1"/>
        <v>1228.67</v>
      </c>
    </row>
    <row r="62" spans="1:16" x14ac:dyDescent="0.25">
      <c r="A62" s="5" t="s">
        <v>16</v>
      </c>
      <c r="B62" s="6" t="s">
        <v>17</v>
      </c>
      <c r="C62" s="7">
        <v>11293575461</v>
      </c>
      <c r="D62" s="8" t="s">
        <v>142</v>
      </c>
      <c r="E62" s="9">
        <v>3</v>
      </c>
      <c r="F62" s="10" t="s">
        <v>63</v>
      </c>
      <c r="G62" s="11" t="s">
        <v>20</v>
      </c>
      <c r="H62" s="12">
        <v>1</v>
      </c>
      <c r="I62" s="13">
        <v>44</v>
      </c>
      <c r="J62" s="14">
        <v>1045</v>
      </c>
      <c r="K62" s="14">
        <v>0</v>
      </c>
      <c r="L62" s="14">
        <v>0</v>
      </c>
      <c r="M62" s="14">
        <f>48.62+209+64+12.39+83.6</f>
        <v>417.61</v>
      </c>
      <c r="N62" s="14">
        <v>0</v>
      </c>
      <c r="O62" s="14">
        <f>20.9+105.81</f>
        <v>126.71000000000001</v>
      </c>
      <c r="P62" s="15">
        <f t="shared" si="1"/>
        <v>1335.9</v>
      </c>
    </row>
    <row r="63" spans="1:16" x14ac:dyDescent="0.25">
      <c r="A63" s="5" t="s">
        <v>16</v>
      </c>
      <c r="B63" s="6" t="s">
        <v>17</v>
      </c>
      <c r="C63" s="7">
        <v>28651282885</v>
      </c>
      <c r="D63" s="8" t="s">
        <v>143</v>
      </c>
      <c r="E63" s="9">
        <v>3</v>
      </c>
      <c r="F63" s="16" t="s">
        <v>99</v>
      </c>
      <c r="G63" s="11" t="s">
        <v>20</v>
      </c>
      <c r="H63" s="12">
        <v>1</v>
      </c>
      <c r="I63" s="13">
        <v>44</v>
      </c>
      <c r="J63" s="14">
        <v>1045</v>
      </c>
      <c r="K63" s="14">
        <v>0</v>
      </c>
      <c r="L63" s="14">
        <v>0</v>
      </c>
      <c r="M63" s="14">
        <v>209</v>
      </c>
      <c r="N63" s="14">
        <v>0</v>
      </c>
      <c r="O63" s="14">
        <f>20.9+97.18+62.7</f>
        <v>180.78000000000003</v>
      </c>
      <c r="P63" s="15">
        <f t="shared" si="1"/>
        <v>1073.22</v>
      </c>
    </row>
    <row r="64" spans="1:16" x14ac:dyDescent="0.25">
      <c r="A64" s="5" t="s">
        <v>16</v>
      </c>
      <c r="B64" s="6" t="s">
        <v>17</v>
      </c>
      <c r="C64" s="7">
        <v>92120482420</v>
      </c>
      <c r="D64" s="8" t="s">
        <v>144</v>
      </c>
      <c r="E64" s="9">
        <v>2</v>
      </c>
      <c r="F64" s="10" t="s">
        <v>19</v>
      </c>
      <c r="G64" s="11" t="s">
        <v>20</v>
      </c>
      <c r="H64" s="12">
        <v>1</v>
      </c>
      <c r="I64" s="13">
        <v>44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0</v>
      </c>
    </row>
    <row r="65" spans="1:16" x14ac:dyDescent="0.25">
      <c r="A65" s="5" t="s">
        <v>16</v>
      </c>
      <c r="B65" s="6" t="s">
        <v>17</v>
      </c>
      <c r="C65" s="7" t="s">
        <v>145</v>
      </c>
      <c r="D65" s="8" t="s">
        <v>146</v>
      </c>
      <c r="E65" s="9">
        <v>2</v>
      </c>
      <c r="F65" s="10" t="s">
        <v>19</v>
      </c>
      <c r="G65" s="11" t="s">
        <v>20</v>
      </c>
      <c r="H65" s="12">
        <v>1</v>
      </c>
      <c r="I65" s="13">
        <v>44</v>
      </c>
      <c r="J65" s="14">
        <v>1212.4000000000001</v>
      </c>
      <c r="K65" s="14">
        <v>0</v>
      </c>
      <c r="L65" s="14">
        <v>0</v>
      </c>
      <c r="M65" s="14">
        <f>209</f>
        <v>209</v>
      </c>
      <c r="N65" s="14">
        <v>0</v>
      </c>
      <c r="O65" s="14">
        <f>24.25+112.24+72.74</f>
        <v>209.23000000000002</v>
      </c>
      <c r="P65" s="15">
        <f t="shared" si="1"/>
        <v>1212.17</v>
      </c>
    </row>
    <row r="66" spans="1:16" x14ac:dyDescent="0.25">
      <c r="A66" s="5" t="s">
        <v>16</v>
      </c>
      <c r="B66" s="6" t="s">
        <v>17</v>
      </c>
      <c r="C66" s="7" t="s">
        <v>147</v>
      </c>
      <c r="D66" s="8" t="s">
        <v>148</v>
      </c>
      <c r="E66" s="9">
        <v>2</v>
      </c>
      <c r="F66" s="16" t="s">
        <v>55</v>
      </c>
      <c r="G66" s="11" t="s">
        <v>20</v>
      </c>
      <c r="H66" s="12">
        <v>1</v>
      </c>
      <c r="I66" s="13">
        <v>44</v>
      </c>
      <c r="J66" s="14">
        <v>402.94</v>
      </c>
      <c r="K66" s="14">
        <f>567.13+189.04+850.69+283.56+80.17+120.25</f>
        <v>2090.84</v>
      </c>
      <c r="L66" s="14">
        <v>0</v>
      </c>
      <c r="M66" s="14">
        <f>322.35+69.67+38.51+173.29</f>
        <v>603.82000000000005</v>
      </c>
      <c r="N66" s="14">
        <v>0</v>
      </c>
      <c r="O66" s="14">
        <f>24.18+1918.32+117.24+161.67+172.52</f>
        <v>2393.9299999999998</v>
      </c>
      <c r="P66" s="15">
        <f t="shared" ref="P66:P96" si="2">SUM(J66:N66)-O66</f>
        <v>703.67000000000053</v>
      </c>
    </row>
    <row r="67" spans="1:16" x14ac:dyDescent="0.25">
      <c r="A67" s="5" t="s">
        <v>16</v>
      </c>
      <c r="B67" s="6" t="s">
        <v>17</v>
      </c>
      <c r="C67" s="7" t="s">
        <v>149</v>
      </c>
      <c r="D67" s="8" t="s">
        <v>150</v>
      </c>
      <c r="E67" s="9">
        <v>2</v>
      </c>
      <c r="F67" s="16" t="s">
        <v>74</v>
      </c>
      <c r="G67" s="11" t="s">
        <v>20</v>
      </c>
      <c r="H67" s="12">
        <v>1</v>
      </c>
      <c r="I67" s="13">
        <v>44</v>
      </c>
      <c r="J67" s="14">
        <v>3132.6</v>
      </c>
      <c r="K67" s="14">
        <v>0</v>
      </c>
      <c r="L67" s="14">
        <v>0</v>
      </c>
      <c r="M67" s="14">
        <f>209+118.81+801.98</f>
        <v>1129.79</v>
      </c>
      <c r="N67" s="14">
        <v>0</v>
      </c>
      <c r="O67" s="14">
        <f>14.92+455.66+187.77</f>
        <v>658.35</v>
      </c>
      <c r="P67" s="15">
        <f t="shared" si="2"/>
        <v>3604.0399999999995</v>
      </c>
    </row>
    <row r="68" spans="1:16" x14ac:dyDescent="0.25">
      <c r="A68" s="5" t="s">
        <v>16</v>
      </c>
      <c r="B68" s="6" t="s">
        <v>17</v>
      </c>
      <c r="C68" s="7" t="s">
        <v>151</v>
      </c>
      <c r="D68" s="8" t="s">
        <v>152</v>
      </c>
      <c r="E68" s="9">
        <v>2</v>
      </c>
      <c r="F68" s="10" t="s">
        <v>30</v>
      </c>
      <c r="G68" s="11" t="s">
        <v>20</v>
      </c>
      <c r="H68" s="12">
        <v>1</v>
      </c>
      <c r="I68" s="13">
        <v>44</v>
      </c>
      <c r="J68" s="14">
        <v>1847.47</v>
      </c>
      <c r="K68" s="14">
        <v>0</v>
      </c>
      <c r="L68" s="14">
        <v>0</v>
      </c>
      <c r="M68" s="14">
        <f>209+60.93+411.29</f>
        <v>681.22</v>
      </c>
      <c r="N68" s="14">
        <v>0</v>
      </c>
      <c r="O68" s="14">
        <f>2.43+225.07+29.97</f>
        <v>257.47000000000003</v>
      </c>
      <c r="P68" s="15">
        <f t="shared" si="2"/>
        <v>2271.2200000000003</v>
      </c>
    </row>
    <row r="69" spans="1:16" x14ac:dyDescent="0.25">
      <c r="A69" s="5" t="s">
        <v>16</v>
      </c>
      <c r="B69" s="6" t="s">
        <v>17</v>
      </c>
      <c r="C69" s="7" t="s">
        <v>153</v>
      </c>
      <c r="D69" s="8" t="s">
        <v>154</v>
      </c>
      <c r="E69" s="9">
        <v>3</v>
      </c>
      <c r="F69" s="19" t="s">
        <v>60</v>
      </c>
      <c r="G69" s="11" t="s">
        <v>20</v>
      </c>
      <c r="H69" s="12">
        <v>1</v>
      </c>
      <c r="I69" s="13">
        <v>44</v>
      </c>
      <c r="J69" s="14">
        <v>1045</v>
      </c>
      <c r="K69" s="14">
        <v>0</v>
      </c>
      <c r="L69" s="14">
        <v>0</v>
      </c>
      <c r="M69" s="14">
        <f>48.62+209</f>
        <v>257.62</v>
      </c>
      <c r="N69" s="14">
        <v>0</v>
      </c>
      <c r="O69" s="14">
        <f>20.9+97.18+62.7</f>
        <v>180.78000000000003</v>
      </c>
      <c r="P69" s="15">
        <f t="shared" si="2"/>
        <v>1121.8399999999999</v>
      </c>
    </row>
    <row r="70" spans="1:16" x14ac:dyDescent="0.25">
      <c r="A70" s="5" t="s">
        <v>16</v>
      </c>
      <c r="B70" s="6" t="s">
        <v>17</v>
      </c>
      <c r="C70" s="7">
        <v>10505042401</v>
      </c>
      <c r="D70" s="8" t="s">
        <v>155</v>
      </c>
      <c r="E70" s="9">
        <v>2</v>
      </c>
      <c r="F70" s="10" t="s">
        <v>19</v>
      </c>
      <c r="G70" s="11" t="s">
        <v>20</v>
      </c>
      <c r="H70" s="12">
        <v>1</v>
      </c>
      <c r="I70" s="13">
        <v>44</v>
      </c>
      <c r="J70" s="14">
        <v>1212.4000000000001</v>
      </c>
      <c r="K70" s="14">
        <v>0</v>
      </c>
      <c r="L70" s="14">
        <v>0</v>
      </c>
      <c r="M70" s="14">
        <f>209+48.62+64</f>
        <v>321.62</v>
      </c>
      <c r="N70" s="14">
        <v>0</v>
      </c>
      <c r="O70" s="14">
        <f>24.25+112.24+72.74</f>
        <v>209.23000000000002</v>
      </c>
      <c r="P70" s="15">
        <f t="shared" si="2"/>
        <v>1324.79</v>
      </c>
    </row>
    <row r="71" spans="1:16" x14ac:dyDescent="0.25">
      <c r="A71" s="5" t="s">
        <v>16</v>
      </c>
      <c r="B71" s="6" t="s">
        <v>17</v>
      </c>
      <c r="C71" s="7" t="s">
        <v>156</v>
      </c>
      <c r="D71" s="17" t="s">
        <v>157</v>
      </c>
      <c r="E71" s="9">
        <v>2</v>
      </c>
      <c r="F71" s="10" t="s">
        <v>19</v>
      </c>
      <c r="G71" s="11" t="s">
        <v>20</v>
      </c>
      <c r="H71" s="12">
        <v>1</v>
      </c>
      <c r="I71" s="13">
        <v>44</v>
      </c>
      <c r="J71" s="14">
        <v>808.27</v>
      </c>
      <c r="K71" s="14">
        <v>0</v>
      </c>
      <c r="L71" s="14">
        <v>0</v>
      </c>
      <c r="M71" s="14">
        <f>404.13+139.34+23.27+221.11</f>
        <v>787.85</v>
      </c>
      <c r="N71" s="14">
        <v>0</v>
      </c>
      <c r="O71" s="14">
        <f>24.25+127.97</f>
        <v>152.22</v>
      </c>
      <c r="P71" s="15">
        <f t="shared" si="2"/>
        <v>1443.8999999999999</v>
      </c>
    </row>
    <row r="72" spans="1:16" x14ac:dyDescent="0.25">
      <c r="A72" s="5" t="s">
        <v>16</v>
      </c>
      <c r="B72" s="6" t="s">
        <v>17</v>
      </c>
      <c r="C72" s="7">
        <v>77307950430</v>
      </c>
      <c r="D72" s="8" t="s">
        <v>158</v>
      </c>
      <c r="E72" s="9">
        <v>3</v>
      </c>
      <c r="F72" s="19" t="s">
        <v>60</v>
      </c>
      <c r="G72" s="11" t="s">
        <v>20</v>
      </c>
      <c r="H72" s="12">
        <v>1</v>
      </c>
      <c r="I72" s="13">
        <v>44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2"/>
        <v>0</v>
      </c>
    </row>
    <row r="73" spans="1:16" x14ac:dyDescent="0.25">
      <c r="A73" s="5" t="s">
        <v>16</v>
      </c>
      <c r="B73" s="6" t="s">
        <v>17</v>
      </c>
      <c r="C73" s="7" t="s">
        <v>159</v>
      </c>
      <c r="D73" s="8" t="s">
        <v>160</v>
      </c>
      <c r="E73" s="9">
        <v>2</v>
      </c>
      <c r="F73" s="16" t="s">
        <v>74</v>
      </c>
      <c r="G73" s="11" t="s">
        <v>20</v>
      </c>
      <c r="H73" s="12">
        <v>1</v>
      </c>
      <c r="I73" s="13">
        <v>44</v>
      </c>
      <c r="J73" s="14">
        <v>3132.6</v>
      </c>
      <c r="K73" s="14">
        <v>0</v>
      </c>
      <c r="L73" s="14">
        <v>0</v>
      </c>
      <c r="M73" s="14">
        <v>209</v>
      </c>
      <c r="N73" s="14">
        <v>0</v>
      </c>
      <c r="O73" s="14">
        <f>14.92+326.75+97.43</f>
        <v>439.1</v>
      </c>
      <c r="P73" s="15">
        <f t="shared" si="2"/>
        <v>2902.5</v>
      </c>
    </row>
    <row r="74" spans="1:16" x14ac:dyDescent="0.25">
      <c r="A74" s="5" t="s">
        <v>16</v>
      </c>
      <c r="B74" s="6" t="s">
        <v>17</v>
      </c>
      <c r="C74" s="7" t="s">
        <v>161</v>
      </c>
      <c r="D74" s="8" t="s">
        <v>162</v>
      </c>
      <c r="E74" s="9">
        <v>3</v>
      </c>
      <c r="F74" s="21" t="s">
        <v>109</v>
      </c>
      <c r="G74" s="11" t="s">
        <v>20</v>
      </c>
      <c r="H74" s="12">
        <v>1</v>
      </c>
      <c r="I74" s="13">
        <v>44</v>
      </c>
      <c r="J74" s="14">
        <v>3105</v>
      </c>
      <c r="K74" s="14">
        <v>0</v>
      </c>
      <c r="L74" s="14">
        <v>0</v>
      </c>
      <c r="M74" s="14">
        <f>209+64</f>
        <v>273</v>
      </c>
      <c r="N74" s="14">
        <v>0</v>
      </c>
      <c r="O74" s="14">
        <f>62.1+322.89+53.09</f>
        <v>438.08000000000004</v>
      </c>
      <c r="P74" s="15">
        <f t="shared" si="2"/>
        <v>2939.92</v>
      </c>
    </row>
    <row r="75" spans="1:16" x14ac:dyDescent="0.25">
      <c r="A75" s="5" t="s">
        <v>16</v>
      </c>
      <c r="B75" s="6" t="s">
        <v>17</v>
      </c>
      <c r="C75" s="7" t="s">
        <v>163</v>
      </c>
      <c r="D75" s="8" t="s">
        <v>164</v>
      </c>
      <c r="E75" s="9">
        <v>2</v>
      </c>
      <c r="F75" s="10" t="s">
        <v>30</v>
      </c>
      <c r="G75" s="11" t="s">
        <v>20</v>
      </c>
      <c r="H75" s="12">
        <v>1</v>
      </c>
      <c r="I75" s="13">
        <v>44</v>
      </c>
      <c r="J75" s="14">
        <v>1847.47</v>
      </c>
      <c r="K75" s="14">
        <v>0</v>
      </c>
      <c r="L75" s="14">
        <v>0</v>
      </c>
      <c r="M75" s="14">
        <f>209+54.41+367.29</f>
        <v>630.70000000000005</v>
      </c>
      <c r="N75" s="14">
        <v>0</v>
      </c>
      <c r="O75" s="14">
        <f>2.43+219+26.64</f>
        <v>248.07</v>
      </c>
      <c r="P75" s="15">
        <f t="shared" si="2"/>
        <v>2230.1</v>
      </c>
    </row>
    <row r="76" spans="1:16" x14ac:dyDescent="0.25">
      <c r="A76" s="5" t="s">
        <v>16</v>
      </c>
      <c r="B76" s="6" t="s">
        <v>17</v>
      </c>
      <c r="C76" s="7" t="s">
        <v>165</v>
      </c>
      <c r="D76" s="8" t="s">
        <v>166</v>
      </c>
      <c r="E76" s="9">
        <v>3</v>
      </c>
      <c r="F76" s="16" t="s">
        <v>25</v>
      </c>
      <c r="G76" s="11" t="s">
        <v>20</v>
      </c>
      <c r="H76" s="12">
        <v>1</v>
      </c>
      <c r="I76" s="13">
        <v>44</v>
      </c>
      <c r="J76" s="14">
        <v>1055.93</v>
      </c>
      <c r="K76" s="14">
        <v>0</v>
      </c>
      <c r="L76" s="14">
        <v>0</v>
      </c>
      <c r="M76" s="14">
        <f>97.24+209</f>
        <v>306.24</v>
      </c>
      <c r="N76" s="14">
        <v>0</v>
      </c>
      <c r="O76" s="14">
        <f>21.12+98.16+63.36</f>
        <v>182.64</v>
      </c>
      <c r="P76" s="15">
        <f t="shared" si="2"/>
        <v>1179.5300000000002</v>
      </c>
    </row>
    <row r="77" spans="1:16" x14ac:dyDescent="0.25">
      <c r="A77" s="5" t="s">
        <v>16</v>
      </c>
      <c r="B77" s="6" t="s">
        <v>17</v>
      </c>
      <c r="C77" s="7">
        <v>10068012438</v>
      </c>
      <c r="D77" s="17" t="s">
        <v>167</v>
      </c>
      <c r="E77" s="9">
        <v>3</v>
      </c>
      <c r="F77" s="16" t="s">
        <v>25</v>
      </c>
      <c r="G77" s="11" t="s">
        <v>20</v>
      </c>
      <c r="H77" s="12">
        <v>1</v>
      </c>
      <c r="I77" s="13">
        <v>44</v>
      </c>
      <c r="J77" s="14">
        <v>950.34</v>
      </c>
      <c r="K77" s="14">
        <v>0</v>
      </c>
      <c r="L77" s="14">
        <v>0</v>
      </c>
      <c r="M77" s="14">
        <f>105.59+97.24+188.1+128+16.4+98.38</f>
        <v>633.70999999999992</v>
      </c>
      <c r="N77" s="14">
        <v>0</v>
      </c>
      <c r="O77" s="14">
        <f>10+21.12+106.61+63.36</f>
        <v>201.08999999999997</v>
      </c>
      <c r="P77" s="15">
        <f t="shared" si="2"/>
        <v>1382.96</v>
      </c>
    </row>
    <row r="78" spans="1:16" x14ac:dyDescent="0.25">
      <c r="A78" s="5" t="s">
        <v>16</v>
      </c>
      <c r="B78" s="6" t="s">
        <v>17</v>
      </c>
      <c r="C78" s="7" t="s">
        <v>168</v>
      </c>
      <c r="D78" s="8" t="s">
        <v>169</v>
      </c>
      <c r="E78" s="9">
        <v>2</v>
      </c>
      <c r="F78" s="18" t="s">
        <v>53</v>
      </c>
      <c r="G78" s="11" t="s">
        <v>20</v>
      </c>
      <c r="H78" s="12">
        <v>1</v>
      </c>
      <c r="I78" s="13">
        <v>44</v>
      </c>
      <c r="J78" s="14">
        <v>1500</v>
      </c>
      <c r="K78" s="14">
        <v>0</v>
      </c>
      <c r="L78" s="14">
        <v>0</v>
      </c>
      <c r="M78" s="14">
        <f>209</f>
        <v>209</v>
      </c>
      <c r="N78" s="14">
        <v>0</v>
      </c>
      <c r="O78" s="14">
        <v>138.13</v>
      </c>
      <c r="P78" s="15">
        <f t="shared" si="2"/>
        <v>1570.87</v>
      </c>
    </row>
    <row r="79" spans="1:16" x14ac:dyDescent="0.25">
      <c r="A79" s="5" t="s">
        <v>16</v>
      </c>
      <c r="B79" s="6" t="s">
        <v>17</v>
      </c>
      <c r="C79" s="7" t="s">
        <v>170</v>
      </c>
      <c r="D79" s="8" t="s">
        <v>171</v>
      </c>
      <c r="E79" s="9">
        <v>3</v>
      </c>
      <c r="F79" s="16" t="s">
        <v>25</v>
      </c>
      <c r="G79" s="11" t="s">
        <v>20</v>
      </c>
      <c r="H79" s="12">
        <v>1</v>
      </c>
      <c r="I79" s="13">
        <v>44</v>
      </c>
      <c r="J79" s="14">
        <v>1055.93</v>
      </c>
      <c r="K79" s="14">
        <v>0</v>
      </c>
      <c r="L79" s="14">
        <v>0</v>
      </c>
      <c r="M79" s="14">
        <f>209+64+37.48+252.99</f>
        <v>563.47</v>
      </c>
      <c r="N79" s="14">
        <v>0</v>
      </c>
      <c r="O79" s="14">
        <f>21.12+124.3+63.36</f>
        <v>208.77999999999997</v>
      </c>
      <c r="P79" s="15">
        <f t="shared" si="2"/>
        <v>1410.6200000000001</v>
      </c>
    </row>
    <row r="80" spans="1:16" x14ac:dyDescent="0.25">
      <c r="A80" s="5" t="s">
        <v>16</v>
      </c>
      <c r="B80" s="6" t="s">
        <v>17</v>
      </c>
      <c r="C80" s="7" t="s">
        <v>172</v>
      </c>
      <c r="D80" s="8" t="s">
        <v>173</v>
      </c>
      <c r="E80" s="9">
        <v>2</v>
      </c>
      <c r="F80" s="10" t="s">
        <v>35</v>
      </c>
      <c r="G80" s="11" t="s">
        <v>20</v>
      </c>
      <c r="H80" s="12">
        <v>1</v>
      </c>
      <c r="I80" s="13">
        <v>44</v>
      </c>
      <c r="J80" s="14">
        <v>2030.47</v>
      </c>
      <c r="K80" s="14">
        <v>0</v>
      </c>
      <c r="L80" s="14">
        <v>1015.24</v>
      </c>
      <c r="M80" s="14">
        <f>31.59+213.2+812.19</f>
        <v>1056.98</v>
      </c>
      <c r="N80" s="14">
        <v>0</v>
      </c>
      <c r="O80" s="14">
        <f>292.12+38.41</f>
        <v>330.53</v>
      </c>
      <c r="P80" s="15">
        <f t="shared" si="2"/>
        <v>3772.1600000000008</v>
      </c>
    </row>
    <row r="81" spans="1:16" x14ac:dyDescent="0.25">
      <c r="A81" s="5" t="s">
        <v>16</v>
      </c>
      <c r="B81" s="6" t="s">
        <v>17</v>
      </c>
      <c r="C81" s="7" t="s">
        <v>174</v>
      </c>
      <c r="D81" s="8" t="s">
        <v>175</v>
      </c>
      <c r="E81" s="9">
        <v>3</v>
      </c>
      <c r="F81" s="16" t="s">
        <v>68</v>
      </c>
      <c r="G81" s="11" t="s">
        <v>20</v>
      </c>
      <c r="H81" s="12">
        <v>1</v>
      </c>
      <c r="I81" s="13">
        <v>44</v>
      </c>
      <c r="J81" s="14">
        <v>1254.55</v>
      </c>
      <c r="K81" s="14">
        <v>0</v>
      </c>
      <c r="L81" s="14">
        <v>0</v>
      </c>
      <c r="M81" s="14">
        <f>209+64+40.96+276.45</f>
        <v>590.41</v>
      </c>
      <c r="N81" s="14">
        <v>0</v>
      </c>
      <c r="O81" s="14">
        <f>25.09+144.6+75.27</f>
        <v>244.95999999999998</v>
      </c>
      <c r="P81" s="15">
        <f t="shared" si="2"/>
        <v>1600</v>
      </c>
    </row>
    <row r="82" spans="1:16" x14ac:dyDescent="0.25">
      <c r="A82" s="5" t="s">
        <v>16</v>
      </c>
      <c r="B82" s="6" t="s">
        <v>17</v>
      </c>
      <c r="C82" s="7">
        <v>89967100400</v>
      </c>
      <c r="D82" s="8" t="s">
        <v>176</v>
      </c>
      <c r="E82" s="9">
        <v>3</v>
      </c>
      <c r="F82" s="10" t="s">
        <v>63</v>
      </c>
      <c r="G82" s="11" t="s">
        <v>20</v>
      </c>
      <c r="H82" s="12">
        <v>1</v>
      </c>
      <c r="I82" s="13">
        <v>44</v>
      </c>
      <c r="J82" s="14">
        <v>1045</v>
      </c>
      <c r="K82" s="14">
        <v>0</v>
      </c>
      <c r="L82" s="14">
        <v>0</v>
      </c>
      <c r="M82" s="14">
        <f>48.62+209+64+2.06+13.93</f>
        <v>337.61</v>
      </c>
      <c r="N82" s="14">
        <v>0</v>
      </c>
      <c r="O82" s="14">
        <f>20.9+98.61</f>
        <v>119.50999999999999</v>
      </c>
      <c r="P82" s="15">
        <f t="shared" si="2"/>
        <v>1263.1000000000001</v>
      </c>
    </row>
    <row r="83" spans="1:16" x14ac:dyDescent="0.25">
      <c r="A83" s="5" t="s">
        <v>16</v>
      </c>
      <c r="B83" s="6" t="s">
        <v>17</v>
      </c>
      <c r="C83" s="7" t="s">
        <v>177</v>
      </c>
      <c r="D83" s="8" t="s">
        <v>178</v>
      </c>
      <c r="E83" s="9">
        <v>2</v>
      </c>
      <c r="F83" s="10" t="s">
        <v>30</v>
      </c>
      <c r="G83" s="11" t="s">
        <v>20</v>
      </c>
      <c r="H83" s="12">
        <v>1</v>
      </c>
      <c r="I83" s="13">
        <v>44</v>
      </c>
      <c r="J83" s="14">
        <v>1715.49</v>
      </c>
      <c r="K83" s="14">
        <v>0</v>
      </c>
      <c r="L83" s="14">
        <v>0</v>
      </c>
      <c r="M83" s="14">
        <f>209+4.75+32.07+81.14</f>
        <v>326.95999999999998</v>
      </c>
      <c r="N83" s="14">
        <v>0</v>
      </c>
      <c r="O83" s="14">
        <f>2.43+168.14</f>
        <v>170.57</v>
      </c>
      <c r="P83" s="15">
        <f t="shared" si="2"/>
        <v>1871.88</v>
      </c>
    </row>
    <row r="84" spans="1:16" x14ac:dyDescent="0.25">
      <c r="A84" s="5" t="s">
        <v>16</v>
      </c>
      <c r="B84" s="6" t="s">
        <v>17</v>
      </c>
      <c r="C84" s="7" t="s">
        <v>179</v>
      </c>
      <c r="D84" s="8" t="s">
        <v>180</v>
      </c>
      <c r="E84" s="9">
        <v>3</v>
      </c>
      <c r="F84" s="16" t="s">
        <v>136</v>
      </c>
      <c r="G84" s="11" t="s">
        <v>20</v>
      </c>
      <c r="H84" s="12">
        <v>1</v>
      </c>
      <c r="I84" s="13">
        <v>44</v>
      </c>
      <c r="J84" s="14">
        <v>1552.5</v>
      </c>
      <c r="K84" s="14">
        <v>0</v>
      </c>
      <c r="L84" s="14">
        <v>0</v>
      </c>
      <c r="M84" s="14">
        <v>209</v>
      </c>
      <c r="N84" s="14">
        <v>0</v>
      </c>
      <c r="O84" s="14">
        <f>142.85+93.15+31.05</f>
        <v>267.05</v>
      </c>
      <c r="P84" s="15">
        <f t="shared" si="2"/>
        <v>1494.45</v>
      </c>
    </row>
    <row r="85" spans="1:16" x14ac:dyDescent="0.25">
      <c r="A85" s="5" t="s">
        <v>16</v>
      </c>
      <c r="B85" s="6" t="s">
        <v>17</v>
      </c>
      <c r="C85" s="7" t="s">
        <v>181</v>
      </c>
      <c r="D85" s="8" t="s">
        <v>182</v>
      </c>
      <c r="E85" s="9">
        <v>2</v>
      </c>
      <c r="F85" s="10" t="s">
        <v>19</v>
      </c>
      <c r="G85" s="11" t="s">
        <v>20</v>
      </c>
      <c r="H85" s="12">
        <v>1</v>
      </c>
      <c r="I85" s="13">
        <v>44</v>
      </c>
      <c r="J85" s="14">
        <v>1212.4000000000001</v>
      </c>
      <c r="K85" s="14">
        <v>0</v>
      </c>
      <c r="L85" s="14">
        <v>0</v>
      </c>
      <c r="M85" s="14">
        <f>209+37.44+252.69</f>
        <v>499.13</v>
      </c>
      <c r="N85" s="14">
        <v>0</v>
      </c>
      <c r="O85" s="14">
        <f>24.25+138.35+72.74</f>
        <v>235.33999999999997</v>
      </c>
      <c r="P85" s="15">
        <f t="shared" si="2"/>
        <v>1476.1900000000003</v>
      </c>
    </row>
    <row r="86" spans="1:16" x14ac:dyDescent="0.25">
      <c r="A86" s="5" t="s">
        <v>16</v>
      </c>
      <c r="B86" s="6" t="s">
        <v>17</v>
      </c>
      <c r="C86" s="7">
        <v>93397941415</v>
      </c>
      <c r="D86" s="8" t="s">
        <v>183</v>
      </c>
      <c r="E86" s="9">
        <v>2</v>
      </c>
      <c r="F86" s="10" t="s">
        <v>19</v>
      </c>
      <c r="G86" s="11" t="s">
        <v>20</v>
      </c>
      <c r="H86" s="12">
        <v>1</v>
      </c>
      <c r="I86" s="13">
        <v>44</v>
      </c>
      <c r="J86" s="14">
        <v>1212.4000000000001</v>
      </c>
      <c r="K86" s="14">
        <v>0</v>
      </c>
      <c r="L86" s="14">
        <v>0</v>
      </c>
      <c r="M86" s="14">
        <f>209+35.1+236.9</f>
        <v>481</v>
      </c>
      <c r="N86" s="14">
        <v>0</v>
      </c>
      <c r="O86" s="14">
        <f>24.25+136.72</f>
        <v>160.97</v>
      </c>
      <c r="P86" s="15">
        <f t="shared" si="2"/>
        <v>1532.43</v>
      </c>
    </row>
    <row r="87" spans="1:16" x14ac:dyDescent="0.25">
      <c r="A87" s="5" t="s">
        <v>16</v>
      </c>
      <c r="B87" s="6" t="s">
        <v>17</v>
      </c>
      <c r="C87" s="7" t="s">
        <v>184</v>
      </c>
      <c r="D87" s="8" t="s">
        <v>185</v>
      </c>
      <c r="E87" s="9">
        <v>3</v>
      </c>
      <c r="F87" s="10" t="s">
        <v>186</v>
      </c>
      <c r="G87" s="11" t="s">
        <v>20</v>
      </c>
      <c r="H87" s="12">
        <v>2</v>
      </c>
      <c r="I87" s="13">
        <v>44</v>
      </c>
      <c r="J87" s="14">
        <v>1552.5</v>
      </c>
      <c r="K87" s="14">
        <v>0</v>
      </c>
      <c r="L87" s="14">
        <v>0</v>
      </c>
      <c r="M87" s="14">
        <v>209</v>
      </c>
      <c r="N87" s="14">
        <v>0</v>
      </c>
      <c r="O87" s="14">
        <f>31.05+142.85</f>
        <v>173.9</v>
      </c>
      <c r="P87" s="15">
        <f t="shared" si="2"/>
        <v>1587.6</v>
      </c>
    </row>
    <row r="88" spans="1:16" x14ac:dyDescent="0.25">
      <c r="A88" s="5" t="s">
        <v>16</v>
      </c>
      <c r="B88" s="6" t="s">
        <v>17</v>
      </c>
      <c r="C88" s="7">
        <v>89994140434</v>
      </c>
      <c r="D88" s="8" t="s">
        <v>187</v>
      </c>
      <c r="E88" s="9">
        <v>2</v>
      </c>
      <c r="F88" s="10" t="s">
        <v>19</v>
      </c>
      <c r="G88" s="11" t="s">
        <v>20</v>
      </c>
      <c r="H88" s="12">
        <v>1</v>
      </c>
      <c r="I88" s="13">
        <v>44</v>
      </c>
      <c r="J88" s="14">
        <v>727.44</v>
      </c>
      <c r="K88" s="14">
        <f>568.56+189.52+852.84+284.28+62.44+93.65</f>
        <v>2051.29</v>
      </c>
      <c r="L88" s="14">
        <v>0</v>
      </c>
      <c r="M88" s="14">
        <f>125.4+44.42+236.9</f>
        <v>406.72</v>
      </c>
      <c r="N88" s="14">
        <v>0</v>
      </c>
      <c r="O88" s="14">
        <f>24.25+1882.36+132.14+160.5+168.93</f>
        <v>2368.1799999999998</v>
      </c>
      <c r="P88" s="15">
        <f t="shared" si="2"/>
        <v>817.27</v>
      </c>
    </row>
    <row r="89" spans="1:16" x14ac:dyDescent="0.25">
      <c r="A89" s="5" t="s">
        <v>16</v>
      </c>
      <c r="B89" s="6" t="s">
        <v>17</v>
      </c>
      <c r="C89" s="7">
        <v>10560715404</v>
      </c>
      <c r="D89" s="8" t="s">
        <v>188</v>
      </c>
      <c r="E89" s="9">
        <v>2</v>
      </c>
      <c r="F89" s="18" t="s">
        <v>53</v>
      </c>
      <c r="G89" s="11" t="s">
        <v>20</v>
      </c>
      <c r="H89" s="12">
        <v>1</v>
      </c>
      <c r="I89" s="13">
        <v>44</v>
      </c>
      <c r="J89" s="14">
        <v>1500</v>
      </c>
      <c r="K89" s="14">
        <v>0</v>
      </c>
      <c r="L89" s="14">
        <v>0</v>
      </c>
      <c r="M89" s="14">
        <v>209</v>
      </c>
      <c r="N89" s="14">
        <v>0</v>
      </c>
      <c r="O89" s="14">
        <v>138.13</v>
      </c>
      <c r="P89" s="15">
        <f t="shared" si="2"/>
        <v>1570.87</v>
      </c>
    </row>
    <row r="90" spans="1:16" x14ac:dyDescent="0.25">
      <c r="A90" s="5" t="s">
        <v>16</v>
      </c>
      <c r="B90" s="6" t="s">
        <v>17</v>
      </c>
      <c r="C90" s="7">
        <v>70306823438</v>
      </c>
      <c r="D90" s="8" t="s">
        <v>189</v>
      </c>
      <c r="E90" s="9">
        <v>2</v>
      </c>
      <c r="F90" s="18" t="s">
        <v>53</v>
      </c>
      <c r="G90" s="11" t="s">
        <v>20</v>
      </c>
      <c r="H90" s="12">
        <v>1</v>
      </c>
      <c r="I90" s="13">
        <v>44</v>
      </c>
      <c r="J90" s="14">
        <v>1500</v>
      </c>
      <c r="K90" s="14">
        <v>0</v>
      </c>
      <c r="L90" s="14">
        <v>0</v>
      </c>
      <c r="M90" s="14">
        <v>209</v>
      </c>
      <c r="N90" s="14">
        <v>0</v>
      </c>
      <c r="O90" s="14">
        <v>138.13</v>
      </c>
      <c r="P90" s="15">
        <f t="shared" si="2"/>
        <v>1570.87</v>
      </c>
    </row>
    <row r="91" spans="1:16" x14ac:dyDescent="0.25">
      <c r="A91" s="5" t="s">
        <v>16</v>
      </c>
      <c r="B91" s="6" t="s">
        <v>17</v>
      </c>
      <c r="C91" s="7" t="s">
        <v>190</v>
      </c>
      <c r="D91" s="17" t="s">
        <v>191</v>
      </c>
      <c r="E91" s="9">
        <v>2</v>
      </c>
      <c r="F91" s="10" t="s">
        <v>35</v>
      </c>
      <c r="G91" s="11" t="s">
        <v>20</v>
      </c>
      <c r="H91" s="12">
        <v>1</v>
      </c>
      <c r="I91" s="13">
        <v>44</v>
      </c>
      <c r="J91" s="14">
        <v>2030.47</v>
      </c>
      <c r="K91" s="14">
        <v>0</v>
      </c>
      <c r="L91" s="14">
        <v>1015.24</v>
      </c>
      <c r="M91" s="14">
        <f>42.11+284.27+812.19</f>
        <v>1138.5700000000002</v>
      </c>
      <c r="N91" s="14">
        <v>0</v>
      </c>
      <c r="O91" s="14">
        <f>302.59+11.5+429.97+60.91</f>
        <v>804.96999999999991</v>
      </c>
      <c r="P91" s="15">
        <f t="shared" si="2"/>
        <v>3379.3100000000009</v>
      </c>
    </row>
    <row r="92" spans="1:16" x14ac:dyDescent="0.25">
      <c r="A92" s="5" t="s">
        <v>16</v>
      </c>
      <c r="B92" s="6" t="s">
        <v>17</v>
      </c>
      <c r="C92" s="7">
        <v>98694910497</v>
      </c>
      <c r="D92" s="8" t="s">
        <v>192</v>
      </c>
      <c r="E92" s="9">
        <v>2</v>
      </c>
      <c r="F92" s="10" t="s">
        <v>19</v>
      </c>
      <c r="G92" s="11" t="s">
        <v>20</v>
      </c>
      <c r="H92" s="12">
        <v>1</v>
      </c>
      <c r="I92" s="13">
        <v>44</v>
      </c>
      <c r="J92" s="14">
        <v>1212.4000000000001</v>
      </c>
      <c r="K92" s="14">
        <v>0</v>
      </c>
      <c r="L92" s="14">
        <v>0</v>
      </c>
      <c r="M92" s="14">
        <f>209</f>
        <v>209</v>
      </c>
      <c r="N92" s="14">
        <v>0</v>
      </c>
      <c r="O92" s="14">
        <f>24.25+112.24+72.74</f>
        <v>209.23000000000002</v>
      </c>
      <c r="P92" s="15">
        <f t="shared" si="2"/>
        <v>1212.17</v>
      </c>
    </row>
    <row r="93" spans="1:16" x14ac:dyDescent="0.25">
      <c r="A93" s="5" t="s">
        <v>16</v>
      </c>
      <c r="B93" s="6" t="s">
        <v>17</v>
      </c>
      <c r="C93" s="7">
        <v>70315023490</v>
      </c>
      <c r="D93" s="8" t="s">
        <v>193</v>
      </c>
      <c r="E93" s="9">
        <v>3</v>
      </c>
      <c r="F93" s="16" t="s">
        <v>25</v>
      </c>
      <c r="G93" s="11" t="s">
        <v>20</v>
      </c>
      <c r="H93" s="12">
        <v>1</v>
      </c>
      <c r="I93" s="13">
        <v>44</v>
      </c>
      <c r="J93" s="14">
        <v>633.55999999999995</v>
      </c>
      <c r="K93" s="14">
        <f>505.97+168.66+758.96+252.99+62.53+93.81</f>
        <v>1842.92</v>
      </c>
      <c r="L93" s="14">
        <v>0</v>
      </c>
      <c r="M93" s="14">
        <f>125.4</f>
        <v>125.4</v>
      </c>
      <c r="N93" s="14">
        <v>0</v>
      </c>
      <c r="O93" s="14">
        <f>21.12+1692.74+80.86+141.73+63.36+150.18</f>
        <v>2149.9899999999998</v>
      </c>
      <c r="P93" s="15">
        <f t="shared" si="2"/>
        <v>451.89000000000033</v>
      </c>
    </row>
    <row r="94" spans="1:16" x14ac:dyDescent="0.25">
      <c r="A94" s="5" t="s">
        <v>16</v>
      </c>
      <c r="B94" s="6" t="s">
        <v>17</v>
      </c>
      <c r="C94" s="7" t="s">
        <v>194</v>
      </c>
      <c r="D94" s="8" t="s">
        <v>195</v>
      </c>
      <c r="E94" s="9">
        <v>2</v>
      </c>
      <c r="F94" s="18" t="s">
        <v>53</v>
      </c>
      <c r="G94" s="11" t="s">
        <v>20</v>
      </c>
      <c r="H94" s="12">
        <v>1</v>
      </c>
      <c r="I94" s="13">
        <v>44</v>
      </c>
      <c r="J94" s="14">
        <v>1350</v>
      </c>
      <c r="K94" s="14">
        <v>0</v>
      </c>
      <c r="L94" s="14">
        <v>0</v>
      </c>
      <c r="M94" s="14">
        <f>150+188.1</f>
        <v>338.1</v>
      </c>
      <c r="N94" s="14">
        <v>0</v>
      </c>
      <c r="O94" s="14">
        <v>136.24</v>
      </c>
      <c r="P94" s="15">
        <f t="shared" si="2"/>
        <v>1551.86</v>
      </c>
    </row>
    <row r="95" spans="1:16" x14ac:dyDescent="0.25">
      <c r="A95" s="5" t="s">
        <v>16</v>
      </c>
      <c r="B95" s="6" t="s">
        <v>17</v>
      </c>
      <c r="C95" s="7">
        <v>32024881807</v>
      </c>
      <c r="D95" s="8" t="s">
        <v>196</v>
      </c>
      <c r="E95" s="9">
        <v>3</v>
      </c>
      <c r="F95" s="16" t="s">
        <v>71</v>
      </c>
      <c r="G95" s="11" t="s">
        <v>20</v>
      </c>
      <c r="H95" s="12">
        <v>1</v>
      </c>
      <c r="I95" s="13">
        <v>44</v>
      </c>
      <c r="J95" s="14">
        <v>3000</v>
      </c>
      <c r="K95" s="14">
        <f>2000+666.67+3000+1000</f>
        <v>6666.67</v>
      </c>
      <c r="L95" s="14">
        <v>0</v>
      </c>
      <c r="M95" s="14">
        <f>260</f>
        <v>260</v>
      </c>
      <c r="N95" s="14">
        <v>0</v>
      </c>
      <c r="O95" s="14">
        <f>5185.71+713.08+95.2+767.88+713.08</f>
        <v>7474.95</v>
      </c>
      <c r="P95" s="15">
        <f t="shared" si="2"/>
        <v>2451.7200000000003</v>
      </c>
    </row>
    <row r="96" spans="1:16" x14ac:dyDescent="0.25">
      <c r="A96" s="5" t="s">
        <v>16</v>
      </c>
      <c r="B96" s="6" t="s">
        <v>17</v>
      </c>
      <c r="C96" s="7">
        <v>61442607491</v>
      </c>
      <c r="D96" s="8" t="s">
        <v>197</v>
      </c>
      <c r="E96" s="9">
        <v>3</v>
      </c>
      <c r="F96" s="16" t="s">
        <v>198</v>
      </c>
      <c r="G96" s="11" t="s">
        <v>20</v>
      </c>
      <c r="H96" s="12">
        <v>1</v>
      </c>
      <c r="I96" s="13">
        <v>44</v>
      </c>
      <c r="J96" s="14">
        <v>16818.34</v>
      </c>
      <c r="K96" s="14">
        <v>0</v>
      </c>
      <c r="L96" s="14">
        <v>0</v>
      </c>
      <c r="M96" s="14">
        <v>209</v>
      </c>
      <c r="N96" s="14">
        <v>0</v>
      </c>
      <c r="O96" s="14">
        <f>713.08+3617.06</f>
        <v>4330.1400000000003</v>
      </c>
      <c r="P96" s="15">
        <f t="shared" si="2"/>
        <v>12697.2</v>
      </c>
    </row>
    <row r="97" spans="1:16" x14ac:dyDescent="0.25">
      <c r="A97" s="5" t="s">
        <v>16</v>
      </c>
      <c r="B97" s="6" t="s">
        <v>17</v>
      </c>
      <c r="C97" s="7">
        <v>10205994482</v>
      </c>
      <c r="D97" s="8" t="s">
        <v>199</v>
      </c>
      <c r="E97" s="9">
        <v>2</v>
      </c>
      <c r="F97" s="10" t="s">
        <v>30</v>
      </c>
      <c r="G97" s="11" t="s">
        <v>20</v>
      </c>
      <c r="H97" s="12">
        <v>1</v>
      </c>
      <c r="I97" s="13">
        <v>44</v>
      </c>
      <c r="J97" s="14">
        <v>1847.47</v>
      </c>
      <c r="K97" s="14">
        <v>0</v>
      </c>
      <c r="L97" s="14">
        <v>0</v>
      </c>
      <c r="M97" s="14">
        <f>209+40.62+274.2</f>
        <v>523.81999999999994</v>
      </c>
      <c r="N97" s="14">
        <v>0</v>
      </c>
      <c r="O97" s="14">
        <f>2.43+206.18+19.58+110.85</f>
        <v>339.03999999999996</v>
      </c>
      <c r="P97" s="15">
        <f t="shared" ref="P97:P127" si="3">SUM(J97:N97)-O97</f>
        <v>2032.25</v>
      </c>
    </row>
    <row r="98" spans="1:16" x14ac:dyDescent="0.25">
      <c r="A98" s="5" t="s">
        <v>16</v>
      </c>
      <c r="B98" s="6" t="s">
        <v>17</v>
      </c>
      <c r="C98" s="7" t="s">
        <v>200</v>
      </c>
      <c r="D98" s="8" t="s">
        <v>201</v>
      </c>
      <c r="E98" s="9">
        <v>2</v>
      </c>
      <c r="F98" s="10" t="s">
        <v>30</v>
      </c>
      <c r="G98" s="11" t="s">
        <v>20</v>
      </c>
      <c r="H98" s="12">
        <v>1</v>
      </c>
      <c r="I98" s="13">
        <v>44</v>
      </c>
      <c r="J98" s="14">
        <v>1715.49</v>
      </c>
      <c r="K98" s="14">
        <v>0</v>
      </c>
      <c r="L98" s="14">
        <v>0</v>
      </c>
      <c r="M98" s="14">
        <f>209+51.32+346.41</f>
        <v>606.73</v>
      </c>
      <c r="N98" s="14">
        <v>0</v>
      </c>
      <c r="O98" s="14">
        <f>2.43+200.29</f>
        <v>202.72</v>
      </c>
      <c r="P98" s="15">
        <f t="shared" si="3"/>
        <v>2119.5000000000005</v>
      </c>
    </row>
    <row r="99" spans="1:16" x14ac:dyDescent="0.25">
      <c r="A99" s="5" t="s">
        <v>16</v>
      </c>
      <c r="B99" s="6" t="s">
        <v>17</v>
      </c>
      <c r="C99" s="7" t="s">
        <v>202</v>
      </c>
      <c r="D99" s="8" t="s">
        <v>203</v>
      </c>
      <c r="E99" s="9">
        <v>3</v>
      </c>
      <c r="F99" s="16" t="s">
        <v>68</v>
      </c>
      <c r="G99" s="11" t="s">
        <v>20</v>
      </c>
      <c r="H99" s="12">
        <v>1</v>
      </c>
      <c r="I99" s="13">
        <v>44</v>
      </c>
      <c r="J99" s="14">
        <v>1254.55</v>
      </c>
      <c r="K99" s="14">
        <v>0</v>
      </c>
      <c r="L99" s="14">
        <v>0</v>
      </c>
      <c r="M99" s="14">
        <v>209</v>
      </c>
      <c r="N99" s="14">
        <v>0</v>
      </c>
      <c r="O99" s="14">
        <f>25.09+116.03</f>
        <v>141.12</v>
      </c>
      <c r="P99" s="15">
        <f t="shared" si="3"/>
        <v>1322.4299999999998</v>
      </c>
    </row>
    <row r="100" spans="1:16" x14ac:dyDescent="0.25">
      <c r="A100" s="5" t="s">
        <v>16</v>
      </c>
      <c r="B100" s="6" t="s">
        <v>17</v>
      </c>
      <c r="C100" s="7" t="s">
        <v>204</v>
      </c>
      <c r="D100" s="8" t="s">
        <v>205</v>
      </c>
      <c r="E100" s="9">
        <v>3</v>
      </c>
      <c r="F100" s="16" t="s">
        <v>25</v>
      </c>
      <c r="G100" s="11" t="s">
        <v>20</v>
      </c>
      <c r="H100" s="12">
        <v>1</v>
      </c>
      <c r="I100" s="13">
        <v>44</v>
      </c>
      <c r="J100" s="14">
        <v>1055.93</v>
      </c>
      <c r="K100" s="14">
        <v>0</v>
      </c>
      <c r="L100" s="14">
        <v>0</v>
      </c>
      <c r="M100" s="14">
        <f>209+128+33.32+224.88</f>
        <v>595.20000000000005</v>
      </c>
      <c r="N100" s="14">
        <v>0</v>
      </c>
      <c r="O100" s="14">
        <f>21.12+121.4</f>
        <v>142.52000000000001</v>
      </c>
      <c r="P100" s="15">
        <f t="shared" si="3"/>
        <v>1508.6100000000001</v>
      </c>
    </row>
    <row r="101" spans="1:16" x14ac:dyDescent="0.25">
      <c r="A101" s="5" t="s">
        <v>16</v>
      </c>
      <c r="B101" s="6" t="s">
        <v>17</v>
      </c>
      <c r="C101" s="7">
        <v>76656071449</v>
      </c>
      <c r="D101" s="8" t="s">
        <v>206</v>
      </c>
      <c r="E101" s="9">
        <v>3</v>
      </c>
      <c r="F101" s="19" t="s">
        <v>60</v>
      </c>
      <c r="G101" s="11" t="s">
        <v>20</v>
      </c>
      <c r="H101" s="12">
        <v>1</v>
      </c>
      <c r="I101" s="13">
        <v>44</v>
      </c>
      <c r="J101" s="14">
        <v>1045</v>
      </c>
      <c r="K101" s="14">
        <v>0</v>
      </c>
      <c r="L101" s="14">
        <v>0</v>
      </c>
      <c r="M101" s="14">
        <v>209</v>
      </c>
      <c r="N101" s="14">
        <v>0</v>
      </c>
      <c r="O101" s="14">
        <f>20.9+97.18+62.7</f>
        <v>180.78000000000003</v>
      </c>
      <c r="P101" s="15">
        <f t="shared" si="3"/>
        <v>1073.22</v>
      </c>
    </row>
    <row r="102" spans="1:16" x14ac:dyDescent="0.25">
      <c r="A102" s="5" t="s">
        <v>16</v>
      </c>
      <c r="B102" s="6" t="s">
        <v>17</v>
      </c>
      <c r="C102" s="7" t="s">
        <v>207</v>
      </c>
      <c r="D102" s="8" t="s">
        <v>208</v>
      </c>
      <c r="E102" s="9">
        <v>2</v>
      </c>
      <c r="F102" s="10" t="s">
        <v>19</v>
      </c>
      <c r="G102" s="11" t="s">
        <v>20</v>
      </c>
      <c r="H102" s="12">
        <v>1</v>
      </c>
      <c r="I102" s="13">
        <v>44</v>
      </c>
      <c r="J102" s="14">
        <v>1212.4000000000001</v>
      </c>
      <c r="K102" s="14">
        <v>0</v>
      </c>
      <c r="L102" s="14">
        <v>0</v>
      </c>
      <c r="M102" s="14">
        <f>209+64+42.12+284.28</f>
        <v>599.4</v>
      </c>
      <c r="N102" s="14">
        <v>0</v>
      </c>
      <c r="O102" s="14">
        <f>24.25+141.62+72.74</f>
        <v>238.61</v>
      </c>
      <c r="P102" s="15">
        <f t="shared" si="3"/>
        <v>1573.19</v>
      </c>
    </row>
    <row r="103" spans="1:16" x14ac:dyDescent="0.25">
      <c r="A103" s="5" t="s">
        <v>16</v>
      </c>
      <c r="B103" s="6" t="s">
        <v>17</v>
      </c>
      <c r="C103" s="7" t="s">
        <v>209</v>
      </c>
      <c r="D103" s="8" t="s">
        <v>210</v>
      </c>
      <c r="E103" s="9">
        <v>2</v>
      </c>
      <c r="F103" s="10" t="s">
        <v>19</v>
      </c>
      <c r="G103" s="11" t="s">
        <v>20</v>
      </c>
      <c r="H103" s="12">
        <v>1</v>
      </c>
      <c r="I103" s="13">
        <v>44</v>
      </c>
      <c r="J103" s="14">
        <v>767.85</v>
      </c>
      <c r="K103" s="14">
        <v>0</v>
      </c>
      <c r="L103" s="14">
        <v>0</v>
      </c>
      <c r="M103" s="14">
        <f>444.55+132.37+18.83+169.45</f>
        <v>765.2</v>
      </c>
      <c r="N103" s="14">
        <v>0</v>
      </c>
      <c r="O103" s="14">
        <f>24.25+173.73+106.65+72.74</f>
        <v>377.37</v>
      </c>
      <c r="P103" s="15">
        <f t="shared" si="3"/>
        <v>1155.6800000000003</v>
      </c>
    </row>
    <row r="104" spans="1:16" x14ac:dyDescent="0.25">
      <c r="A104" s="5" t="s">
        <v>16</v>
      </c>
      <c r="B104" s="6" t="s">
        <v>17</v>
      </c>
      <c r="C104" s="7">
        <v>73554553468</v>
      </c>
      <c r="D104" s="8" t="s">
        <v>211</v>
      </c>
      <c r="E104" s="9">
        <v>2</v>
      </c>
      <c r="F104" s="10" t="s">
        <v>19</v>
      </c>
      <c r="G104" s="11" t="s">
        <v>20</v>
      </c>
      <c r="H104" s="12">
        <v>1</v>
      </c>
      <c r="I104" s="13">
        <v>44</v>
      </c>
      <c r="J104" s="14">
        <v>1010.33</v>
      </c>
      <c r="K104" s="14">
        <v>0</v>
      </c>
      <c r="L104" s="14">
        <v>0</v>
      </c>
      <c r="M104" s="14">
        <f>202.07+174.17+26.78+205.31</f>
        <v>608.32999999999993</v>
      </c>
      <c r="N104" s="14">
        <v>0</v>
      </c>
      <c r="O104" s="14">
        <f>24.25+129.99+72.74</f>
        <v>226.98000000000002</v>
      </c>
      <c r="P104" s="15">
        <f t="shared" si="3"/>
        <v>1391.6799999999998</v>
      </c>
    </row>
    <row r="105" spans="1:16" x14ac:dyDescent="0.25">
      <c r="A105" s="5" t="s">
        <v>16</v>
      </c>
      <c r="B105" s="6" t="s">
        <v>17</v>
      </c>
      <c r="C105" s="7">
        <v>90002172453</v>
      </c>
      <c r="D105" s="8" t="s">
        <v>212</v>
      </c>
      <c r="E105" s="9">
        <v>3</v>
      </c>
      <c r="F105" s="16" t="s">
        <v>99</v>
      </c>
      <c r="G105" s="11" t="s">
        <v>20</v>
      </c>
      <c r="H105" s="12">
        <v>1</v>
      </c>
      <c r="I105" s="13">
        <v>44</v>
      </c>
      <c r="J105" s="14">
        <v>1045</v>
      </c>
      <c r="K105" s="14">
        <v>0</v>
      </c>
      <c r="L105" s="14">
        <v>0</v>
      </c>
      <c r="M105" s="14">
        <f>209+4.13+27.87</f>
        <v>241</v>
      </c>
      <c r="N105" s="14">
        <v>0</v>
      </c>
      <c r="O105" s="14">
        <f>20.9+100.06+62.7</f>
        <v>183.66000000000003</v>
      </c>
      <c r="P105" s="15">
        <f t="shared" si="3"/>
        <v>1102.3399999999999</v>
      </c>
    </row>
    <row r="106" spans="1:16" x14ac:dyDescent="0.25">
      <c r="A106" s="5" t="s">
        <v>16</v>
      </c>
      <c r="B106" s="6" t="s">
        <v>17</v>
      </c>
      <c r="C106" s="7">
        <v>66049890463</v>
      </c>
      <c r="D106" s="8" t="s">
        <v>213</v>
      </c>
      <c r="E106" s="9">
        <v>3</v>
      </c>
      <c r="F106" s="19" t="s">
        <v>60</v>
      </c>
      <c r="G106" s="11" t="s">
        <v>20</v>
      </c>
      <c r="H106" s="12">
        <v>1</v>
      </c>
      <c r="I106" s="13">
        <v>44</v>
      </c>
      <c r="J106" s="14">
        <v>1045</v>
      </c>
      <c r="K106" s="14">
        <v>0</v>
      </c>
      <c r="L106" s="14">
        <v>0</v>
      </c>
      <c r="M106" s="14">
        <f>209+2.06+13.93</f>
        <v>224.99</v>
      </c>
      <c r="N106" s="14">
        <v>0</v>
      </c>
      <c r="O106" s="14">
        <f>20.9+98.61+62.7</f>
        <v>182.20999999999998</v>
      </c>
      <c r="P106" s="15">
        <f t="shared" si="3"/>
        <v>1087.78</v>
      </c>
    </row>
    <row r="107" spans="1:16" x14ac:dyDescent="0.25">
      <c r="A107" s="5" t="s">
        <v>16</v>
      </c>
      <c r="B107" s="6" t="s">
        <v>17</v>
      </c>
      <c r="C107" s="7">
        <v>40791564487</v>
      </c>
      <c r="D107" s="8" t="s">
        <v>214</v>
      </c>
      <c r="E107" s="9">
        <v>2</v>
      </c>
      <c r="F107" s="10" t="s">
        <v>30</v>
      </c>
      <c r="G107" s="11" t="s">
        <v>20</v>
      </c>
      <c r="H107" s="12">
        <v>1</v>
      </c>
      <c r="I107" s="13">
        <v>44</v>
      </c>
      <c r="J107" s="14">
        <v>0</v>
      </c>
      <c r="K107" s="14">
        <f>3549.09+1183.03+585.43</f>
        <v>5317.55</v>
      </c>
      <c r="L107" s="14">
        <v>0</v>
      </c>
      <c r="M107" s="14">
        <f>505+161.14</f>
        <v>666.14</v>
      </c>
      <c r="N107" s="14">
        <v>0</v>
      </c>
      <c r="O107" s="14">
        <f>603.39+427.03+2.43+4287.13+93.26</f>
        <v>5413.2400000000007</v>
      </c>
      <c r="P107" s="15">
        <f t="shared" si="3"/>
        <v>570.44999999999982</v>
      </c>
    </row>
    <row r="108" spans="1:16" x14ac:dyDescent="0.25">
      <c r="A108" s="5" t="s">
        <v>16</v>
      </c>
      <c r="B108" s="6" t="s">
        <v>17</v>
      </c>
      <c r="C108" s="7" t="s">
        <v>215</v>
      </c>
      <c r="D108" s="8" t="s">
        <v>216</v>
      </c>
      <c r="E108" s="9">
        <v>3</v>
      </c>
      <c r="F108" s="19" t="s">
        <v>60</v>
      </c>
      <c r="G108" s="11" t="s">
        <v>20</v>
      </c>
      <c r="H108" s="12">
        <v>1</v>
      </c>
      <c r="I108" s="13">
        <v>44</v>
      </c>
      <c r="J108" s="14">
        <v>487.67</v>
      </c>
      <c r="K108" s="14">
        <f>501.6+167.2+752.4+250.8</f>
        <v>1671.9999999999998</v>
      </c>
      <c r="L108" s="14">
        <v>0</v>
      </c>
      <c r="M108" s="14">
        <f>139.33+97.54</f>
        <v>236.87</v>
      </c>
      <c r="N108" s="14">
        <v>0</v>
      </c>
      <c r="O108" s="14">
        <f>20.9+1537.2+74.41+134.8+62.7</f>
        <v>1830.0100000000002</v>
      </c>
      <c r="P108" s="15">
        <f t="shared" si="3"/>
        <v>566.52999999999929</v>
      </c>
    </row>
    <row r="109" spans="1:16" x14ac:dyDescent="0.25">
      <c r="A109" s="5" t="s">
        <v>16</v>
      </c>
      <c r="B109" s="6" t="s">
        <v>17</v>
      </c>
      <c r="C109" s="7">
        <v>50022440410</v>
      </c>
      <c r="D109" s="8" t="s">
        <v>217</v>
      </c>
      <c r="E109" s="9">
        <v>2</v>
      </c>
      <c r="F109" s="10" t="s">
        <v>19</v>
      </c>
      <c r="G109" s="11" t="s">
        <v>20</v>
      </c>
      <c r="H109" s="12">
        <v>1</v>
      </c>
      <c r="I109" s="13">
        <v>44</v>
      </c>
      <c r="J109" s="14">
        <v>1212.4000000000001</v>
      </c>
      <c r="K109" s="14">
        <v>0</v>
      </c>
      <c r="L109" s="14">
        <v>0</v>
      </c>
      <c r="M109" s="14">
        <f>209+42.12+284.28</f>
        <v>535.4</v>
      </c>
      <c r="N109" s="14">
        <v>0</v>
      </c>
      <c r="O109" s="14">
        <f>24.25+141.62</f>
        <v>165.87</v>
      </c>
      <c r="P109" s="15">
        <f t="shared" si="3"/>
        <v>1581.9300000000003</v>
      </c>
    </row>
    <row r="110" spans="1:16" x14ac:dyDescent="0.25">
      <c r="A110" s="5" t="s">
        <v>16</v>
      </c>
      <c r="B110" s="6" t="s">
        <v>17</v>
      </c>
      <c r="C110" s="7">
        <v>42713978491</v>
      </c>
      <c r="D110" s="8" t="s">
        <v>218</v>
      </c>
      <c r="E110" s="9">
        <v>2</v>
      </c>
      <c r="F110" s="10" t="s">
        <v>19</v>
      </c>
      <c r="G110" s="11" t="s">
        <v>20</v>
      </c>
      <c r="H110" s="12">
        <v>1</v>
      </c>
      <c r="I110" s="13">
        <v>44</v>
      </c>
      <c r="J110" s="14">
        <v>1010.33</v>
      </c>
      <c r="K110" s="14">
        <v>0</v>
      </c>
      <c r="L110" s="14">
        <v>0</v>
      </c>
      <c r="M110" s="14">
        <f>202.07+174.17</f>
        <v>376.24</v>
      </c>
      <c r="N110" s="14">
        <v>0</v>
      </c>
      <c r="O110" s="14">
        <f>24.25+109.114+72.74</f>
        <v>206.10399999999998</v>
      </c>
      <c r="P110" s="15">
        <f t="shared" si="3"/>
        <v>1180.4660000000001</v>
      </c>
    </row>
    <row r="111" spans="1:16" x14ac:dyDescent="0.25">
      <c r="A111" s="5" t="s">
        <v>16</v>
      </c>
      <c r="B111" s="6" t="s">
        <v>17</v>
      </c>
      <c r="C111" s="7">
        <v>97586390487</v>
      </c>
      <c r="D111" s="8" t="s">
        <v>219</v>
      </c>
      <c r="E111" s="9">
        <v>2</v>
      </c>
      <c r="F111" s="10" t="s">
        <v>19</v>
      </c>
      <c r="G111" s="11" t="s">
        <v>20</v>
      </c>
      <c r="H111" s="12">
        <v>1</v>
      </c>
      <c r="I111" s="13">
        <v>44</v>
      </c>
      <c r="J111" s="14">
        <v>1212.4000000000001</v>
      </c>
      <c r="K111" s="14">
        <v>0</v>
      </c>
      <c r="L111" s="14">
        <v>0</v>
      </c>
      <c r="M111" s="14">
        <f>209</f>
        <v>209</v>
      </c>
      <c r="N111" s="14">
        <v>0</v>
      </c>
      <c r="O111" s="14">
        <f>24.25+112.24+72.74</f>
        <v>209.23000000000002</v>
      </c>
      <c r="P111" s="15">
        <f t="shared" si="3"/>
        <v>1212.17</v>
      </c>
    </row>
    <row r="112" spans="1:16" x14ac:dyDescent="0.25">
      <c r="A112" s="5" t="s">
        <v>16</v>
      </c>
      <c r="B112" s="6" t="s">
        <v>17</v>
      </c>
      <c r="C112" s="7" t="s">
        <v>220</v>
      </c>
      <c r="D112" s="8" t="s">
        <v>221</v>
      </c>
      <c r="E112" s="9">
        <v>2</v>
      </c>
      <c r="F112" s="16" t="s">
        <v>74</v>
      </c>
      <c r="G112" s="11" t="s">
        <v>20</v>
      </c>
      <c r="H112" s="12">
        <v>1</v>
      </c>
      <c r="I112" s="13">
        <v>44</v>
      </c>
      <c r="J112" s="14">
        <v>3132.6</v>
      </c>
      <c r="K112" s="14">
        <v>0</v>
      </c>
      <c r="L112" s="14">
        <v>0</v>
      </c>
      <c r="M112" s="14">
        <f>209+118.81+801.98</f>
        <v>1129.79</v>
      </c>
      <c r="N112" s="14">
        <v>0</v>
      </c>
      <c r="O112" s="14">
        <f>14.92+455.66+220.38</f>
        <v>690.96</v>
      </c>
      <c r="P112" s="15">
        <f t="shared" si="3"/>
        <v>3571.4299999999994</v>
      </c>
    </row>
    <row r="113" spans="1:16" x14ac:dyDescent="0.25">
      <c r="A113" s="5" t="s">
        <v>16</v>
      </c>
      <c r="B113" s="6" t="s">
        <v>17</v>
      </c>
      <c r="C113" s="7">
        <v>86334050400</v>
      </c>
      <c r="D113" s="8" t="s">
        <v>222</v>
      </c>
      <c r="E113" s="9">
        <v>2</v>
      </c>
      <c r="F113" s="22" t="s">
        <v>223</v>
      </c>
      <c r="G113" s="11" t="s">
        <v>20</v>
      </c>
      <c r="H113" s="12">
        <v>1</v>
      </c>
      <c r="I113" s="13">
        <v>44</v>
      </c>
      <c r="J113" s="14">
        <v>1182.74</v>
      </c>
      <c r="K113" s="14">
        <v>0</v>
      </c>
      <c r="L113" s="14">
        <v>0</v>
      </c>
      <c r="M113" s="14">
        <f>209</f>
        <v>209</v>
      </c>
      <c r="N113" s="14">
        <v>0</v>
      </c>
      <c r="O113" s="14">
        <f>23.65+109.57</f>
        <v>133.22</v>
      </c>
      <c r="P113" s="15">
        <f t="shared" si="3"/>
        <v>1258.52</v>
      </c>
    </row>
    <row r="114" spans="1:16" x14ac:dyDescent="0.25">
      <c r="A114" s="5" t="s">
        <v>16</v>
      </c>
      <c r="B114" s="6" t="s">
        <v>17</v>
      </c>
      <c r="C114" s="7" t="s">
        <v>224</v>
      </c>
      <c r="D114" s="8" t="s">
        <v>225</v>
      </c>
      <c r="E114" s="9">
        <v>3</v>
      </c>
      <c r="F114" s="16" t="s">
        <v>109</v>
      </c>
      <c r="G114" s="11" t="s">
        <v>20</v>
      </c>
      <c r="H114" s="12">
        <v>2</v>
      </c>
      <c r="I114" s="13">
        <v>44</v>
      </c>
      <c r="J114" s="14">
        <v>3390.73</v>
      </c>
      <c r="K114" s="14">
        <v>0</v>
      </c>
      <c r="L114" s="14">
        <v>0</v>
      </c>
      <c r="M114" s="14">
        <v>209</v>
      </c>
      <c r="N114" s="14">
        <v>0</v>
      </c>
      <c r="O114" s="14">
        <f>67.81+362.89+102.29</f>
        <v>532.99</v>
      </c>
      <c r="P114" s="15">
        <f t="shared" si="3"/>
        <v>3066.74</v>
      </c>
    </row>
    <row r="115" spans="1:16" x14ac:dyDescent="0.25">
      <c r="A115" s="5" t="s">
        <v>16</v>
      </c>
      <c r="B115" s="6" t="s">
        <v>17</v>
      </c>
      <c r="C115" s="7" t="s">
        <v>226</v>
      </c>
      <c r="D115" s="8" t="s">
        <v>227</v>
      </c>
      <c r="E115" s="9">
        <v>3</v>
      </c>
      <c r="F115" s="10" t="s">
        <v>63</v>
      </c>
      <c r="G115" s="11" t="s">
        <v>20</v>
      </c>
      <c r="H115" s="12">
        <v>1</v>
      </c>
      <c r="I115" s="13">
        <v>44</v>
      </c>
      <c r="J115" s="14">
        <v>627</v>
      </c>
      <c r="K115" s="14">
        <f>501.6+167.2+752.4+250.8+18.48+27.72</f>
        <v>1718.1999999999998</v>
      </c>
      <c r="L115" s="14">
        <v>0</v>
      </c>
      <c r="M115" s="14">
        <f>125.4</f>
        <v>125.4</v>
      </c>
      <c r="N115" s="14">
        <v>0</v>
      </c>
      <c r="O115" s="14">
        <f>138.95+20.9+1579.25+78.31+136.46</f>
        <v>1953.87</v>
      </c>
      <c r="P115" s="15">
        <f t="shared" si="3"/>
        <v>516.73</v>
      </c>
    </row>
    <row r="116" spans="1:16" x14ac:dyDescent="0.25">
      <c r="A116" s="5" t="s">
        <v>16</v>
      </c>
      <c r="B116" s="6" t="s">
        <v>17</v>
      </c>
      <c r="C116" s="7" t="s">
        <v>228</v>
      </c>
      <c r="D116" s="8" t="s">
        <v>229</v>
      </c>
      <c r="E116" s="9">
        <v>2</v>
      </c>
      <c r="F116" s="10" t="s">
        <v>30</v>
      </c>
      <c r="G116" s="11" t="s">
        <v>20</v>
      </c>
      <c r="H116" s="12">
        <v>1</v>
      </c>
      <c r="I116" s="13">
        <v>44</v>
      </c>
      <c r="J116" s="14">
        <v>1715.49</v>
      </c>
      <c r="K116" s="14">
        <v>0</v>
      </c>
      <c r="L116" s="14">
        <v>0</v>
      </c>
      <c r="M116" s="14">
        <f>209</f>
        <v>209</v>
      </c>
      <c r="N116" s="14">
        <v>0</v>
      </c>
      <c r="O116" s="14">
        <f>2.43+157.52</f>
        <v>159.95000000000002</v>
      </c>
      <c r="P116" s="15">
        <f t="shared" si="3"/>
        <v>1764.54</v>
      </c>
    </row>
    <row r="117" spans="1:16" x14ac:dyDescent="0.25">
      <c r="A117" s="5" t="s">
        <v>16</v>
      </c>
      <c r="B117" s="6" t="s">
        <v>17</v>
      </c>
      <c r="C117" s="7" t="s">
        <v>230</v>
      </c>
      <c r="D117" s="8" t="s">
        <v>231</v>
      </c>
      <c r="E117" s="9">
        <v>3</v>
      </c>
      <c r="F117" s="10" t="s">
        <v>63</v>
      </c>
      <c r="G117" s="11" t="s">
        <v>20</v>
      </c>
      <c r="H117" s="12">
        <v>1</v>
      </c>
      <c r="I117" s="13">
        <v>44</v>
      </c>
      <c r="J117" s="14">
        <v>1045</v>
      </c>
      <c r="K117" s="14">
        <v>0</v>
      </c>
      <c r="L117" s="14">
        <v>0</v>
      </c>
      <c r="M117" s="14">
        <f>209+35.09+236.87</f>
        <v>480.96000000000004</v>
      </c>
      <c r="N117" s="14">
        <v>0</v>
      </c>
      <c r="O117" s="14">
        <f>20.9+121.65+62.7</f>
        <v>205.25</v>
      </c>
      <c r="P117" s="15">
        <f t="shared" si="3"/>
        <v>1320.71</v>
      </c>
    </row>
    <row r="118" spans="1:16" x14ac:dyDescent="0.25">
      <c r="A118" s="5" t="s">
        <v>16</v>
      </c>
      <c r="B118" s="6" t="s">
        <v>17</v>
      </c>
      <c r="C118" s="7" t="s">
        <v>232</v>
      </c>
      <c r="D118" s="8" t="s">
        <v>233</v>
      </c>
      <c r="E118" s="9">
        <v>3</v>
      </c>
      <c r="F118" s="10" t="s">
        <v>234</v>
      </c>
      <c r="G118" s="11" t="s">
        <v>20</v>
      </c>
      <c r="H118" s="12">
        <v>2</v>
      </c>
      <c r="I118" s="13">
        <v>44</v>
      </c>
      <c r="J118" s="14">
        <v>2587.5</v>
      </c>
      <c r="K118" s="14">
        <v>0</v>
      </c>
      <c r="L118" s="14">
        <v>0</v>
      </c>
      <c r="M118" s="14">
        <v>209</v>
      </c>
      <c r="N118" s="14">
        <v>0</v>
      </c>
      <c r="O118" s="14">
        <f>51.75+257.2+19.21</f>
        <v>328.15999999999997</v>
      </c>
      <c r="P118" s="15">
        <f t="shared" si="3"/>
        <v>2468.34</v>
      </c>
    </row>
    <row r="119" spans="1:16" x14ac:dyDescent="0.25">
      <c r="A119" s="5" t="s">
        <v>16</v>
      </c>
      <c r="B119" s="6" t="s">
        <v>17</v>
      </c>
      <c r="C119" s="7" t="s">
        <v>235</v>
      </c>
      <c r="D119" s="8" t="s">
        <v>236</v>
      </c>
      <c r="E119" s="9">
        <v>2</v>
      </c>
      <c r="F119" s="10" t="s">
        <v>35</v>
      </c>
      <c r="G119" s="11" t="s">
        <v>20</v>
      </c>
      <c r="H119" s="12">
        <v>1</v>
      </c>
      <c r="I119" s="13">
        <v>44</v>
      </c>
      <c r="J119" s="14">
        <v>2030.47</v>
      </c>
      <c r="K119" s="14">
        <v>0</v>
      </c>
      <c r="L119" s="14">
        <v>1015.24</v>
      </c>
      <c r="M119" s="14">
        <f>42.11+284.27+812.19</f>
        <v>1138.5700000000002</v>
      </c>
      <c r="N119" s="14">
        <v>0</v>
      </c>
      <c r="O119" s="14">
        <f>302.59+43.75</f>
        <v>346.34</v>
      </c>
      <c r="P119" s="15">
        <f t="shared" si="3"/>
        <v>3837.9400000000005</v>
      </c>
    </row>
    <row r="120" spans="1:16" x14ac:dyDescent="0.25">
      <c r="A120" s="5" t="s">
        <v>16</v>
      </c>
      <c r="B120" s="6" t="s">
        <v>17</v>
      </c>
      <c r="C120" s="7" t="s">
        <v>237</v>
      </c>
      <c r="D120" s="8" t="s">
        <v>238</v>
      </c>
      <c r="E120" s="9">
        <v>3</v>
      </c>
      <c r="F120" s="10" t="s">
        <v>63</v>
      </c>
      <c r="G120" s="11" t="s">
        <v>20</v>
      </c>
      <c r="H120" s="12">
        <v>1</v>
      </c>
      <c r="I120" s="13">
        <v>44</v>
      </c>
      <c r="J120" s="14">
        <v>1045</v>
      </c>
      <c r="K120" s="14">
        <v>0</v>
      </c>
      <c r="L120" s="14">
        <v>0</v>
      </c>
      <c r="M120" s="14">
        <f>209+2.06+13.93</f>
        <v>224.99</v>
      </c>
      <c r="N120" s="14">
        <v>0</v>
      </c>
      <c r="O120" s="14">
        <f>20.9+98.61+62.7</f>
        <v>182.20999999999998</v>
      </c>
      <c r="P120" s="15">
        <f t="shared" si="3"/>
        <v>1087.78</v>
      </c>
    </row>
    <row r="121" spans="1:16" x14ac:dyDescent="0.25">
      <c r="A121" s="5" t="s">
        <v>16</v>
      </c>
      <c r="B121" s="6" t="s">
        <v>17</v>
      </c>
      <c r="C121" s="7">
        <v>66715300410</v>
      </c>
      <c r="D121" s="8" t="s">
        <v>239</v>
      </c>
      <c r="E121" s="9">
        <v>2</v>
      </c>
      <c r="F121" s="10" t="s">
        <v>19</v>
      </c>
      <c r="G121" s="11" t="s">
        <v>20</v>
      </c>
      <c r="H121" s="12">
        <v>1</v>
      </c>
      <c r="I121" s="13">
        <v>44</v>
      </c>
      <c r="J121" s="14">
        <v>1212.4000000000001</v>
      </c>
      <c r="K121" s="14">
        <v>0</v>
      </c>
      <c r="L121" s="14">
        <v>0</v>
      </c>
      <c r="M121" s="14">
        <f>209+14.04+94.76</f>
        <v>317.8</v>
      </c>
      <c r="N121" s="14">
        <v>0</v>
      </c>
      <c r="O121" s="14">
        <f>24.25+122.03+72.74</f>
        <v>219.01999999999998</v>
      </c>
      <c r="P121" s="15">
        <f t="shared" si="3"/>
        <v>1311.18</v>
      </c>
    </row>
    <row r="122" spans="1:16" x14ac:dyDescent="0.25">
      <c r="A122" s="5" t="s">
        <v>16</v>
      </c>
      <c r="B122" s="6" t="s">
        <v>17</v>
      </c>
      <c r="C122" s="7" t="s">
        <v>240</v>
      </c>
      <c r="D122" s="8" t="s">
        <v>241</v>
      </c>
      <c r="E122" s="9">
        <v>2</v>
      </c>
      <c r="F122" s="10" t="s">
        <v>19</v>
      </c>
      <c r="G122" s="11" t="s">
        <v>20</v>
      </c>
      <c r="H122" s="12">
        <v>1</v>
      </c>
      <c r="I122" s="13">
        <v>44</v>
      </c>
      <c r="J122" s="14">
        <v>1212.4000000000001</v>
      </c>
      <c r="K122" s="14">
        <v>0</v>
      </c>
      <c r="L122" s="14">
        <v>0</v>
      </c>
      <c r="M122" s="14">
        <f>209+48.62</f>
        <v>257.62</v>
      </c>
      <c r="N122" s="14">
        <v>0</v>
      </c>
      <c r="O122" s="14">
        <f>24.25+112.24+72.74</f>
        <v>209.23000000000002</v>
      </c>
      <c r="P122" s="15">
        <f t="shared" si="3"/>
        <v>1260.79</v>
      </c>
    </row>
    <row r="123" spans="1:16" x14ac:dyDescent="0.25">
      <c r="A123" s="5" t="s">
        <v>16</v>
      </c>
      <c r="B123" s="6" t="s">
        <v>17</v>
      </c>
      <c r="C123" s="7" t="s">
        <v>242</v>
      </c>
      <c r="D123" s="8" t="s">
        <v>243</v>
      </c>
      <c r="E123" s="9">
        <v>3</v>
      </c>
      <c r="F123" s="19" t="s">
        <v>60</v>
      </c>
      <c r="G123" s="11" t="s">
        <v>20</v>
      </c>
      <c r="H123" s="12">
        <v>1</v>
      </c>
      <c r="I123" s="13">
        <v>44</v>
      </c>
      <c r="J123" s="14">
        <v>870.83</v>
      </c>
      <c r="K123" s="14">
        <v>0</v>
      </c>
      <c r="L123" s="14">
        <v>0</v>
      </c>
      <c r="M123" s="14">
        <f>174.17+174.17+64+32.93+181.13</f>
        <v>626.4</v>
      </c>
      <c r="N123" s="14">
        <v>0</v>
      </c>
      <c r="O123" s="14">
        <f>20.9+113.31+62.7</f>
        <v>196.91000000000003</v>
      </c>
      <c r="P123" s="15">
        <f t="shared" si="3"/>
        <v>1300.32</v>
      </c>
    </row>
    <row r="124" spans="1:16" x14ac:dyDescent="0.25">
      <c r="A124" s="5" t="s">
        <v>16</v>
      </c>
      <c r="B124" s="6" t="s">
        <v>17</v>
      </c>
      <c r="C124" s="7">
        <v>71197891471</v>
      </c>
      <c r="D124" s="8" t="s">
        <v>244</v>
      </c>
      <c r="E124" s="9">
        <v>3</v>
      </c>
      <c r="F124" s="16" t="s">
        <v>25</v>
      </c>
      <c r="G124" s="11" t="s">
        <v>20</v>
      </c>
      <c r="H124" s="12">
        <v>1</v>
      </c>
      <c r="I124" s="13">
        <v>44</v>
      </c>
      <c r="J124" s="14">
        <v>1055.93</v>
      </c>
      <c r="K124" s="14">
        <v>0</v>
      </c>
      <c r="L124" s="14">
        <v>0</v>
      </c>
      <c r="M124" s="14">
        <f>209+4.16+28.11</f>
        <v>241.26999999999998</v>
      </c>
      <c r="N124" s="14">
        <v>0</v>
      </c>
      <c r="O124" s="14">
        <f>21.12+101.06+63.36</f>
        <v>185.54000000000002</v>
      </c>
      <c r="P124" s="15">
        <f t="shared" si="3"/>
        <v>1111.6600000000001</v>
      </c>
    </row>
    <row r="125" spans="1:16" x14ac:dyDescent="0.25">
      <c r="A125" s="5" t="s">
        <v>16</v>
      </c>
      <c r="B125" s="6" t="s">
        <v>17</v>
      </c>
      <c r="C125" s="7" t="s">
        <v>245</v>
      </c>
      <c r="D125" s="8" t="s">
        <v>246</v>
      </c>
      <c r="E125" s="9">
        <v>3</v>
      </c>
      <c r="F125" s="16" t="s">
        <v>68</v>
      </c>
      <c r="G125" s="11" t="s">
        <v>20</v>
      </c>
      <c r="H125" s="12">
        <v>1</v>
      </c>
      <c r="I125" s="13">
        <v>44</v>
      </c>
      <c r="J125" s="14">
        <v>752.73</v>
      </c>
      <c r="K125" s="14">
        <f>585.42+195.14+878.13+292.71+213.89+320.84</f>
        <v>2486.13</v>
      </c>
      <c r="L125" s="14">
        <v>0</v>
      </c>
      <c r="M125" s="14">
        <f>125.4+51.83+276.45</f>
        <v>453.68</v>
      </c>
      <c r="N125" s="14">
        <v>0</v>
      </c>
      <c r="O125" s="14">
        <f>25.09+2253.23+149.51+181.46+12.94+219.96</f>
        <v>2842.19</v>
      </c>
      <c r="P125" s="15">
        <f t="shared" si="3"/>
        <v>850.34999999999991</v>
      </c>
    </row>
    <row r="126" spans="1:16" x14ac:dyDescent="0.25">
      <c r="A126" s="5" t="s">
        <v>16</v>
      </c>
      <c r="B126" s="6" t="s">
        <v>17</v>
      </c>
      <c r="C126" s="7" t="s">
        <v>247</v>
      </c>
      <c r="D126" s="8" t="s">
        <v>248</v>
      </c>
      <c r="E126" s="9">
        <v>2</v>
      </c>
      <c r="F126" s="10" t="s">
        <v>19</v>
      </c>
      <c r="G126" s="11" t="s">
        <v>20</v>
      </c>
      <c r="H126" s="12">
        <v>1</v>
      </c>
      <c r="I126" s="13">
        <v>44</v>
      </c>
      <c r="J126" s="14">
        <v>1212.4000000000001</v>
      </c>
      <c r="K126" s="14">
        <v>0</v>
      </c>
      <c r="L126" s="14">
        <v>0</v>
      </c>
      <c r="M126" s="14">
        <f>209+64+37.44+252.69</f>
        <v>563.13</v>
      </c>
      <c r="N126" s="14">
        <v>0</v>
      </c>
      <c r="O126" s="14">
        <f>24.25+138.35+72.74</f>
        <v>235.33999999999997</v>
      </c>
      <c r="P126" s="15">
        <f t="shared" si="3"/>
        <v>1540.1900000000003</v>
      </c>
    </row>
    <row r="127" spans="1:16" x14ac:dyDescent="0.25">
      <c r="A127" s="5" t="s">
        <v>16</v>
      </c>
      <c r="B127" s="6" t="s">
        <v>17</v>
      </c>
      <c r="C127" s="7">
        <v>11141755440</v>
      </c>
      <c r="D127" s="8" t="s">
        <v>249</v>
      </c>
      <c r="E127" s="9">
        <v>3</v>
      </c>
      <c r="F127" s="10" t="s">
        <v>250</v>
      </c>
      <c r="G127" s="11" t="s">
        <v>20</v>
      </c>
      <c r="H127" s="12">
        <v>2</v>
      </c>
      <c r="I127" s="13">
        <v>44</v>
      </c>
      <c r="J127" s="14">
        <v>1242</v>
      </c>
      <c r="K127" s="14">
        <f>911.6+303.87+1367.4+455.8</f>
        <v>3038.67</v>
      </c>
      <c r="L127" s="14">
        <v>0</v>
      </c>
      <c r="M127" s="14">
        <v>125.4</v>
      </c>
      <c r="N127" s="14">
        <v>0</v>
      </c>
      <c r="O127" s="14">
        <f>41.4+2688.78+189.52+286.26+63.63</f>
        <v>3269.59</v>
      </c>
      <c r="P127" s="15">
        <f t="shared" si="3"/>
        <v>1136.4799999999996</v>
      </c>
    </row>
    <row r="128" spans="1:16" x14ac:dyDescent="0.25">
      <c r="A128" s="5" t="s">
        <v>16</v>
      </c>
      <c r="B128" s="6" t="s">
        <v>17</v>
      </c>
      <c r="C128" s="7">
        <v>82203210400</v>
      </c>
      <c r="D128" s="8" t="s">
        <v>251</v>
      </c>
      <c r="E128" s="9">
        <v>2</v>
      </c>
      <c r="F128" s="10" t="s">
        <v>35</v>
      </c>
      <c r="G128" s="11" t="s">
        <v>20</v>
      </c>
      <c r="H128" s="12">
        <v>1</v>
      </c>
      <c r="I128" s="13">
        <v>44</v>
      </c>
      <c r="J128" s="14">
        <v>2030.47</v>
      </c>
      <c r="K128" s="14">
        <v>0</v>
      </c>
      <c r="L128" s="14">
        <v>1015.24</v>
      </c>
      <c r="M128" s="14">
        <f>21.06+142.13+812.19</f>
        <v>975.38000000000011</v>
      </c>
      <c r="N128" s="14">
        <v>0</v>
      </c>
      <c r="O128" s="14">
        <f>282.33+47.24+121.83</f>
        <v>451.4</v>
      </c>
      <c r="P128" s="15">
        <f t="shared" ref="P128:P143" si="4">SUM(J128:N128)-O128</f>
        <v>3569.69</v>
      </c>
    </row>
    <row r="129" spans="1:17" x14ac:dyDescent="0.25">
      <c r="A129" s="5" t="s">
        <v>16</v>
      </c>
      <c r="B129" s="6" t="s">
        <v>17</v>
      </c>
      <c r="C129" s="7" t="s">
        <v>252</v>
      </c>
      <c r="D129" s="8" t="s">
        <v>253</v>
      </c>
      <c r="E129" s="9">
        <v>3</v>
      </c>
      <c r="F129" s="10" t="s">
        <v>63</v>
      </c>
      <c r="G129" s="11" t="s">
        <v>20</v>
      </c>
      <c r="H129" s="12">
        <v>1</v>
      </c>
      <c r="I129" s="13">
        <v>44</v>
      </c>
      <c r="J129" s="14">
        <v>1045</v>
      </c>
      <c r="K129" s="14">
        <v>0</v>
      </c>
      <c r="L129" s="14">
        <v>0</v>
      </c>
      <c r="M129" s="14">
        <f>209+64+35.09+236.87</f>
        <v>544.96</v>
      </c>
      <c r="N129" s="14">
        <v>0</v>
      </c>
      <c r="O129" s="14">
        <f>20.9+121.65</f>
        <v>142.55000000000001</v>
      </c>
      <c r="P129" s="15">
        <f t="shared" si="4"/>
        <v>1447.41</v>
      </c>
    </row>
    <row r="130" spans="1:17" x14ac:dyDescent="0.25">
      <c r="A130" s="5" t="s">
        <v>16</v>
      </c>
      <c r="B130" s="6" t="s">
        <v>17</v>
      </c>
      <c r="C130" s="7" t="s">
        <v>254</v>
      </c>
      <c r="D130" s="17" t="s">
        <v>255</v>
      </c>
      <c r="E130" s="9">
        <v>3</v>
      </c>
      <c r="F130" s="16" t="s">
        <v>99</v>
      </c>
      <c r="G130" s="11" t="s">
        <v>20</v>
      </c>
      <c r="H130" s="12">
        <v>1</v>
      </c>
      <c r="I130" s="13">
        <v>44</v>
      </c>
      <c r="J130" s="14">
        <v>1045</v>
      </c>
      <c r="K130" s="14">
        <v>0</v>
      </c>
      <c r="L130" s="14">
        <v>0</v>
      </c>
      <c r="M130" s="14">
        <f>209+37.16+250.8</f>
        <v>496.96000000000004</v>
      </c>
      <c r="N130" s="14">
        <v>0</v>
      </c>
      <c r="O130" s="14">
        <f>20.9+123.09+62.7</f>
        <v>206.69</v>
      </c>
      <c r="P130" s="15">
        <f t="shared" si="4"/>
        <v>1335.27</v>
      </c>
    </row>
    <row r="131" spans="1:17" x14ac:dyDescent="0.25">
      <c r="A131" s="5" t="s">
        <v>16</v>
      </c>
      <c r="B131" s="6" t="s">
        <v>17</v>
      </c>
      <c r="C131" s="7">
        <v>50934384487</v>
      </c>
      <c r="D131" s="8" t="s">
        <v>256</v>
      </c>
      <c r="E131" s="9">
        <v>2</v>
      </c>
      <c r="F131" s="10" t="s">
        <v>30</v>
      </c>
      <c r="G131" s="11" t="s">
        <v>20</v>
      </c>
      <c r="H131" s="12">
        <v>1</v>
      </c>
      <c r="I131" s="13">
        <v>44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5">
        <v>0</v>
      </c>
    </row>
    <row r="132" spans="1:17" x14ac:dyDescent="0.25">
      <c r="A132" s="5" t="s">
        <v>16</v>
      </c>
      <c r="B132" s="6" t="s">
        <v>17</v>
      </c>
      <c r="C132" s="7" t="s">
        <v>257</v>
      </c>
      <c r="D132" s="8" t="s">
        <v>258</v>
      </c>
      <c r="E132" s="9">
        <v>2</v>
      </c>
      <c r="F132" s="10" t="s">
        <v>19</v>
      </c>
      <c r="G132" s="11" t="s">
        <v>20</v>
      </c>
      <c r="H132" s="12">
        <v>1</v>
      </c>
      <c r="I132" s="13">
        <v>44</v>
      </c>
      <c r="J132" s="14">
        <v>1212.4000000000001</v>
      </c>
      <c r="K132" s="14">
        <v>0</v>
      </c>
      <c r="L132" s="14">
        <v>0</v>
      </c>
      <c r="M132" s="14">
        <f>209+42.12+284.28</f>
        <v>535.4</v>
      </c>
      <c r="N132" s="14">
        <v>0</v>
      </c>
      <c r="O132" s="14">
        <f>24.25+141.62+72.74</f>
        <v>238.61</v>
      </c>
      <c r="P132" s="15">
        <f t="shared" si="4"/>
        <v>1509.19</v>
      </c>
    </row>
    <row r="133" spans="1:17" x14ac:dyDescent="0.25">
      <c r="A133" s="5" t="s">
        <v>16</v>
      </c>
      <c r="B133" s="6" t="s">
        <v>17</v>
      </c>
      <c r="C133" s="7" t="s">
        <v>259</v>
      </c>
      <c r="D133" s="8" t="s">
        <v>260</v>
      </c>
      <c r="E133" s="9">
        <v>2</v>
      </c>
      <c r="F133" s="16" t="s">
        <v>55</v>
      </c>
      <c r="G133" s="11" t="s">
        <v>20</v>
      </c>
      <c r="H133" s="12">
        <v>1</v>
      </c>
      <c r="I133" s="13">
        <v>44</v>
      </c>
      <c r="J133" s="14">
        <v>1208.82</v>
      </c>
      <c r="K133" s="14">
        <v>0</v>
      </c>
      <c r="L133" s="14">
        <v>0</v>
      </c>
      <c r="M133" s="14">
        <f>209+37.34+252.06</f>
        <v>498.4</v>
      </c>
      <c r="N133" s="14">
        <v>0</v>
      </c>
      <c r="O133" s="14">
        <f>24.18+137.96</f>
        <v>162.14000000000001</v>
      </c>
      <c r="P133" s="15">
        <f t="shared" si="4"/>
        <v>1545.0799999999997</v>
      </c>
    </row>
    <row r="134" spans="1:17" x14ac:dyDescent="0.25">
      <c r="A134" s="5" t="s">
        <v>16</v>
      </c>
      <c r="B134" s="6" t="s">
        <v>17</v>
      </c>
      <c r="C134" s="7" t="s">
        <v>261</v>
      </c>
      <c r="D134" s="17" t="s">
        <v>262</v>
      </c>
      <c r="E134" s="9">
        <v>2</v>
      </c>
      <c r="F134" s="10" t="s">
        <v>30</v>
      </c>
      <c r="G134" s="11" t="s">
        <v>20</v>
      </c>
      <c r="H134" s="12">
        <v>1</v>
      </c>
      <c r="I134" s="13">
        <v>44</v>
      </c>
      <c r="J134" s="14">
        <v>1715.49</v>
      </c>
      <c r="K134" s="14">
        <v>0</v>
      </c>
      <c r="L134" s="14">
        <v>0</v>
      </c>
      <c r="M134" s="14">
        <f>209+25.66+173.2</f>
        <v>407.86</v>
      </c>
      <c r="N134" s="14">
        <v>0</v>
      </c>
      <c r="O134" s="14">
        <f>2.43+176.43</f>
        <v>178.86</v>
      </c>
      <c r="P134" s="15">
        <f t="shared" si="4"/>
        <v>1944.4899999999998</v>
      </c>
    </row>
    <row r="135" spans="1:17" x14ac:dyDescent="0.25">
      <c r="A135" s="5" t="s">
        <v>16</v>
      </c>
      <c r="B135" s="6" t="s">
        <v>17</v>
      </c>
      <c r="C135" s="7" t="s">
        <v>263</v>
      </c>
      <c r="D135" s="8" t="s">
        <v>264</v>
      </c>
      <c r="E135" s="9">
        <v>2</v>
      </c>
      <c r="F135" s="16" t="s">
        <v>74</v>
      </c>
      <c r="G135" s="11" t="s">
        <v>20</v>
      </c>
      <c r="H135" s="12">
        <v>1</v>
      </c>
      <c r="I135" s="13">
        <v>44</v>
      </c>
      <c r="J135" s="14">
        <v>3132.6</v>
      </c>
      <c r="K135" s="14">
        <v>0</v>
      </c>
      <c r="L135" s="14">
        <v>0</v>
      </c>
      <c r="M135" s="14">
        <v>209</v>
      </c>
      <c r="N135" s="14">
        <v>0</v>
      </c>
      <c r="O135" s="14">
        <f>15.66+326.75+97.43</f>
        <v>439.84000000000003</v>
      </c>
      <c r="P135" s="15">
        <f t="shared" si="4"/>
        <v>2901.7599999999998</v>
      </c>
    </row>
    <row r="136" spans="1:17" x14ac:dyDescent="0.25">
      <c r="A136" s="5" t="s">
        <v>16</v>
      </c>
      <c r="B136" s="6" t="s">
        <v>17</v>
      </c>
      <c r="C136" s="7" t="s">
        <v>265</v>
      </c>
      <c r="D136" s="8" t="s">
        <v>266</v>
      </c>
      <c r="E136" s="9">
        <v>2</v>
      </c>
      <c r="F136" s="10" t="s">
        <v>19</v>
      </c>
      <c r="G136" s="11" t="s">
        <v>20</v>
      </c>
      <c r="H136" s="12">
        <v>1</v>
      </c>
      <c r="I136" s="13">
        <v>44</v>
      </c>
      <c r="J136" s="14">
        <v>727.44</v>
      </c>
      <c r="K136" s="14">
        <f>568.56+189.52+852.84+284.28+82.35+123.52</f>
        <v>2101.0700000000002</v>
      </c>
      <c r="L136" s="14">
        <v>0</v>
      </c>
      <c r="M136" s="14">
        <f>125.4+64</f>
        <v>189.4</v>
      </c>
      <c r="N136" s="14">
        <v>0</v>
      </c>
      <c r="O136" s="14">
        <f>24.25+86.86+1927.32+88.56+162.29+72.74+173.75</f>
        <v>2535.7699999999995</v>
      </c>
      <c r="P136" s="15">
        <f t="shared" si="4"/>
        <v>482.14000000000078</v>
      </c>
    </row>
    <row r="137" spans="1:17" x14ac:dyDescent="0.25">
      <c r="A137" s="5" t="s">
        <v>16</v>
      </c>
      <c r="B137" s="6" t="s">
        <v>17</v>
      </c>
      <c r="C137" s="7" t="s">
        <v>267</v>
      </c>
      <c r="D137" s="8" t="s">
        <v>268</v>
      </c>
      <c r="E137" s="9">
        <v>3</v>
      </c>
      <c r="F137" s="10" t="s">
        <v>63</v>
      </c>
      <c r="G137" s="11" t="s">
        <v>20</v>
      </c>
      <c r="H137" s="12">
        <v>1</v>
      </c>
      <c r="I137" s="13">
        <v>44</v>
      </c>
      <c r="J137" s="14">
        <v>1045</v>
      </c>
      <c r="K137" s="14">
        <v>0</v>
      </c>
      <c r="L137" s="14">
        <v>0</v>
      </c>
      <c r="M137" s="14">
        <f>48.62+209+64</f>
        <v>321.62</v>
      </c>
      <c r="N137" s="14">
        <v>0</v>
      </c>
      <c r="O137" s="14">
        <f>20.9+97.18</f>
        <v>118.08000000000001</v>
      </c>
      <c r="P137" s="15">
        <f t="shared" si="4"/>
        <v>1248.54</v>
      </c>
    </row>
    <row r="138" spans="1:17" x14ac:dyDescent="0.25">
      <c r="A138" s="5" t="s">
        <v>16</v>
      </c>
      <c r="B138" s="6" t="s">
        <v>17</v>
      </c>
      <c r="C138" s="7" t="s">
        <v>269</v>
      </c>
      <c r="D138" s="8" t="s">
        <v>270</v>
      </c>
      <c r="E138" s="9">
        <v>3</v>
      </c>
      <c r="F138" s="16" t="s">
        <v>25</v>
      </c>
      <c r="G138" s="11" t="s">
        <v>20</v>
      </c>
      <c r="H138" s="12">
        <v>1</v>
      </c>
      <c r="I138" s="13">
        <v>44</v>
      </c>
      <c r="J138" s="14">
        <v>1055.93</v>
      </c>
      <c r="K138" s="14">
        <v>0</v>
      </c>
      <c r="L138" s="14">
        <v>0</v>
      </c>
      <c r="M138" s="14">
        <f>48.62+209</f>
        <v>257.62</v>
      </c>
      <c r="N138" s="14">
        <v>0</v>
      </c>
      <c r="O138" s="14">
        <f>21.12+77.3+91.2+63.36</f>
        <v>252.98000000000002</v>
      </c>
      <c r="P138" s="15">
        <f t="shared" si="4"/>
        <v>1060.5700000000002</v>
      </c>
    </row>
    <row r="139" spans="1:17" x14ac:dyDescent="0.25">
      <c r="A139" s="5" t="s">
        <v>16</v>
      </c>
      <c r="B139" s="6" t="s">
        <v>17</v>
      </c>
      <c r="C139" s="7" t="s">
        <v>271</v>
      </c>
      <c r="D139" s="8" t="s">
        <v>272</v>
      </c>
      <c r="E139" s="9">
        <v>3</v>
      </c>
      <c r="F139" s="16" t="s">
        <v>273</v>
      </c>
      <c r="G139" s="11" t="s">
        <v>20</v>
      </c>
      <c r="H139" s="12">
        <v>1</v>
      </c>
      <c r="I139" s="13">
        <v>44</v>
      </c>
      <c r="J139" s="14">
        <v>1045</v>
      </c>
      <c r="K139" s="14">
        <v>0</v>
      </c>
      <c r="L139" s="14">
        <v>0</v>
      </c>
      <c r="M139" s="14">
        <f>48.62+209+64</f>
        <v>321.62</v>
      </c>
      <c r="N139" s="14">
        <v>0</v>
      </c>
      <c r="O139" s="14">
        <f>20.9+97.18</f>
        <v>118.08000000000001</v>
      </c>
      <c r="P139" s="15">
        <f t="shared" si="4"/>
        <v>1248.54</v>
      </c>
    </row>
    <row r="140" spans="1:17" x14ac:dyDescent="0.25">
      <c r="A140" s="5" t="s">
        <v>16</v>
      </c>
      <c r="B140" s="6" t="s">
        <v>17</v>
      </c>
      <c r="C140" s="7" t="s">
        <v>274</v>
      </c>
      <c r="D140" s="8" t="s">
        <v>275</v>
      </c>
      <c r="E140" s="9">
        <v>2</v>
      </c>
      <c r="F140" s="10" t="s">
        <v>19</v>
      </c>
      <c r="G140" s="11" t="s">
        <v>20</v>
      </c>
      <c r="H140" s="12">
        <v>1</v>
      </c>
      <c r="I140" s="13">
        <v>44</v>
      </c>
      <c r="J140" s="14">
        <v>1212.4000000000001</v>
      </c>
      <c r="K140" s="14">
        <v>0</v>
      </c>
      <c r="L140" s="14">
        <v>0</v>
      </c>
      <c r="M140" s="14">
        <f>48.62+209</f>
        <v>257.62</v>
      </c>
      <c r="N140" s="14">
        <v>0</v>
      </c>
      <c r="O140" s="14">
        <f>24.25+112.24+72.74</f>
        <v>209.23000000000002</v>
      </c>
      <c r="P140" s="15">
        <f t="shared" si="4"/>
        <v>1260.79</v>
      </c>
    </row>
    <row r="141" spans="1:17" x14ac:dyDescent="0.25">
      <c r="A141" s="5" t="s">
        <v>16</v>
      </c>
      <c r="B141" s="6" t="s">
        <v>17</v>
      </c>
      <c r="C141" s="7">
        <v>76931382420</v>
      </c>
      <c r="D141" s="8" t="s">
        <v>276</v>
      </c>
      <c r="E141" s="9">
        <v>2</v>
      </c>
      <c r="F141" s="10" t="s">
        <v>30</v>
      </c>
      <c r="G141" s="11" t="s">
        <v>20</v>
      </c>
      <c r="H141" s="12">
        <v>1</v>
      </c>
      <c r="I141" s="13">
        <v>44</v>
      </c>
      <c r="J141" s="14">
        <v>1715.49</v>
      </c>
      <c r="K141" s="14">
        <v>0</v>
      </c>
      <c r="L141" s="14">
        <v>0</v>
      </c>
      <c r="M141" s="14">
        <f>209+81.14</f>
        <v>290.14</v>
      </c>
      <c r="N141" s="14">
        <v>0</v>
      </c>
      <c r="O141" s="14">
        <f>2.43+164.82</f>
        <v>167.25</v>
      </c>
      <c r="P141" s="15">
        <f t="shared" si="4"/>
        <v>1838.38</v>
      </c>
    </row>
    <row r="142" spans="1:17" x14ac:dyDescent="0.25">
      <c r="A142" s="5" t="s">
        <v>16</v>
      </c>
      <c r="B142" s="6" t="s">
        <v>17</v>
      </c>
      <c r="C142" s="7" t="s">
        <v>277</v>
      </c>
      <c r="D142" s="8" t="s">
        <v>278</v>
      </c>
      <c r="E142" s="9">
        <v>2</v>
      </c>
      <c r="F142" s="10" t="s">
        <v>19</v>
      </c>
      <c r="G142" s="11" t="s">
        <v>20</v>
      </c>
      <c r="H142" s="12">
        <v>1</v>
      </c>
      <c r="I142" s="13">
        <v>44</v>
      </c>
      <c r="J142" s="14">
        <v>687.03</v>
      </c>
      <c r="K142" s="14">
        <v>0</v>
      </c>
      <c r="L142" s="14">
        <v>0</v>
      </c>
      <c r="M142" s="14">
        <v>118.43300000000001</v>
      </c>
      <c r="N142" s="14">
        <v>0</v>
      </c>
      <c r="O142" s="14">
        <f>24.25+60.4+41.22</f>
        <v>125.87</v>
      </c>
      <c r="P142" s="15">
        <f t="shared" ref="P142" si="5">SUM(J142:N142)-O142</f>
        <v>679.59299999999996</v>
      </c>
      <c r="Q142" t="s">
        <v>279</v>
      </c>
    </row>
    <row r="143" spans="1:17" x14ac:dyDescent="0.25">
      <c r="A143" s="5" t="s">
        <v>16</v>
      </c>
      <c r="B143" s="6" t="s">
        <v>17</v>
      </c>
      <c r="C143" s="7">
        <v>89866681491</v>
      </c>
      <c r="D143" s="8" t="s">
        <v>280</v>
      </c>
      <c r="E143" s="9">
        <v>2</v>
      </c>
      <c r="F143" s="10" t="s">
        <v>19</v>
      </c>
      <c r="G143" s="11" t="s">
        <v>20</v>
      </c>
      <c r="H143" s="12">
        <v>1</v>
      </c>
      <c r="I143" s="13">
        <v>44</v>
      </c>
      <c r="J143" s="14">
        <v>1212.4000000000001</v>
      </c>
      <c r="K143" s="14">
        <v>0</v>
      </c>
      <c r="L143" s="14">
        <v>0</v>
      </c>
      <c r="M143" s="14">
        <f>209</f>
        <v>209</v>
      </c>
      <c r="N143" s="14">
        <v>0</v>
      </c>
      <c r="O143" s="14">
        <f>24.25+112.24+47.97</f>
        <v>184.46</v>
      </c>
      <c r="P143" s="15">
        <f t="shared" si="4"/>
        <v>1236.94</v>
      </c>
    </row>
    <row r="144" spans="1:17" ht="15" x14ac:dyDescent="0.25"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56" spans="5:16" customFormat="1" ht="15" x14ac:dyDescent="0.25"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spans="5:16" customFormat="1" ht="15" x14ac:dyDescent="0.25"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spans="5:16" customFormat="1" ht="15" x14ac:dyDescent="0.25"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spans="5:16" customFormat="1" ht="15" x14ac:dyDescent="0.2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spans="5:16" customFormat="1" ht="15" x14ac:dyDescent="0.25"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spans="5:16" customFormat="1" ht="15" x14ac:dyDescent="0.25"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72" spans="5:16" customFormat="1" ht="15" x14ac:dyDescent="0.25"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spans="5:16" customFormat="1" ht="15" x14ac:dyDescent="0.25"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spans="5:16" customFormat="1" ht="15" x14ac:dyDescent="0.25"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spans="5:16" customFormat="1" ht="15" x14ac:dyDescent="0.25"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spans="5:16" customFormat="1" ht="15" x14ac:dyDescent="0.25"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spans="5:16" customFormat="1" ht="15" x14ac:dyDescent="0.25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5:16" customFormat="1" ht="15" x14ac:dyDescent="0.25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spans="5:16" customFormat="1" ht="15" x14ac:dyDescent="0.25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spans="5:16" customFormat="1" ht="15" x14ac:dyDescent="0.25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spans="5:16" customFormat="1" ht="15" x14ac:dyDescent="0.25"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5:16" customFormat="1" ht="15" x14ac:dyDescent="0.25"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spans="5:16" customFormat="1" ht="15" x14ac:dyDescent="0.25"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</row>
    <row r="184" spans="5:16" customFormat="1" ht="15" x14ac:dyDescent="0.25"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</row>
    <row r="185" spans="5:16" customFormat="1" ht="15" x14ac:dyDescent="0.25"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</row>
    <row r="186" spans="5:16" customFormat="1" ht="15" x14ac:dyDescent="0.25"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</row>
    <row r="187" spans="5:16" customFormat="1" ht="15" x14ac:dyDescent="0.25"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spans="5:16" customFormat="1" ht="15" x14ac:dyDescent="0.25"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spans="5:16" customFormat="1" ht="15" x14ac:dyDescent="0.25"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spans="5:16" customFormat="1" ht="15" x14ac:dyDescent="0.25"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spans="5:16" customFormat="1" ht="15" x14ac:dyDescent="0.25"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5:16" customFormat="1" ht="15" x14ac:dyDescent="0.25"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5:16" customFormat="1" ht="15" x14ac:dyDescent="0.25"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spans="5:16" customFormat="1" ht="15" x14ac:dyDescent="0.25"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spans="5:16" customFormat="1" ht="15" x14ac:dyDescent="0.25"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5:16" customFormat="1" ht="15" x14ac:dyDescent="0.25"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spans="5:16" customFormat="1" ht="15" x14ac:dyDescent="0.25"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spans="5:16" customFormat="1" ht="15" x14ac:dyDescent="0.25"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spans="5:16" customFormat="1" ht="15" x14ac:dyDescent="0.25"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8" spans="5:16" customFormat="1" ht="15" x14ac:dyDescent="0.25"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spans="5:16" customFormat="1" ht="15" x14ac:dyDescent="0.25"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spans="5:16" customFormat="1" ht="15" x14ac:dyDescent="0.25"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spans="5:16" customFormat="1" ht="15" x14ac:dyDescent="0.25"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</row>
    <row r="212" spans="5:16" customFormat="1" ht="15" x14ac:dyDescent="0.25"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</sheetData>
  <pageMargins left="0.51181102362204722" right="0.51181102362204722" top="0.78740157480314965" bottom="0.78740157480314965" header="0.31496062992125984" footer="0.31496062992125984"/>
  <pageSetup paperSize="9" scale="40" orientation="landscape" horizontalDpi="4294967294" verticalDpi="4294967294" r:id="rId1"/>
  <rowBreaks count="1" manualBreakCount="1">
    <brk id="77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2020-08-17T10:42:52Z</dcterms:created>
  <dcterms:modified xsi:type="dcterms:W3CDTF">2020-08-17T10:43:27Z</dcterms:modified>
</cp:coreProperties>
</file>