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05" tabRatio="973" firstSheet="5" activeTab="10"/>
  </bookViews>
  <sheets>
    <sheet name="CONTÁBIL FINANCEIRA - PCF" sheetId="1" r:id="rId1"/>
    <sheet name="FUNDO FIXO" sheetId="19" r:id="rId2"/>
    <sheet name="1 CONTA CORRENTE (D E C)" sheetId="17" r:id="rId3"/>
    <sheet name="2 CONTA CORRENTE (D E C)" sheetId="28" r:id="rId4"/>
    <sheet name="SALDO DE ESTOQUE" sheetId="2" r:id="rId5"/>
    <sheet name="APLICAÇÃO FINANCEIRA" sheetId="18" r:id="rId6"/>
    <sheet name="Despesa pessoal ANEXO II " sheetId="20" r:id="rId7"/>
    <sheet name="Demais despesas pesso ANEXO III" sheetId="21" r:id="rId8"/>
    <sheet name="Despesas gerais ANEXO IV" sheetId="22" r:id="rId9"/>
    <sheet name="Receitas ANEXO V" sheetId="23" r:id="rId10"/>
    <sheet name="Demais receitas ANEXO VI" sheetId="24" r:id="rId11"/>
    <sheet name="Contratos ANEXO VII" sheetId="26" r:id="rId12"/>
    <sheet name="Termo aditivo ANEXO VIII" sheetId="27" r:id="rId13"/>
    <sheet name="TURNOVER" sheetId="4" r:id="rId14"/>
    <sheet name="CATEGORIA PROFISSIONAL" sheetId="7" r:id="rId15"/>
    <sheet name="CÁLCULO FOLHA DE PAGAMENTO" sheetId="12" r:id="rId16"/>
    <sheet name="PLANILHA DE CONFERÊNCIA" sheetId="11" r:id="rId17"/>
  </sheets>
  <definedNames>
    <definedName name="_xlnm._FilterDatabase" localSheetId="7" hidden="1">'Demais despesas pesso ANEXO III'!$A$1:$AB$192</definedName>
    <definedName name="_xlnm._FilterDatabase" localSheetId="6" hidden="1">'Despesa pessoal ANEXO II '!$A$1:$P$192</definedName>
    <definedName name="_xlnm.Print_Area" localSheetId="15">'CÁLCULO FOLHA DE PAGAMENTO'!$A$1:$I$73</definedName>
    <definedName name="_xlnm.Print_Area" localSheetId="0">'CONTÁBIL FINANCEIRA - PCF'!$A$1:$E$192</definedName>
    <definedName name="_xlnm.Print_Area" localSheetId="7">'Demais despesas pesso ANEXO III'!$A$1:$IE$139</definedName>
    <definedName name="_xlnm.Print_Area" localSheetId="6">'Despesa pessoal ANEXO II '!$A$1:$IG$139</definedName>
    <definedName name="_xlnm.Print_Area" localSheetId="4">'SALDO DE ESTOQUE'!$A$1:$C$38</definedName>
    <definedName name="_xlnm.Print_Area" localSheetId="12">'Termo aditivo ANEXO VIII'!$A$1:$J$7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D96" i="1" l="1"/>
  <c r="D79" i="1"/>
  <c r="G67" i="12"/>
  <c r="F14" i="18" l="1"/>
  <c r="V139" i="21" l="1"/>
  <c r="P139" i="21"/>
  <c r="M139" i="21"/>
  <c r="V138" i="21"/>
  <c r="P138" i="21"/>
  <c r="M138" i="21"/>
  <c r="V137" i="21"/>
  <c r="P137" i="21"/>
  <c r="M137" i="21"/>
  <c r="V136" i="21"/>
  <c r="P136" i="21"/>
  <c r="AB136" i="21" s="1"/>
  <c r="M136" i="21"/>
  <c r="V135" i="21"/>
  <c r="P135" i="21"/>
  <c r="M135" i="21"/>
  <c r="T134" i="21"/>
  <c r="V134" i="21" s="1"/>
  <c r="P134" i="21"/>
  <c r="M134" i="21"/>
  <c r="V133" i="21"/>
  <c r="AB133" i="21" s="1"/>
  <c r="T133" i="21"/>
  <c r="P133" i="21"/>
  <c r="M133" i="21"/>
  <c r="AB132" i="21"/>
  <c r="V132" i="21"/>
  <c r="P132" i="21"/>
  <c r="M132" i="21"/>
  <c r="AB131" i="21"/>
  <c r="V131" i="21"/>
  <c r="P131" i="21"/>
  <c r="M131" i="21"/>
  <c r="AB130" i="21"/>
  <c r="V130" i="21"/>
  <c r="P130" i="21"/>
  <c r="M130" i="21"/>
  <c r="AB129" i="21"/>
  <c r="V129" i="21"/>
  <c r="P129" i="21"/>
  <c r="M129" i="21"/>
  <c r="AB128" i="21"/>
  <c r="V128" i="21"/>
  <c r="P128" i="21"/>
  <c r="M128" i="21"/>
  <c r="AB127" i="21"/>
  <c r="V127" i="21"/>
  <c r="P127" i="21"/>
  <c r="M127" i="21"/>
  <c r="AB126" i="21"/>
  <c r="V126" i="21"/>
  <c r="P126" i="21"/>
  <c r="M126" i="21"/>
  <c r="AB125" i="21"/>
  <c r="V125" i="21"/>
  <c r="P125" i="21"/>
  <c r="M125" i="21"/>
  <c r="AB124" i="21"/>
  <c r="V124" i="21"/>
  <c r="P124" i="21"/>
  <c r="M124" i="21"/>
  <c r="AB123" i="21"/>
  <c r="V123" i="21"/>
  <c r="M123" i="21"/>
  <c r="V122" i="21"/>
  <c r="P122" i="21"/>
  <c r="M122" i="21"/>
  <c r="V121" i="21"/>
  <c r="P121" i="21"/>
  <c r="M121" i="21"/>
  <c r="V120" i="21"/>
  <c r="P120" i="21"/>
  <c r="M120" i="21"/>
  <c r="V119" i="21"/>
  <c r="AB119" i="21" s="1"/>
  <c r="P119" i="21"/>
  <c r="M119" i="21"/>
  <c r="V118" i="21"/>
  <c r="P118" i="21"/>
  <c r="M118" i="21"/>
  <c r="V117" i="21"/>
  <c r="P117" i="21"/>
  <c r="M117" i="21"/>
  <c r="V116" i="21"/>
  <c r="P116" i="21"/>
  <c r="M116" i="21"/>
  <c r="V115" i="21"/>
  <c r="AB115" i="21" s="1"/>
  <c r="M115" i="21"/>
  <c r="V114" i="21"/>
  <c r="P114" i="21"/>
  <c r="M114" i="21"/>
  <c r="V113" i="21"/>
  <c r="P113" i="21"/>
  <c r="M113" i="21"/>
  <c r="V112" i="21"/>
  <c r="P112" i="21"/>
  <c r="M112" i="21"/>
  <c r="V111" i="21"/>
  <c r="P111" i="21"/>
  <c r="AB111" i="21" s="1"/>
  <c r="M111" i="21"/>
  <c r="V110" i="21"/>
  <c r="P110" i="21"/>
  <c r="M110" i="21"/>
  <c r="V109" i="21"/>
  <c r="P109" i="21"/>
  <c r="M109" i="21"/>
  <c r="V108" i="21"/>
  <c r="P108" i="21"/>
  <c r="M108" i="21"/>
  <c r="V107" i="21"/>
  <c r="P107" i="21"/>
  <c r="AB107" i="21" s="1"/>
  <c r="M107" i="21"/>
  <c r="V106" i="21"/>
  <c r="P106" i="21"/>
  <c r="M106" i="21"/>
  <c r="V105" i="21"/>
  <c r="P105" i="21"/>
  <c r="M105" i="21"/>
  <c r="V104" i="21"/>
  <c r="P104" i="21"/>
  <c r="M104" i="21"/>
  <c r="V103" i="21"/>
  <c r="P103" i="21"/>
  <c r="AB103" i="21" s="1"/>
  <c r="M103" i="21"/>
  <c r="P102" i="21"/>
  <c r="M102" i="21"/>
  <c r="AB102" i="21" s="1"/>
  <c r="V101" i="21"/>
  <c r="AB101" i="21" s="1"/>
  <c r="P101" i="21"/>
  <c r="M101" i="21"/>
  <c r="V100" i="21"/>
  <c r="P100" i="21"/>
  <c r="M100" i="21"/>
  <c r="V99" i="21"/>
  <c r="P99" i="21"/>
  <c r="M99" i="21"/>
  <c r="V98" i="21"/>
  <c r="P98" i="21"/>
  <c r="M98" i="21"/>
  <c r="P97" i="21"/>
  <c r="AB97" i="21" s="1"/>
  <c r="M97" i="21"/>
  <c r="V96" i="21"/>
  <c r="P96" i="21"/>
  <c r="M96" i="21"/>
  <c r="V95" i="21"/>
  <c r="P95" i="21"/>
  <c r="M95" i="21"/>
  <c r="V94" i="21"/>
  <c r="AB94" i="21" s="1"/>
  <c r="P94" i="21"/>
  <c r="M94" i="21"/>
  <c r="V93" i="21"/>
  <c r="P93" i="21"/>
  <c r="M93" i="21"/>
  <c r="V92" i="21"/>
  <c r="P92" i="21"/>
  <c r="M92" i="21"/>
  <c r="V91" i="21"/>
  <c r="P91" i="21"/>
  <c r="M91" i="21"/>
  <c r="V90" i="21"/>
  <c r="AB90" i="21" s="1"/>
  <c r="P90" i="21"/>
  <c r="M90" i="21"/>
  <c r="V89" i="21"/>
  <c r="P89" i="21"/>
  <c r="M89" i="21"/>
  <c r="V88" i="21"/>
  <c r="P88" i="21"/>
  <c r="M88" i="21"/>
  <c r="V87" i="21"/>
  <c r="P87" i="21"/>
  <c r="M87" i="21"/>
  <c r="V86" i="21"/>
  <c r="AB86" i="21" s="1"/>
  <c r="P86" i="21"/>
  <c r="M86" i="21"/>
  <c r="V85" i="21"/>
  <c r="P85" i="21"/>
  <c r="M85" i="21"/>
  <c r="V84" i="21"/>
  <c r="P84" i="21"/>
  <c r="M84" i="21"/>
  <c r="V83" i="21"/>
  <c r="P83" i="21"/>
  <c r="M83" i="21"/>
  <c r="V82" i="21"/>
  <c r="AB82" i="21" s="1"/>
  <c r="P82" i="21"/>
  <c r="M82" i="21"/>
  <c r="V81" i="21"/>
  <c r="P81" i="21"/>
  <c r="M81" i="21"/>
  <c r="V80" i="21"/>
  <c r="P80" i="21"/>
  <c r="M80" i="21"/>
  <c r="V79" i="21"/>
  <c r="P79" i="21"/>
  <c r="M79" i="21"/>
  <c r="T78" i="21"/>
  <c r="V78" i="21" s="1"/>
  <c r="P78" i="21"/>
  <c r="M78" i="21"/>
  <c r="V77" i="21"/>
  <c r="P77" i="21"/>
  <c r="M77" i="21"/>
  <c r="V76" i="21"/>
  <c r="P76" i="21"/>
  <c r="M76" i="21"/>
  <c r="V75" i="21"/>
  <c r="T75" i="21"/>
  <c r="P75" i="21"/>
  <c r="M75" i="21"/>
  <c r="V74" i="21"/>
  <c r="P74" i="21"/>
  <c r="M74" i="21"/>
  <c r="T73" i="21"/>
  <c r="V73" i="21" s="1"/>
  <c r="P73" i="21"/>
  <c r="M73" i="21"/>
  <c r="V72" i="21"/>
  <c r="P72" i="21"/>
  <c r="M72" i="21"/>
  <c r="V71" i="21"/>
  <c r="P71" i="21"/>
  <c r="M71" i="21"/>
  <c r="V70" i="21"/>
  <c r="P70" i="21"/>
  <c r="M70" i="21"/>
  <c r="V69" i="21"/>
  <c r="P69" i="21"/>
  <c r="M69" i="21"/>
  <c r="P68" i="21"/>
  <c r="M68" i="21"/>
  <c r="V67" i="21"/>
  <c r="P67" i="21"/>
  <c r="M67" i="21"/>
  <c r="V66" i="21"/>
  <c r="P66" i="21"/>
  <c r="M66" i="21"/>
  <c r="V65" i="21"/>
  <c r="P65" i="21"/>
  <c r="M65" i="21"/>
  <c r="V64" i="21"/>
  <c r="P64" i="21"/>
  <c r="M64" i="21"/>
  <c r="V63" i="21"/>
  <c r="P63" i="21"/>
  <c r="M63" i="21"/>
  <c r="V62" i="21"/>
  <c r="P62" i="21"/>
  <c r="M62" i="21"/>
  <c r="V61" i="21"/>
  <c r="P61" i="21"/>
  <c r="M61" i="21"/>
  <c r="T60" i="21"/>
  <c r="V60" i="21" s="1"/>
  <c r="P60" i="21"/>
  <c r="M60" i="21"/>
  <c r="V59" i="21"/>
  <c r="P59" i="21"/>
  <c r="M59" i="21"/>
  <c r="V58" i="21"/>
  <c r="P58" i="21"/>
  <c r="M58" i="21"/>
  <c r="V57" i="21"/>
  <c r="P57" i="21"/>
  <c r="M57" i="21"/>
  <c r="M56" i="21"/>
  <c r="AB56" i="21" s="1"/>
  <c r="V55" i="21"/>
  <c r="M55" i="21"/>
  <c r="V54" i="21"/>
  <c r="P54" i="21"/>
  <c r="M54" i="21"/>
  <c r="V53" i="21"/>
  <c r="AB53" i="21" s="1"/>
  <c r="P53" i="21"/>
  <c r="M53" i="21"/>
  <c r="V52" i="21"/>
  <c r="P52" i="21"/>
  <c r="M52" i="21"/>
  <c r="T51" i="21"/>
  <c r="V51" i="21" s="1"/>
  <c r="P51" i="21"/>
  <c r="M51" i="21"/>
  <c r="V50" i="21"/>
  <c r="P50" i="21"/>
  <c r="M50" i="21"/>
  <c r="V49" i="21"/>
  <c r="P49" i="21"/>
  <c r="M49" i="21"/>
  <c r="V48" i="21"/>
  <c r="P48" i="21"/>
  <c r="M48" i="21"/>
  <c r="V47" i="21"/>
  <c r="M47" i="21"/>
  <c r="T46" i="21"/>
  <c r="V46" i="21" s="1"/>
  <c r="P46" i="21"/>
  <c r="M46" i="21"/>
  <c r="V45" i="21"/>
  <c r="P45" i="21"/>
  <c r="M45" i="21"/>
  <c r="V44" i="21"/>
  <c r="P44" i="21"/>
  <c r="M44" i="21"/>
  <c r="V43" i="21"/>
  <c r="P43" i="21"/>
  <c r="M43" i="21"/>
  <c r="V42" i="21"/>
  <c r="P42" i="21"/>
  <c r="M42" i="21"/>
  <c r="T41" i="21"/>
  <c r="P41" i="21"/>
  <c r="M41" i="21"/>
  <c r="V40" i="21"/>
  <c r="P40" i="21"/>
  <c r="M40" i="21"/>
  <c r="P39" i="21"/>
  <c r="M39" i="21"/>
  <c r="P38" i="21"/>
  <c r="AB38" i="21" s="1"/>
  <c r="M38" i="21"/>
  <c r="V37" i="21"/>
  <c r="P37" i="21"/>
  <c r="M37" i="21"/>
  <c r="V36" i="21"/>
  <c r="P36" i="21"/>
  <c r="M36" i="21"/>
  <c r="V35" i="21"/>
  <c r="P35" i="21"/>
  <c r="M35" i="21"/>
  <c r="V34" i="21"/>
  <c r="P34" i="21"/>
  <c r="M34" i="21"/>
  <c r="V33" i="21"/>
  <c r="T33" i="21"/>
  <c r="P33" i="21"/>
  <c r="M33" i="21"/>
  <c r="P32" i="21"/>
  <c r="M32" i="21"/>
  <c r="V31" i="21"/>
  <c r="P31" i="21"/>
  <c r="M31" i="21"/>
  <c r="V30" i="21"/>
  <c r="P30" i="21"/>
  <c r="M30" i="21"/>
  <c r="V29" i="21"/>
  <c r="P29" i="21"/>
  <c r="M29" i="21"/>
  <c r="V28" i="21"/>
  <c r="P28" i="21"/>
  <c r="M28" i="21"/>
  <c r="V27" i="21"/>
  <c r="P27" i="21"/>
  <c r="M27" i="21"/>
  <c r="V26" i="21"/>
  <c r="P26" i="21"/>
  <c r="M26" i="21"/>
  <c r="V25" i="21"/>
  <c r="P25" i="21"/>
  <c r="M25" i="21"/>
  <c r="V24" i="21"/>
  <c r="P24" i="21"/>
  <c r="M24" i="21"/>
  <c r="V23" i="21"/>
  <c r="P23" i="21"/>
  <c r="M23" i="21"/>
  <c r="M22" i="21"/>
  <c r="AB22" i="21" s="1"/>
  <c r="V21" i="21"/>
  <c r="P21" i="21"/>
  <c r="M21" i="21"/>
  <c r="V20" i="21"/>
  <c r="P20" i="21"/>
  <c r="M20" i="21"/>
  <c r="V19" i="21"/>
  <c r="P19" i="21"/>
  <c r="M19" i="21"/>
  <c r="V18" i="21"/>
  <c r="P18" i="21"/>
  <c r="M18" i="21"/>
  <c r="V17" i="21"/>
  <c r="P17" i="21"/>
  <c r="M17" i="21"/>
  <c r="V16" i="21"/>
  <c r="P16" i="21"/>
  <c r="M16" i="21"/>
  <c r="V15" i="21"/>
  <c r="P15" i="21"/>
  <c r="M15" i="21"/>
  <c r="V14" i="21"/>
  <c r="P14" i="21"/>
  <c r="M14" i="21"/>
  <c r="V13" i="21"/>
  <c r="P13" i="21"/>
  <c r="M13" i="21"/>
  <c r="V12" i="21"/>
  <c r="P12" i="21"/>
  <c r="M12" i="21"/>
  <c r="V11" i="21"/>
  <c r="P11" i="21"/>
  <c r="M11" i="21"/>
  <c r="V10" i="21"/>
  <c r="P10" i="21"/>
  <c r="M10" i="21"/>
  <c r="V9" i="21"/>
  <c r="P9" i="21"/>
  <c r="M9" i="21"/>
  <c r="V8" i="21"/>
  <c r="P8" i="21"/>
  <c r="M8" i="21"/>
  <c r="V7" i="21"/>
  <c r="P7" i="21"/>
  <c r="M7" i="21"/>
  <c r="V6" i="21"/>
  <c r="P6" i="21"/>
  <c r="M6" i="21"/>
  <c r="V5" i="21"/>
  <c r="P5" i="21"/>
  <c r="M5" i="21"/>
  <c r="V4" i="21"/>
  <c r="P4" i="21"/>
  <c r="M4" i="21"/>
  <c r="V3" i="21"/>
  <c r="P3" i="21"/>
  <c r="M3" i="21"/>
  <c r="V2" i="21"/>
  <c r="P2" i="21"/>
  <c r="M2" i="21"/>
  <c r="P192" i="20"/>
  <c r="P191" i="20"/>
  <c r="P190" i="20"/>
  <c r="P189" i="20"/>
  <c r="P188" i="20"/>
  <c r="P187" i="20"/>
  <c r="P186" i="20"/>
  <c r="P185" i="20"/>
  <c r="P184" i="20"/>
  <c r="P183" i="20"/>
  <c r="P182" i="20"/>
  <c r="P181" i="20"/>
  <c r="P180" i="20"/>
  <c r="P179" i="20"/>
  <c r="P178" i="20"/>
  <c r="P177" i="20"/>
  <c r="P176" i="20"/>
  <c r="P175" i="20"/>
  <c r="P174" i="20"/>
  <c r="P173" i="20"/>
  <c r="P172" i="20"/>
  <c r="P171" i="20"/>
  <c r="P170" i="20"/>
  <c r="P169" i="20"/>
  <c r="P168" i="20"/>
  <c r="P167" i="20"/>
  <c r="P166" i="20"/>
  <c r="P165" i="20"/>
  <c r="P164" i="20"/>
  <c r="P163" i="20"/>
  <c r="P162" i="20"/>
  <c r="P161" i="20"/>
  <c r="P160" i="20"/>
  <c r="P159" i="20"/>
  <c r="P158" i="20"/>
  <c r="P157" i="20"/>
  <c r="P156" i="20"/>
  <c r="P155" i="20"/>
  <c r="P154" i="20"/>
  <c r="P153" i="20"/>
  <c r="P152" i="20"/>
  <c r="P151" i="20"/>
  <c r="P150" i="20"/>
  <c r="P149" i="20"/>
  <c r="P148" i="20"/>
  <c r="P147" i="20"/>
  <c r="P146" i="20"/>
  <c r="P145" i="20"/>
  <c r="P144" i="20"/>
  <c r="P143" i="20"/>
  <c r="P142" i="20"/>
  <c r="P141" i="20"/>
  <c r="P140" i="20"/>
  <c r="M139" i="20"/>
  <c r="P139" i="20" s="1"/>
  <c r="M138" i="20"/>
  <c r="P138" i="20" s="1"/>
  <c r="M137" i="20"/>
  <c r="P137" i="20" s="1"/>
  <c r="M136" i="20"/>
  <c r="P136" i="20" s="1"/>
  <c r="M135" i="20"/>
  <c r="P135" i="20" s="1"/>
  <c r="M134" i="20"/>
  <c r="P134" i="20" s="1"/>
  <c r="M133" i="20"/>
  <c r="P133" i="20" s="1"/>
  <c r="M132" i="20"/>
  <c r="P132" i="20" s="1"/>
  <c r="M131" i="20"/>
  <c r="P131" i="20" s="1"/>
  <c r="M130" i="20"/>
  <c r="P130" i="20" s="1"/>
  <c r="M129" i="20"/>
  <c r="P129" i="20" s="1"/>
  <c r="M128" i="20"/>
  <c r="P128" i="20" s="1"/>
  <c r="M127" i="20"/>
  <c r="P127" i="20" s="1"/>
  <c r="M126" i="20"/>
  <c r="P126" i="20" s="1"/>
  <c r="M125" i="20"/>
  <c r="P125" i="20" s="1"/>
  <c r="P124" i="20"/>
  <c r="P123" i="20"/>
  <c r="M123" i="20"/>
  <c r="P122" i="20"/>
  <c r="M122" i="20"/>
  <c r="P121" i="20"/>
  <c r="M121" i="20"/>
  <c r="P120" i="20"/>
  <c r="M120" i="20"/>
  <c r="P119" i="20"/>
  <c r="M119" i="20"/>
  <c r="P118" i="20"/>
  <c r="M118" i="20"/>
  <c r="P117" i="20"/>
  <c r="M117" i="20"/>
  <c r="P116" i="20"/>
  <c r="P115" i="20"/>
  <c r="P114" i="20"/>
  <c r="M114" i="20"/>
  <c r="P113" i="20"/>
  <c r="M113" i="20"/>
  <c r="P112" i="20"/>
  <c r="M112" i="20"/>
  <c r="P111" i="20"/>
  <c r="M110" i="20"/>
  <c r="P110" i="20" s="1"/>
  <c r="M109" i="20"/>
  <c r="P109" i="20" s="1"/>
  <c r="M108" i="20"/>
  <c r="P108" i="20" s="1"/>
  <c r="M107" i="20"/>
  <c r="P107" i="20" s="1"/>
  <c r="P106" i="20"/>
  <c r="P105" i="20"/>
  <c r="M105" i="20"/>
  <c r="P104" i="20"/>
  <c r="M104" i="20"/>
  <c r="P103" i="20"/>
  <c r="M103" i="20"/>
  <c r="P102" i="20"/>
  <c r="M102" i="20"/>
  <c r="P101" i="20"/>
  <c r="M101" i="20"/>
  <c r="P100" i="20"/>
  <c r="M100" i="20"/>
  <c r="P99" i="20"/>
  <c r="K99" i="20"/>
  <c r="P98" i="20"/>
  <c r="M98" i="20"/>
  <c r="P97" i="20"/>
  <c r="M97" i="20"/>
  <c r="P96" i="20"/>
  <c r="M96" i="20"/>
  <c r="P95" i="20"/>
  <c r="L94" i="20"/>
  <c r="P94" i="20" s="1"/>
  <c r="M93" i="20"/>
  <c r="P93" i="20" s="1"/>
  <c r="M92" i="20"/>
  <c r="P92" i="20" s="1"/>
  <c r="P91" i="20"/>
  <c r="P90" i="20"/>
  <c r="M90" i="20"/>
  <c r="P89" i="20"/>
  <c r="M89" i="20"/>
  <c r="P88" i="20"/>
  <c r="M88" i="20"/>
  <c r="P87" i="20"/>
  <c r="M87" i="20"/>
  <c r="P86" i="20"/>
  <c r="P85" i="20"/>
  <c r="P84" i="20"/>
  <c r="M83" i="20"/>
  <c r="P83" i="20" s="1"/>
  <c r="M82" i="20"/>
  <c r="P82" i="20" s="1"/>
  <c r="P81" i="20"/>
  <c r="P80" i="20"/>
  <c r="M80" i="20"/>
  <c r="P79" i="20"/>
  <c r="M79" i="20"/>
  <c r="P78" i="20"/>
  <c r="M78" i="20"/>
  <c r="P77" i="20"/>
  <c r="M77" i="20"/>
  <c r="P76" i="20"/>
  <c r="M76" i="20"/>
  <c r="P75" i="20"/>
  <c r="M75" i="20"/>
  <c r="P74" i="20"/>
  <c r="M73" i="20"/>
  <c r="P73" i="20" s="1"/>
  <c r="M72" i="20"/>
  <c r="P72" i="20" s="1"/>
  <c r="M71" i="20"/>
  <c r="P71" i="20" s="1"/>
  <c r="P70" i="20"/>
  <c r="P69" i="20"/>
  <c r="M69" i="20"/>
  <c r="P68" i="20"/>
  <c r="M68" i="20"/>
  <c r="P67" i="20"/>
  <c r="M67" i="20"/>
  <c r="P66" i="20"/>
  <c r="M66" i="20"/>
  <c r="P65" i="20"/>
  <c r="M65" i="20"/>
  <c r="P64" i="20"/>
  <c r="M64" i="20"/>
  <c r="P63" i="20"/>
  <c r="M63" i="20"/>
  <c r="P62" i="20"/>
  <c r="P61" i="20"/>
  <c r="P60" i="20"/>
  <c r="M60" i="20"/>
  <c r="P59" i="20"/>
  <c r="M58" i="20"/>
  <c r="P58" i="20" s="1"/>
  <c r="M57" i="20"/>
  <c r="P57" i="20" s="1"/>
  <c r="M56" i="20"/>
  <c r="P56" i="20" s="1"/>
  <c r="M55" i="20"/>
  <c r="P55" i="20" s="1"/>
  <c r="M54" i="20"/>
  <c r="P54" i="20" s="1"/>
  <c r="M53" i="20"/>
  <c r="P53" i="20" s="1"/>
  <c r="M52" i="20"/>
  <c r="P52" i="20" s="1"/>
  <c r="M51" i="20"/>
  <c r="P51" i="20" s="1"/>
  <c r="P50" i="20"/>
  <c r="P49" i="20"/>
  <c r="M49" i="20"/>
  <c r="P48" i="20"/>
  <c r="M48" i="20"/>
  <c r="P47" i="20"/>
  <c r="M46" i="20"/>
  <c r="P46" i="20" s="1"/>
  <c r="M45" i="20"/>
  <c r="P45" i="20" s="1"/>
  <c r="M44" i="20"/>
  <c r="P44" i="20" s="1"/>
  <c r="M43" i="20"/>
  <c r="P43" i="20" s="1"/>
  <c r="M42" i="20"/>
  <c r="P42" i="20" s="1"/>
  <c r="M41" i="20"/>
  <c r="P41" i="20" s="1"/>
  <c r="M40" i="20"/>
  <c r="P40" i="20" s="1"/>
  <c r="M39" i="20"/>
  <c r="P39" i="20" s="1"/>
  <c r="M38" i="20"/>
  <c r="P38" i="20" s="1"/>
  <c r="M37" i="20"/>
  <c r="P37" i="20" s="1"/>
  <c r="M36" i="20"/>
  <c r="P36" i="20" s="1"/>
  <c r="M35" i="20"/>
  <c r="P35" i="20" s="1"/>
  <c r="M34" i="20"/>
  <c r="P34" i="20" s="1"/>
  <c r="M33" i="20"/>
  <c r="P33" i="20" s="1"/>
  <c r="M32" i="20"/>
  <c r="P32" i="20" s="1"/>
  <c r="M31" i="20"/>
  <c r="P31" i="20" s="1"/>
  <c r="M30" i="20"/>
  <c r="P30" i="20" s="1"/>
  <c r="P29" i="20"/>
  <c r="P28" i="20"/>
  <c r="M28" i="20"/>
  <c r="P27" i="20"/>
  <c r="M27" i="20"/>
  <c r="P26" i="20"/>
  <c r="M26" i="20"/>
  <c r="P25" i="20"/>
  <c r="M25" i="20"/>
  <c r="P24" i="20"/>
  <c r="M24" i="20"/>
  <c r="P23" i="20"/>
  <c r="P22" i="20"/>
  <c r="P21" i="20"/>
  <c r="M21" i="20"/>
  <c r="P20" i="20"/>
  <c r="M20" i="20"/>
  <c r="P19" i="20"/>
  <c r="M19" i="20"/>
  <c r="P18" i="20"/>
  <c r="M18" i="20"/>
  <c r="P17" i="20"/>
  <c r="M17" i="20"/>
  <c r="P16" i="20"/>
  <c r="M16" i="20"/>
  <c r="P15" i="20"/>
  <c r="M15" i="20"/>
  <c r="P14" i="20"/>
  <c r="M13" i="20"/>
  <c r="P13" i="20" s="1"/>
  <c r="M12" i="20"/>
  <c r="P12" i="20" s="1"/>
  <c r="M11" i="20"/>
  <c r="P11" i="20" s="1"/>
  <c r="M10" i="20"/>
  <c r="P10" i="20" s="1"/>
  <c r="M9" i="20"/>
  <c r="P9" i="20" s="1"/>
  <c r="M8" i="20"/>
  <c r="P8" i="20" s="1"/>
  <c r="M7" i="20"/>
  <c r="P7" i="20" s="1"/>
  <c r="M6" i="20"/>
  <c r="P6" i="20" s="1"/>
  <c r="P5" i="20"/>
  <c r="P4" i="20"/>
  <c r="M4" i="20"/>
  <c r="P3" i="20"/>
  <c r="M3" i="20"/>
  <c r="P2" i="20"/>
  <c r="O2" i="20"/>
  <c r="M2" i="20"/>
  <c r="AB45" i="21" l="1"/>
  <c r="AB52" i="21"/>
  <c r="AB85" i="21"/>
  <c r="AB89" i="21"/>
  <c r="AB3" i="21"/>
  <c r="AB54" i="21"/>
  <c r="AB75" i="21"/>
  <c r="AB79" i="21"/>
  <c r="AB83" i="21"/>
  <c r="AB87" i="21"/>
  <c r="AB91" i="21"/>
  <c r="AB95" i="21"/>
  <c r="AB34" i="21"/>
  <c r="AB48" i="21"/>
  <c r="AB81" i="21"/>
  <c r="AB93" i="21"/>
  <c r="AB7" i="21"/>
  <c r="AB11" i="21"/>
  <c r="AB15" i="21"/>
  <c r="AB19" i="21"/>
  <c r="AB25" i="21"/>
  <c r="AB29" i="21"/>
  <c r="AB32" i="21"/>
  <c r="AB33" i="21"/>
  <c r="AB60" i="21"/>
  <c r="AB63" i="21"/>
  <c r="AB67" i="21"/>
  <c r="AB71" i="21"/>
  <c r="AB74" i="21"/>
  <c r="AB76" i="21"/>
  <c r="AB80" i="21"/>
  <c r="AB84" i="21"/>
  <c r="AB88" i="21"/>
  <c r="AB92" i="21"/>
  <c r="AB96" i="21"/>
  <c r="AB2" i="21"/>
  <c r="AB10" i="21"/>
  <c r="AB18" i="21"/>
  <c r="AB24" i="21"/>
  <c r="AB37" i="21"/>
  <c r="AB47" i="21"/>
  <c r="AB51" i="21"/>
  <c r="AB59" i="21"/>
  <c r="AB62" i="21"/>
  <c r="AB100" i="21"/>
  <c r="AB110" i="21"/>
  <c r="AB114" i="21"/>
  <c r="AB139" i="21"/>
  <c r="AB5" i="21"/>
  <c r="AB4" i="21"/>
  <c r="AB8" i="21"/>
  <c r="AB12" i="21"/>
  <c r="AB16" i="21"/>
  <c r="AB20" i="21"/>
  <c r="AB26" i="21"/>
  <c r="AB30" i="21"/>
  <c r="AB35" i="21"/>
  <c r="AB41" i="21"/>
  <c r="AB42" i="21"/>
  <c r="AB46" i="21"/>
  <c r="AB49" i="21"/>
  <c r="AB55" i="21"/>
  <c r="AB57" i="21"/>
  <c r="AB64" i="21"/>
  <c r="AB68" i="21"/>
  <c r="AB72" i="21"/>
  <c r="AB77" i="21"/>
  <c r="AB98" i="21"/>
  <c r="AB104" i="21"/>
  <c r="AB108" i="21"/>
  <c r="AB112" i="21"/>
  <c r="AB116" i="21"/>
  <c r="AB120" i="21"/>
  <c r="AB134" i="21"/>
  <c r="AB137" i="21"/>
  <c r="AB6" i="21"/>
  <c r="AB14" i="21"/>
  <c r="AB28" i="21"/>
  <c r="AB40" i="21"/>
  <c r="AB44" i="21"/>
  <c r="AB66" i="21"/>
  <c r="AB70" i="21"/>
  <c r="AB106" i="21"/>
  <c r="AB118" i="21"/>
  <c r="AB122" i="21"/>
  <c r="AB135" i="21"/>
  <c r="AB9" i="21"/>
  <c r="AB13" i="21"/>
  <c r="AB17" i="21"/>
  <c r="AB21" i="21"/>
  <c r="AB23" i="21"/>
  <c r="AB27" i="21"/>
  <c r="AB31" i="21"/>
  <c r="AB36" i="21"/>
  <c r="AB39" i="21"/>
  <c r="AB43" i="21"/>
  <c r="AB50" i="21"/>
  <c r="AB58" i="21"/>
  <c r="AB61" i="21"/>
  <c r="AB65" i="21"/>
  <c r="AB69" i="21"/>
  <c r="AB73" i="21"/>
  <c r="AB78" i="21"/>
  <c r="AB99" i="21"/>
  <c r="AB105" i="21"/>
  <c r="AB109" i="21"/>
  <c r="AB113" i="21"/>
  <c r="AB117" i="21"/>
  <c r="AB121" i="21"/>
  <c r="AB138" i="21"/>
  <c r="G69" i="12"/>
  <c r="D10" i="1" l="1"/>
  <c r="D83" i="1" l="1"/>
  <c r="D99" i="1"/>
  <c r="D94" i="1"/>
  <c r="D101" i="1"/>
  <c r="D97" i="1"/>
  <c r="D80" i="1"/>
  <c r="D103" i="1"/>
  <c r="D76" i="1" l="1"/>
  <c r="D54" i="1" l="1"/>
  <c r="C34" i="2"/>
  <c r="B34" i="12" l="1"/>
  <c r="E18" i="12"/>
  <c r="D18" i="12"/>
  <c r="G73" i="12"/>
  <c r="D14" i="12"/>
  <c r="G70" i="12" l="1"/>
  <c r="G64" i="12"/>
  <c r="G60" i="12"/>
  <c r="D58" i="12"/>
  <c r="H56" i="12"/>
  <c r="G56" i="12"/>
  <c r="D39" i="12"/>
  <c r="B33" i="12"/>
  <c r="B30" i="12" s="1"/>
  <c r="B32" i="12"/>
  <c r="B31" i="12"/>
  <c r="G26" i="12"/>
  <c r="G25" i="12"/>
  <c r="C22" i="12"/>
  <c r="G18" i="12"/>
  <c r="H16" i="12"/>
  <c r="E16" i="12"/>
  <c r="E14" i="12"/>
  <c r="G24" i="12" s="1"/>
  <c r="N26" i="7"/>
  <c r="M26" i="7"/>
  <c r="L26" i="7"/>
  <c r="K26" i="7"/>
  <c r="J26" i="7"/>
  <c r="I26" i="7"/>
  <c r="H26" i="7"/>
  <c r="G26" i="7"/>
  <c r="F26" i="7"/>
  <c r="E26" i="7"/>
  <c r="D26" i="7"/>
  <c r="N24" i="7"/>
  <c r="M24" i="7"/>
  <c r="L24" i="7"/>
  <c r="K24" i="7"/>
  <c r="J24" i="7"/>
  <c r="I24" i="7"/>
  <c r="H24" i="7"/>
  <c r="G24" i="7"/>
  <c r="F24" i="7"/>
  <c r="E24" i="7"/>
  <c r="D24" i="7"/>
  <c r="C24" i="7"/>
  <c r="N21" i="7"/>
  <c r="M21" i="7"/>
  <c r="L21" i="7"/>
  <c r="K21" i="7"/>
  <c r="J21" i="7"/>
  <c r="I21" i="7"/>
  <c r="H21" i="7"/>
  <c r="G21" i="7"/>
  <c r="F21" i="7"/>
  <c r="E21" i="7"/>
  <c r="D21" i="7"/>
  <c r="C21" i="7"/>
  <c r="C26" i="7" s="1"/>
  <c r="C21" i="4"/>
  <c r="F24" i="18"/>
  <c r="D153" i="1" s="1"/>
  <c r="B24" i="18"/>
  <c r="D149" i="1" s="1"/>
  <c r="G23" i="18"/>
  <c r="F23" i="18"/>
  <c r="E23" i="18"/>
  <c r="D23" i="18"/>
  <c r="C23" i="18"/>
  <c r="B23" i="18"/>
  <c r="G22" i="18"/>
  <c r="G21" i="18"/>
  <c r="G19" i="18"/>
  <c r="F18" i="18"/>
  <c r="E18" i="18"/>
  <c r="E24" i="18" s="1"/>
  <c r="D152" i="1" s="1"/>
  <c r="D16" i="1" s="1"/>
  <c r="D19" i="1" s="1"/>
  <c r="D18" i="18"/>
  <c r="D24" i="18" s="1"/>
  <c r="D151" i="1" s="1"/>
  <c r="C18" i="18"/>
  <c r="C24" i="18" s="1"/>
  <c r="D150" i="1" s="1"/>
  <c r="B18" i="18"/>
  <c r="G17" i="18"/>
  <c r="G16" i="18"/>
  <c r="G15" i="18"/>
  <c r="G14" i="18"/>
  <c r="G13" i="18"/>
  <c r="C36" i="2"/>
  <c r="D144" i="1" s="1"/>
  <c r="C20" i="2"/>
  <c r="D143" i="1" s="1"/>
  <c r="D250" i="28"/>
  <c r="D249" i="28"/>
  <c r="C249" i="28"/>
  <c r="D249" i="17"/>
  <c r="D138" i="1" s="1"/>
  <c r="C249" i="17"/>
  <c r="D137" i="1" s="1"/>
  <c r="C45" i="19"/>
  <c r="C47" i="19" s="1"/>
  <c r="G40" i="19"/>
  <c r="C46" i="19" s="1"/>
  <c r="D131" i="1" s="1"/>
  <c r="F40" i="19"/>
  <c r="D188" i="1"/>
  <c r="D189" i="1" s="1"/>
  <c r="D182" i="1"/>
  <c r="D171" i="1"/>
  <c r="D164" i="1"/>
  <c r="D136" i="1"/>
  <c r="D129" i="1"/>
  <c r="E123" i="1"/>
  <c r="D110" i="1"/>
  <c r="D105" i="1"/>
  <c r="D98" i="1"/>
  <c r="D91" i="1"/>
  <c r="D89" i="1"/>
  <c r="D82" i="1"/>
  <c r="D75" i="1"/>
  <c r="E70" i="1"/>
  <c r="D61" i="1"/>
  <c r="D58" i="1"/>
  <c r="D56" i="1"/>
  <c r="D48" i="1"/>
  <c r="D42" i="1"/>
  <c r="D34" i="1"/>
  <c r="D33" i="1"/>
  <c r="D169" i="1" s="1"/>
  <c r="D31" i="1"/>
  <c r="D25" i="1"/>
  <c r="D24" i="1"/>
  <c r="D15" i="1"/>
  <c r="G18" i="18" l="1"/>
  <c r="G24" i="18" s="1"/>
  <c r="D154" i="1"/>
  <c r="D139" i="1"/>
  <c r="D250" i="17"/>
  <c r="D20" i="1"/>
  <c r="D81" i="1"/>
  <c r="D130" i="1"/>
  <c r="D132" i="1" s="1"/>
  <c r="D145" i="1"/>
  <c r="C38" i="2"/>
  <c r="B36" i="12"/>
  <c r="B37" i="12" s="1"/>
  <c r="H18" i="12"/>
  <c r="D172" i="1" s="1"/>
  <c r="G22" i="12"/>
  <c r="G59" i="12" s="1"/>
  <c r="D30" i="1" s="1"/>
  <c r="H14" i="12"/>
  <c r="G63" i="12"/>
  <c r="D32" i="1" s="1"/>
  <c r="D156" i="1" l="1"/>
  <c r="D23" i="1"/>
  <c r="D112" i="1" s="1"/>
  <c r="D113" i="1" s="1"/>
  <c r="I14" i="12"/>
  <c r="D170" i="1"/>
  <c r="D173" i="1" s="1"/>
</calcChain>
</file>

<file path=xl/sharedStrings.xml><?xml version="1.0" encoding="utf-8"?>
<sst xmlns="http://schemas.openxmlformats.org/spreadsheetml/2006/main" count="3811" uniqueCount="1390">
  <si>
    <t>PREFEITURA MUNICIPAL DE JABOATÃO DOS GUARARAPES</t>
  </si>
  <si>
    <t>JANEIRO/2020 - VERSÃO 1.0</t>
  </si>
  <si>
    <t>SECRETARIA MUNICIPAL DE SAÚDE</t>
  </si>
  <si>
    <t>MÊS/ANO COMPETÊNCIA</t>
  </si>
  <si>
    <t>ANO CONTRATO</t>
  </si>
  <si>
    <t>GERÊNCIA FINANCEIRA E CONTÁBIL - FUNDO MUNICIPAL DE SAÚDE</t>
  </si>
  <si>
    <t>JANEIRO/2021</t>
  </si>
  <si>
    <t>DEMONSTRATIVO DE RESULTADO CONTÁBIL - FINANCEIRO MENSAL</t>
  </si>
  <si>
    <t>UNIDADE</t>
  </si>
  <si>
    <t>RESPONSÁVEL PELA UNIDADE</t>
  </si>
  <si>
    <t>ISENTO PIS:</t>
  </si>
  <si>
    <t>SIM</t>
  </si>
  <si>
    <t>DESCRIÇÃO</t>
  </si>
  <si>
    <t>VALOR</t>
  </si>
  <si>
    <t>RECEITAS OPERACIONAIS</t>
  </si>
  <si>
    <t>Repasse Contrato de Gestão (Fixo+Variável)</t>
  </si>
  <si>
    <t xml:space="preserve">Repasse Contrato de Gestão INVESTIMENTO </t>
  </si>
  <si>
    <t>Plano de Investimento Autorizado pela SMS</t>
  </si>
  <si>
    <t>Repasse Programas Especiais</t>
  </si>
  <si>
    <t xml:space="preserve"> ( - ) Desconto </t>
  </si>
  <si>
    <t>TOTAL DE REPASSES</t>
  </si>
  <si>
    <t>Rendimento de Aplicações Financeiras</t>
  </si>
  <si>
    <t>Reembolso de Despesas</t>
  </si>
  <si>
    <t>Outras Receitas</t>
  </si>
  <si>
    <t>TOTAL OUTRAS RECEITAS</t>
  </si>
  <si>
    <t>TOTAL DE REPASSES/RECEITAS</t>
  </si>
  <si>
    <t>DESPESAS OPERACIONAIS</t>
  </si>
  <si>
    <t>1. Pessoal</t>
  </si>
  <si>
    <t xml:space="preserve">  1.1. Ordenados (Não inclui férias, 13º e Rescisão)</t>
  </si>
  <si>
    <t xml:space="preserve">    1.1.1. Assistência Médica</t>
  </si>
  <si>
    <t xml:space="preserve">        1.1.1.1. Médicos</t>
  </si>
  <si>
    <t xml:space="preserve">        1.1.1.2. Outros profissionais de saúde</t>
  </si>
  <si>
    <t xml:space="preserve">    1.1.2. Assistência Odontológica</t>
  </si>
  <si>
    <t xml:space="preserve">    1.1.3. Administrativo</t>
  </si>
  <si>
    <t xml:space="preserve">  1.2. FGTS</t>
  </si>
  <si>
    <t xml:space="preserve">  1.3. PIS</t>
  </si>
  <si>
    <t xml:space="preserve">  1.4. Benefícios</t>
  </si>
  <si>
    <t xml:space="preserve">  1.5. Provisões (Férias + 13º + Rescisões)</t>
  </si>
  <si>
    <t>2. Insumos Assistenciais</t>
  </si>
  <si>
    <t xml:space="preserve">  2.1. Materiais Descartáveis/Materiais de Penso</t>
  </si>
  <si>
    <t xml:space="preserve">  2.2. Medicamentos</t>
  </si>
  <si>
    <t xml:space="preserve">  2.3. Dietas Industrializadas</t>
  </si>
  <si>
    <t xml:space="preserve">  2.4. Gases Medicinais</t>
  </si>
  <si>
    <t xml:space="preserve">  2.5. OPME (Orteses, Próteses e Materiais Especiais)</t>
  </si>
  <si>
    <t xml:space="preserve">  2.6. Material de uso odontológico</t>
  </si>
  <si>
    <t xml:space="preserve">  2.7. Outras Despesas com Insumos Assistenciais</t>
  </si>
  <si>
    <t>3. Materiais/Consumos Diversos</t>
  </si>
  <si>
    <t xml:space="preserve">  3.1. Material de Higienização e Limpeza</t>
  </si>
  <si>
    <t xml:space="preserve">  3.2. Material/Gêneros Alimentícios</t>
  </si>
  <si>
    <t xml:space="preserve">  3.3. Material de Expediente</t>
  </si>
  <si>
    <t xml:space="preserve">  3.4. Combustível</t>
  </si>
  <si>
    <t xml:space="preserve">  3.5. GLP</t>
  </si>
  <si>
    <t xml:space="preserve">  3.6. Material de Manutenção</t>
  </si>
  <si>
    <t xml:space="preserve">       3.6.1. Predial e Mobiliário</t>
  </si>
  <si>
    <t xml:space="preserve">       3.6.2. Equipamentos Médico-hospitalar</t>
  </si>
  <si>
    <t xml:space="preserve">       3.6.3. Equipamentos de Informática</t>
  </si>
  <si>
    <t xml:space="preserve">       3.6.4.  Manutenção de Veículo </t>
  </si>
  <si>
    <t xml:space="preserve">       3.6.5.  Outras despesas com material de manutenção </t>
  </si>
  <si>
    <t xml:space="preserve">  3.7. Tecidos, Fardamentos e EPI</t>
  </si>
  <si>
    <t xml:space="preserve">  3.8. Outras Despesas com Materiais Diversos</t>
  </si>
  <si>
    <t>4. Seguros/Tributos/Despesas Bancárias</t>
  </si>
  <si>
    <t xml:space="preserve">  4.1. Seguros (Imóvel e veículos)</t>
  </si>
  <si>
    <t xml:space="preserve">  4.2. Tributos (Impostos e Taxas)</t>
  </si>
  <si>
    <t xml:space="preserve">    4.2.1. Taxas</t>
  </si>
  <si>
    <t xml:space="preserve">    4.2.2. Impostos</t>
  </si>
  <si>
    <t xml:space="preserve">  4.3. Despesas Bancárias (Taxa de Manutenção/Tarifas)</t>
  </si>
  <si>
    <t xml:space="preserve">    4.3.1. Taxa de Manutenção de Conta</t>
  </si>
  <si>
    <t xml:space="preserve">    4.3.2. Tarifas</t>
  </si>
  <si>
    <t>_____________________________________</t>
  </si>
  <si>
    <t>______/______/_______</t>
  </si>
  <si>
    <t>RECEBIMENTO SMS
(DATA e ASSINATURA)</t>
  </si>
  <si>
    <t xml:space="preserve">DATA </t>
  </si>
  <si>
    <t>ASSINATURA RESPONSÁVEL PELA UNIDADE</t>
  </si>
  <si>
    <t>DESPESAS OPERACIONAIS (continuação)</t>
  </si>
  <si>
    <t>5. Gerais</t>
  </si>
  <si>
    <t xml:space="preserve">  5.1. Telefonia/Internet</t>
  </si>
  <si>
    <t xml:space="preserve">  5.2. Água</t>
  </si>
  <si>
    <t xml:space="preserve">  5.3. Energia Elétrica</t>
  </si>
  <si>
    <t xml:space="preserve">  5.4. Alugueis/Locações (exceto ambulância)</t>
  </si>
  <si>
    <t xml:space="preserve">  5.5. Outras Despesas Gerais</t>
  </si>
  <si>
    <t>6. Serviços Terceirizados/Contratos de Prestação de Serviços</t>
  </si>
  <si>
    <t xml:space="preserve">  6.1. Assistência Médica (Pessoa Jurídica)</t>
  </si>
  <si>
    <t xml:space="preserve">        6.1.1.1. Médicos</t>
  </si>
  <si>
    <t xml:space="preserve">        6.1.1.2. Outros profissionais de saúde</t>
  </si>
  <si>
    <t xml:space="preserve">        6.1.1.3. Laboratório</t>
  </si>
  <si>
    <t xml:space="preserve">        6.1.1.4. Alimentação/Dietas</t>
  </si>
  <si>
    <t xml:space="preserve">        6.1.1.5. Locação de Ambulâncias</t>
  </si>
  <si>
    <t xml:space="preserve">        6.1.1.6. Outras Pessoas Jurídicas</t>
  </si>
  <si>
    <t xml:space="preserve">  6.2. Assistência Odontológica</t>
  </si>
  <si>
    <t xml:space="preserve">    6.2.1. Pessoa Jurídica</t>
  </si>
  <si>
    <t xml:space="preserve">  6.3. Administrativos (Pessoa Jurídica)</t>
  </si>
  <si>
    <t xml:space="preserve">        6.3.1.1. Lavanderia</t>
  </si>
  <si>
    <t xml:space="preserve">        6.3.1.2. Coleta de Lixo Hospitalar</t>
  </si>
  <si>
    <t xml:space="preserve">        6.3.1.3. Manutenção/Aluguel/Uso de Sistemas ou Softwares</t>
  </si>
  <si>
    <t xml:space="preserve">        6.3.1.4. Vigilância e Limpeza</t>
  </si>
  <si>
    <t xml:space="preserve">        6.3.1.5. Consultorias e Treinamentos</t>
  </si>
  <si>
    <t xml:space="preserve">        6.3.1.6. Outras Pessoas Jurídicas</t>
  </si>
  <si>
    <t>7. Manutenção</t>
  </si>
  <si>
    <t xml:space="preserve">  7.1. Predial e Mobiliário</t>
  </si>
  <si>
    <t xml:space="preserve">  7.2. Veículos</t>
  </si>
  <si>
    <t xml:space="preserve">  7.3. Equipamentos Médico-hospitalar</t>
  </si>
  <si>
    <t xml:space="preserve">  7.4. Equipamentos de Informática</t>
  </si>
  <si>
    <t xml:space="preserve">  7.5. Outros Equipamentos</t>
  </si>
  <si>
    <t xml:space="preserve">  7.6. Engenharia Clínica</t>
  </si>
  <si>
    <t xml:space="preserve">8. Investimentos </t>
  </si>
  <si>
    <t xml:space="preserve">    8.1. Equipamentos</t>
  </si>
  <si>
    <t xml:space="preserve">    8.2. Móveis e Utensílios</t>
  </si>
  <si>
    <t xml:space="preserve">    8.3. Obras e Construções</t>
  </si>
  <si>
    <t xml:space="preserve">    8.4. Outras despesas Investimentos</t>
  </si>
  <si>
    <t xml:space="preserve"> 9. Despesas com Plano de Investimento Autorizado pela SMS</t>
  </si>
  <si>
    <t>10. Despesa(s) de Competência(s) Anterior(es)</t>
  </si>
  <si>
    <t>TOTAL DE DESPESAS OPERACIONAIS</t>
  </si>
  <si>
    <t>RESULTADO (DÉFICIT/SUPERÁVIT)</t>
  </si>
  <si>
    <t>DEVOLUÇÃO DE SUPERÁVIT</t>
  </si>
  <si>
    <t>RESSARCIMENTO DE DÉFICIT</t>
  </si>
  <si>
    <t>TURNOVER DO MÊS (%)</t>
  </si>
  <si>
    <t>DISPONIBILIDADE DE RECURSOS</t>
  </si>
  <si>
    <t>CAIXA</t>
  </si>
  <si>
    <t>SALDO INICIAL (1)</t>
  </si>
  <si>
    <t>DÉBITOS (2)</t>
  </si>
  <si>
    <t>CRÉDITOS (3)</t>
  </si>
  <si>
    <t>SALDO FINAL (4 = 1-2+3)</t>
  </si>
  <si>
    <t>CONTA CORRENTE</t>
  </si>
  <si>
    <t>SALDO DE ESTOQUE</t>
  </si>
  <si>
    <t>INSUMOS ASSISTENCIAIS (1)</t>
  </si>
  <si>
    <t>MATERIAIS/ CONSUMOS DIVERSOS (2)</t>
  </si>
  <si>
    <t>SALDO FINAL (3 =1+2)</t>
  </si>
  <si>
    <t>APLICAÇÕES FINANCEIRAS</t>
  </si>
  <si>
    <t>RESGATES (2)</t>
  </si>
  <si>
    <t>APLICAÇÕES (3)</t>
  </si>
  <si>
    <t>RENDIMENTO APLICAÇÕES (4)</t>
  </si>
  <si>
    <t>TRIBUTOS (5)</t>
  </si>
  <si>
    <t>SALDO FINAL (6 = 1-2+3+4-5)</t>
  </si>
  <si>
    <t>SALDO DE RECURSOS DISPONÍVEIS</t>
  </si>
  <si>
    <t>FORNECEDORES</t>
  </si>
  <si>
    <t>Contas Vencidas no mês da prestação de contas</t>
  </si>
  <si>
    <t>Contas Vencidas em meses anteriores à prestação de contas.</t>
  </si>
  <si>
    <t>Contas a Vencer no mês subsequente ao mês da prestação de contas.</t>
  </si>
  <si>
    <t>Contas a Vencer nos meses posteriores ao mês subsequente à prestação de contas.</t>
  </si>
  <si>
    <t>TOTAL</t>
  </si>
  <si>
    <t>SALDO DE PROVISÕES</t>
  </si>
  <si>
    <t>PROVISÃO DO MÊS (2)</t>
  </si>
  <si>
    <t>FÉRIAS (3)</t>
  </si>
  <si>
    <t>13º SALÁRIO (4)</t>
  </si>
  <si>
    <t>RESCISÕES (5)</t>
  </si>
  <si>
    <t>SALDO FINAL (6 = 1+2-3-4-5)</t>
  </si>
  <si>
    <t xml:space="preserve"> DESPESA COM PLANO DE INVESTIMENTO AUTORIZADO PELA SMS</t>
  </si>
  <si>
    <t>EQUIPAMENTOS</t>
  </si>
  <si>
    <t>MÓVEIS E UTENSÍLIOS</t>
  </si>
  <si>
    <t>OBRAS E CONSTRUÇÕES</t>
  </si>
  <si>
    <t>VEÍCULOS</t>
  </si>
  <si>
    <t>OUTRAS DESPESAS COM INVESTIMENTOS</t>
  </si>
  <si>
    <t xml:space="preserve"> RESULTADO DA DESPESA COM PLANO DE INVESTIMENTO AUTORIZADO PELA SMS</t>
  </si>
  <si>
    <t>RECURSO MENSAL AUTORIZADO (2)</t>
  </si>
  <si>
    <t>DESPESAS INVESTIMENTOS AUTORIZADO (3)</t>
  </si>
  <si>
    <t>SALDO FINAL (4 = 1+2-3)</t>
  </si>
  <si>
    <t>ITEM DA PCF</t>
  </si>
  <si>
    <t>DATA</t>
  </si>
  <si>
    <t>Nº DA NOTA FISCAL</t>
  </si>
  <si>
    <t>NOME DO FORNECEDOR</t>
  </si>
  <si>
    <t>VALOR DÉBITO</t>
  </si>
  <si>
    <t>VALOR CRÉDITO</t>
  </si>
  <si>
    <t>CÁLCULO FINAL</t>
  </si>
  <si>
    <t>SALDO DO MÊS ANTERIOR</t>
  </si>
  <si>
    <t>SALDO TOTAL DOS CUPONS FISCAIS (DÉBITO)</t>
  </si>
  <si>
    <t>SALDO TOTAL  (CRÉDITO)</t>
  </si>
  <si>
    <t>SALDO FINAL</t>
  </si>
  <si>
    <t>_______________________________________</t>
  </si>
  <si>
    <t>ASINATURA DO RESPONSÁVEL PELA UNIDADE</t>
  </si>
  <si>
    <t>NOME DA UNIDADE DE SAÚDE
PLANILHA DÉBITO E CRÉDITO
 MÊS XXXXXX/XXXX</t>
  </si>
  <si>
    <t xml:space="preserve">CONTA CORRENTE 
BANCO XXXXXXXXX
AG: XXXX C/C XXXXXX   </t>
  </si>
  <si>
    <t>SALDO INICIAL</t>
  </si>
  <si>
    <t xml:space="preserve">DÉBITOS </t>
  </si>
  <si>
    <t xml:space="preserve">CRÉDITOS </t>
  </si>
  <si>
    <t>SALDO</t>
  </si>
  <si>
    <t>________________________________________________________</t>
  </si>
  <si>
    <t>ASSINATURA DO RESPONSÁVEL PELA UNIDADE</t>
  </si>
  <si>
    <t>ESTOQUE ITEM 2.</t>
  </si>
  <si>
    <t>2.1</t>
  </si>
  <si>
    <t>MATERIAL DESCARTÁVEL / MATERIAL DE PENSO</t>
  </si>
  <si>
    <t>2.2</t>
  </si>
  <si>
    <t>MEDICAMENTOS</t>
  </si>
  <si>
    <t>2.3</t>
  </si>
  <si>
    <t>DIETAS INDUSTRIALIZADAS</t>
  </si>
  <si>
    <t>2.4</t>
  </si>
  <si>
    <t>GASES MEDICINAIS</t>
  </si>
  <si>
    <t>2.5</t>
  </si>
  <si>
    <t>OPME (Orteses, Próteses e Materiais Especiais)</t>
  </si>
  <si>
    <t>2.6</t>
  </si>
  <si>
    <t>MATERIAL DE USO ODONTOLÓGICO</t>
  </si>
  <si>
    <t>2.7</t>
  </si>
  <si>
    <t>OUTRAS DESPESAS COM MATERIAIS DIVERSOS</t>
  </si>
  <si>
    <t>TOTAL 2.</t>
  </si>
  <si>
    <t>ESTOQUE ITEM 3.</t>
  </si>
  <si>
    <t>3.1</t>
  </si>
  <si>
    <t>MATERIAL DE HIGIENIZAÇÃO E LIMPEZA</t>
  </si>
  <si>
    <t>3.2</t>
  </si>
  <si>
    <t>MATERIAL / GENEROS ALIMENTÍCIOS</t>
  </si>
  <si>
    <t>3.3</t>
  </si>
  <si>
    <t>MATERIAL DE EXPEDIENTE</t>
  </si>
  <si>
    <t>3.4</t>
  </si>
  <si>
    <t>COMBUSTÍVEL</t>
  </si>
  <si>
    <t>3.5</t>
  </si>
  <si>
    <t>GLP</t>
  </si>
  <si>
    <t>3.6 / 3.6.1</t>
  </si>
  <si>
    <t>PREDIAL E MOBILIÁRIO</t>
  </si>
  <si>
    <t>3.6 / 3.6.2</t>
  </si>
  <si>
    <t>EQUIPAMENTO MÉDICO-HOSPITALAR</t>
  </si>
  <si>
    <t>3.6 / 3.6.3</t>
  </si>
  <si>
    <t>EQUIPAMENTO DE INFORMÁTICA</t>
  </si>
  <si>
    <t>3.6 / 3.6.4</t>
  </si>
  <si>
    <t>MANUTENÇÃO DE VEÍCULOS</t>
  </si>
  <si>
    <t>3.6 / 3.6.5</t>
  </si>
  <si>
    <t>OUTRAS DESPESASA COM MATERIAL DE MANUTENÇÃO</t>
  </si>
  <si>
    <t>3.7</t>
  </si>
  <si>
    <t>TECIDOS, FARDAMENTOS E EPI</t>
  </si>
  <si>
    <t>3.8</t>
  </si>
  <si>
    <t>TOTAL 3.</t>
  </si>
  <si>
    <t>TOTAL GERAL (2 +3)</t>
  </si>
  <si>
    <t>Acompanhamento de Saldos Bancários</t>
  </si>
  <si>
    <t>SALDO DISPONÍVEL EM APLICAÇÕES TOTAIS</t>
  </si>
  <si>
    <t>APLICAÇÃO FINANCEIRA</t>
  </si>
  <si>
    <t>Saldo Inicial</t>
  </si>
  <si>
    <t>Resgate</t>
  </si>
  <si>
    <t>Aplicação</t>
  </si>
  <si>
    <t>Rendimento</t>
  </si>
  <si>
    <t>Tributos</t>
  </si>
  <si>
    <t>Saldo Final</t>
  </si>
  <si>
    <t>BANCO:                        
AG: 
CONTA:    
TIPO DE APLICAÇÃO:</t>
  </si>
  <si>
    <t>TOTAL DA APLICAÇÃO FINANCEIRA</t>
  </si>
  <si>
    <t>APLICAÇÃO FINANCEIRA DE PROVISÃO</t>
  </si>
  <si>
    <t>TOTAL DA APLICAÇÃO FINANCEIRA DE PROVISÃO</t>
  </si>
  <si>
    <t>_________________________________________________________</t>
  </si>
  <si>
    <t>Assinatura do responsável pela unidade</t>
  </si>
  <si>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</si>
  <si>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</si>
  <si>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</si>
  <si>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</si>
  <si>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</si>
  <si>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</si>
  <si>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</si>
  <si>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</si>
  <si>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</si>
  <si>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</si>
  <si>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</si>
  <si>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</si>
  <si>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</si>
  <si>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</si>
  <si>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</si>
  <si>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</si>
  <si>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</si>
  <si>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</si>
  <si>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</si>
  <si>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</si>
  <si>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</si>
  <si>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</si>
  <si>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</si>
  <si>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</si>
  <si>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</si>
  <si>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</si>
  <si>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</si>
  <si>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</si>
  <si>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Categoria de Despesa</t>
  </si>
  <si>
    <t>CNPF / CPF do Fornecedor / Prestador</t>
  </si>
  <si>
    <t>Nome do Fornecedor / Prestador</t>
  </si>
  <si>
    <t>Tipo (Bem ou Serviço)</t>
  </si>
  <si>
    <t>Possui NF</t>
  </si>
  <si>
    <t>Número da Nota Fiscal</t>
  </si>
  <si>
    <t>Data de Emissão da NF</t>
  </si>
  <si>
    <t>Chave de Acesso</t>
  </si>
  <si>
    <t>Código IBGE</t>
  </si>
  <si>
    <t>Valor</t>
  </si>
  <si>
    <t>Nota de Emprenho</t>
  </si>
  <si>
    <t>Data NE</t>
  </si>
  <si>
    <t>Valor Empenhado</t>
  </si>
  <si>
    <t>Número Ordem Bancária</t>
  </si>
  <si>
    <t>Data OB</t>
  </si>
  <si>
    <t>Valor Pago</t>
  </si>
  <si>
    <t>CPF / CNPJ Origem</t>
  </si>
  <si>
    <t>Nome Origem</t>
  </si>
  <si>
    <t>Descrição</t>
  </si>
  <si>
    <t>Data</t>
  </si>
  <si>
    <t>CNPJ do Fornecedor</t>
  </si>
  <si>
    <t>Nome do Fornecedor</t>
  </si>
  <si>
    <t>Objeto do Contrato</t>
  </si>
  <si>
    <t>Data de Assinatura</t>
  </si>
  <si>
    <t>Término Vigênica</t>
  </si>
  <si>
    <t>Valot Total</t>
  </si>
  <si>
    <t>Link para o contrato</t>
  </si>
  <si>
    <t>CNPJ do Forncedor</t>
  </si>
  <si>
    <t>Número do TA</t>
  </si>
  <si>
    <t>Térmo Vigência</t>
  </si>
  <si>
    <t>Valor Total</t>
  </si>
  <si>
    <t>Link para o aditivo</t>
  </si>
  <si>
    <t>CÁLCULO DO TURNOVER</t>
  </si>
  <si>
    <t>RESPONSÁVEL</t>
  </si>
  <si>
    <t>MÊS/ANO</t>
  </si>
  <si>
    <t>CAMPO</t>
  </si>
  <si>
    <t>DESCRIÇÃO DO CAMPO</t>
  </si>
  <si>
    <t>PREENCHIMENTO</t>
  </si>
  <si>
    <t>Percentual de turnover do mês de JANEIRO/2021</t>
  </si>
  <si>
    <t>TURNOVER =</t>
  </si>
  <si>
    <t>(</t>
  </si>
  <si>
    <t>+</t>
  </si>
  <si>
    <t>)</t>
  </si>
  <si>
    <t>÷</t>
  </si>
  <si>
    <t>CLT Mês anterior</t>
  </si>
  <si>
    <t>x</t>
  </si>
  <si>
    <t>Resultado =</t>
  </si>
  <si>
    <t>CATEGORIA PROFISSIONAL</t>
  </si>
  <si>
    <t xml:space="preserve">RECURSOS HUMANOS </t>
  </si>
  <si>
    <t>TIPO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</si>
  <si>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</si>
  <si>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</si>
  <si>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</si>
  <si>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</si>
  <si>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</si>
  <si>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</si>
  <si>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</si>
  <si>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</si>
  <si>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</si>
  <si>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</si>
  <si>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</si>
  <si>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</si>
  <si>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QUANTIDADE</t>
  </si>
  <si>
    <t>1.1.1.1. Médicos</t>
  </si>
  <si>
    <t>CLT</t>
  </si>
  <si>
    <t>1.1.1.2. Outros profissionais de saúde
Incluir (1.1.2. Assistencia Odontológica)</t>
  </si>
  <si>
    <t>1.1.3. Administrativo</t>
  </si>
  <si>
    <t>SUBTOTAL 01 (CLT)</t>
  </si>
  <si>
    <t>6.1.1.1. Médicos</t>
  </si>
  <si>
    <t>PESSOA 
JURÍDICA</t>
  </si>
  <si>
    <t>6.1.1.2. Outros profissionais de saúde</t>
  </si>
  <si>
    <t>SUBTOTAL 02 (TERCEIRIZADOS)</t>
  </si>
  <si>
    <t>GERAL RH (CLT + TERCEIRIZADOS)</t>
  </si>
  <si>
    <t>FGTS 8%</t>
  </si>
  <si>
    <t>PIS 1%</t>
  </si>
  <si>
    <t>FÉRIAS (Resumo da Folha de Férias anexada)</t>
  </si>
  <si>
    <t>FOLHA 13º SALÁRIO (Resumo da folha anexada)</t>
  </si>
  <si>
    <t>RESCISÃO</t>
  </si>
  <si>
    <t>PIS/GUIA PAGA</t>
  </si>
  <si>
    <t>GUIA PAGA</t>
  </si>
  <si>
    <t>FGTS/GUIA PAGA</t>
  </si>
  <si>
    <t>SOMA DAS GUIAS PAGAS ( ATIVOS E JOVENS)</t>
  </si>
  <si>
    <t>PIS/FOLHA ATIVO</t>
  </si>
  <si>
    <t>1% SOB FOLHA DE ATIVOS</t>
  </si>
  <si>
    <t>FGTS/FOLHA ATIVO</t>
  </si>
  <si>
    <t>8% SOB FOLHA DE ATIVOS</t>
  </si>
  <si>
    <t>PIS/FOLHA JOVEM APRENDIZ</t>
  </si>
  <si>
    <t>1% SOB FOLHA DE JOVENS APRENDIZ</t>
  </si>
  <si>
    <t>FGTS/JOVEM APRENDIZ</t>
  </si>
  <si>
    <t>8% SOB FOLHA DE JOVENS APRENDIZ</t>
  </si>
  <si>
    <t>PIS/ FÉRIAS</t>
  </si>
  <si>
    <t>1% SOB FOLHA DE FÉRIAS</t>
  </si>
  <si>
    <t>FGTS/FÉRIAS</t>
  </si>
  <si>
    <t>8% SOB FOLHA DE FÉRIAS</t>
  </si>
  <si>
    <t>PIS/ 13º</t>
  </si>
  <si>
    <t>1% SOB. FOLHA 13º SALÁRIO</t>
  </si>
  <si>
    <t>FGTS/13º</t>
  </si>
  <si>
    <t>8% SOB FOLHA 13º SALÁRIO</t>
  </si>
  <si>
    <t>PIS/RESCISÃO</t>
  </si>
  <si>
    <t>1% CONFORME ITEM TRIB. DA FOLHA DEMITIDOS</t>
  </si>
  <si>
    <t>FGTS/RESCISÃO</t>
  </si>
  <si>
    <t>8% CONFORME ITEM TRIB. FOLHA DE DEMITIDOS</t>
  </si>
  <si>
    <t>BASES DA FOLHA</t>
  </si>
  <si>
    <t>TOTAL DE ORDENADOS (Somatório dos Médicos, Outros Profissionais, Assistência Odontológica e Administrativo)</t>
  </si>
  <si>
    <t>FOLHA DE FÉRIAS</t>
  </si>
  <si>
    <t>TOTAL DE VENCIMENTO DA FOLHA 13º SALÁRIO</t>
  </si>
  <si>
    <t>Deduções (Somatório dos eventos: )</t>
  </si>
  <si>
    <t>FOLHA DE ATIVOS (Conforme resumo de folha)</t>
  </si>
  <si>
    <t>FOLHA DO JOVEM APRENDIZ (Não está incluído na folha de Ativos e nem Geral. É uma folha separada)</t>
  </si>
  <si>
    <t>TOTAL DE VENCIMENTOS/FOLHA DE RESCISÃO</t>
  </si>
  <si>
    <t>TOTAL DE VENCIMENTOS (Somatório do total de Ativos, Jovem Aprendiz e Folha de Rescisão)</t>
  </si>
  <si>
    <t xml:space="preserve">COD. DO EVENTO </t>
  </si>
  <si>
    <t>DEDUÇÃO DOS ORDENADOS 
FOLHA ATIVO</t>
  </si>
  <si>
    <t>INFORMAÇÕES GRRF PARA FGTS RESCISÃO</t>
  </si>
  <si>
    <t>Nome</t>
  </si>
  <si>
    <t>Valor da GRRF</t>
  </si>
  <si>
    <t>DEDUÇÃO DOS ORDENADOS 
FOLHA DEMITIDOS</t>
  </si>
  <si>
    <t>INFORMAÇÕES ENCARGOS PARA PLANILHA FINANCEIRA</t>
  </si>
  <si>
    <t>1.2 FGTS</t>
  </si>
  <si>
    <t>FGTS DOS ATIVOS + FGTS DOS JOVENS</t>
  </si>
  <si>
    <t>1.3 PIS</t>
  </si>
  <si>
    <t>PIS DOS ATIVOS + PIS DOS JOVENS</t>
  </si>
  <si>
    <t>INFORMAÇÕES BENEFÍCIOS PARA PLANILHA FINANCEIRA</t>
  </si>
  <si>
    <t xml:space="preserve">1.4 BENEFÍCIOS </t>
  </si>
  <si>
    <t>Benefícios Pagos</t>
  </si>
  <si>
    <t>Vale Transporte</t>
  </si>
  <si>
    <t>Seguro de Vida</t>
  </si>
  <si>
    <t>Auxilios</t>
  </si>
  <si>
    <t>Plano de Saúde</t>
  </si>
  <si>
    <t>Alimentação (NF Refeição)</t>
  </si>
  <si>
    <t>Desconto Folha Geral Benefícios</t>
  </si>
  <si>
    <t xml:space="preserve">Vale Transporte </t>
  </si>
  <si>
    <t>Seguro de Vida Médicos</t>
  </si>
  <si>
    <t>Refeição</t>
  </si>
  <si>
    <t>GERÊNCIA CONTÁBIL FINANCEIRA - FUNDO MUNICIPAL DE SAÚDE</t>
  </si>
  <si>
    <t>ANO 2 0 2 0 - Competência mês de JANEIRO/2021</t>
  </si>
  <si>
    <t>ELETRÔNICO - E-MAIL</t>
  </si>
  <si>
    <t>PRESTAÇÃO DE CONTAS FÍSICA</t>
  </si>
  <si>
    <t>PCF
(formato excel)</t>
  </si>
  <si>
    <t xml:space="preserve">Planilha Contábil Financeiro </t>
  </si>
  <si>
    <t>Quant. de Pasta A a Z enviada</t>
  </si>
  <si>
    <t>Fundo Fixo</t>
  </si>
  <si>
    <t>ARQUIVOS FÍSICOS</t>
  </si>
  <si>
    <t>Planilha Contábil Financeiro 
(PDF, carimbo e assinatura)</t>
  </si>
  <si>
    <t>1 Conta Corrente (D e C)</t>
  </si>
  <si>
    <t>Demonstrativos
(Anexos II ao VIII, Categoria Profissional e Planilha de Conferência)</t>
  </si>
  <si>
    <t>2 Conta Corrente (D e C)</t>
  </si>
  <si>
    <t>Receitas Operacionais</t>
  </si>
  <si>
    <t>Saldo Final do Estoque</t>
  </si>
  <si>
    <t>Aplicação Financeira</t>
  </si>
  <si>
    <t xml:space="preserve">Certidões
(Certidão Municipal/Mercantil, Certidão FGTS, Certidão Trabalhista, Certidão de Regularidade Fiscal do Estado, Certidão de Débitos Fiscais Estado, Certidão Conjunta Dívida Ativa, Certidão Simplificada Junta Comercial, Cartão do CNPJ atualizado e Consulta ao Portal da Transparência - CEIS) 
</t>
  </si>
  <si>
    <t>Anexos II 
(preenchido conforme Resolução do TCE)</t>
  </si>
  <si>
    <t>Contratos e Termos Aditivos</t>
  </si>
  <si>
    <t>Anexos III
(preenchido conforme Resolução do TCE)</t>
  </si>
  <si>
    <t>Extrato CAGED</t>
  </si>
  <si>
    <t>Anexos IV
(preenchido conforme Resolução do TCE)</t>
  </si>
  <si>
    <t>Turnover</t>
  </si>
  <si>
    <t>Anexos V
(preenchido conforme Resolução do TCE)</t>
  </si>
  <si>
    <t>Memória de Cálculo da Folha de Pagamento</t>
  </si>
  <si>
    <t>Anexos VI
(preenchido conforme Resolução do TCE)</t>
  </si>
  <si>
    <t>Folhas Ativos / Jovem Aprendiz / 13º
 (completas)</t>
  </si>
  <si>
    <t>Anexos VII
(preenchido conforme Resolução do TCE)</t>
  </si>
  <si>
    <t>Impostos
(DARF, GPS, FGTS, PIS)</t>
  </si>
  <si>
    <t>Anexos VIII
(preenchido conforme Resolução do TCE)</t>
  </si>
  <si>
    <t>Benefícios 
(Nota fiscal, boleto, apólice, relação dos funcionários e comprovante de pagamento)</t>
  </si>
  <si>
    <t>Folha Demitidos / Jovem Aprendiz
(completas)</t>
  </si>
  <si>
    <t>Categoria Profissional</t>
  </si>
  <si>
    <t>GRRF
(duas folhas da GRRF e comprovante de pagamento)</t>
  </si>
  <si>
    <t>Cálculo Folha de Pagamento</t>
  </si>
  <si>
    <t>Termo Rescisório
(termo e comprovante de pagamento)</t>
  </si>
  <si>
    <t>PASTA</t>
  </si>
  <si>
    <t>Planilha Contábil Financeiro 
(formato PDF, carimbo e assinatura)</t>
  </si>
  <si>
    <t>Balancete Contábil Analítico 
(última folha)</t>
  </si>
  <si>
    <t>Anexos II ao VIII
(formato excel)</t>
  </si>
  <si>
    <t>Anexos II ao VIII
(formato CSV)</t>
  </si>
  <si>
    <t>Balancete Contábil Analítico 
(geral)</t>
  </si>
  <si>
    <t>Anexos II ao VIII
(formato ZIP)</t>
  </si>
  <si>
    <t>Memória de Cálculo Estoque
(planilha excel)</t>
  </si>
  <si>
    <t>Relatório de Saída
 (por grupo)</t>
  </si>
  <si>
    <t>Fluxo de Caixa</t>
  </si>
  <si>
    <t>Relatório de Entrada
 (por grupo)</t>
  </si>
  <si>
    <t>Conciliação Bancária</t>
  </si>
  <si>
    <t>Notas Fiscais</t>
  </si>
  <si>
    <t>Extratos Bancários em formato PDF
(Conta Corrente e Aplicação)</t>
  </si>
  <si>
    <t>Extratos Bancários em formato CSV
(Conta Corrente e Aplicação)</t>
  </si>
  <si>
    <t>Planilha Débito e Crédito em formato excel
(Extratos Bancários)</t>
  </si>
  <si>
    <t>Planilha Aplicação Financeira em formato excel
(Extratos Bancários)</t>
  </si>
  <si>
    <t>Extratos Bancários 
(Conta Corrente)</t>
  </si>
  <si>
    <t>Extratos Bancários 
(Aplicação)</t>
  </si>
  <si>
    <t>Impostos</t>
  </si>
  <si>
    <t>Termo de Responsabilidade do Fundo Fixo</t>
  </si>
  <si>
    <t>Memória de Cálculo Folha
(planilha excel)</t>
  </si>
  <si>
    <t>Planilha do Fundo Fixo</t>
  </si>
  <si>
    <t>Relatório Gerencial</t>
  </si>
  <si>
    <t>Prestação de Contas em formato PDF</t>
  </si>
  <si>
    <t>LEGENDA PARA PREENCHIMENTO COLUNAS "C" e "G"</t>
  </si>
  <si>
    <t>N / A: NÃO SE APLICA</t>
  </si>
  <si>
    <t>OK: QUANDO A UNIDADE ANEXAR NO DRIVE E NA PRESTAÇÃO DE CONTAS.</t>
  </si>
  <si>
    <t>F :  QUANDO FALTAR NO DRIVE OU NA PRESTAÇÃO DE CONTAS</t>
  </si>
  <si>
    <t>UPA EDUARDO CAMPOS - SOTAVE
PLANILHA DÉBITO E CRÉDITO
 MÊS JANEIRO/2021</t>
  </si>
  <si>
    <t>CONTA CORRENTE 
BANCO DO BRASIL 
AG: 5798 C/C 45000-3</t>
  </si>
  <si>
    <t>UPA EDUARDO CAMPOS - SOTAVE
JANEIRO/2021</t>
  </si>
  <si>
    <t>UPA EDUARDO CAMPOS - SOTAVE</t>
  </si>
  <si>
    <t>BANCO: BRASIL                       
AG: 5798-3
CONTA:   45003-0 
TIPO DE APLICAÇÃO: RF REF DI AGIL</t>
  </si>
  <si>
    <t>BANCO: BRASIL                       
AG: 5798-3
CONTA: 45003-0    
TIPO DE APLICAÇÃO: RF SIMPLES CNP JRF SIMPLES</t>
  </si>
  <si>
    <t>01476404000380</t>
  </si>
  <si>
    <t>Unidade de Pronto Atendimento Eduardo Campos  UPA Sotave</t>
  </si>
  <si>
    <t>LILIANE GOMES PASSOS FRANÇA</t>
  </si>
  <si>
    <t>UPA EDUARDO CAMPOS - SOTAVE
PLANILHA DO FUNDO FIXO
JANEIRO/2021</t>
  </si>
  <si>
    <t>UPA EDUARDO CAMPOS - SOTAVE
SALDO DE PROVISÃO - JANEIRO/2021</t>
  </si>
  <si>
    <t>PLANILHA DE CONFERÊNCIA
UPA EDUARDO CAMPOS - SOTAVE</t>
  </si>
  <si>
    <t>OK</t>
  </si>
  <si>
    <t xml:space="preserve">ABEL JOSE DOS SANTOS          </t>
  </si>
  <si>
    <t>05340146405</t>
  </si>
  <si>
    <t xml:space="preserve">ADNA QUEREN HUAPUQUE RAMOS DA SILVA  </t>
  </si>
  <si>
    <t>ADRIANO VALENCIO XAVIER SANTOS</t>
  </si>
  <si>
    <t>08382555403</t>
  </si>
  <si>
    <t>ALEXANDRE FRANÇA CAMPELO FILHO</t>
  </si>
  <si>
    <t>07032388418</t>
  </si>
  <si>
    <t xml:space="preserve">ALEXSANDRA BARBOSA SOUTO      </t>
  </si>
  <si>
    <t>02670847498</t>
  </si>
  <si>
    <t xml:space="preserve">ALEXSANDRO SANTOS DA ROCHA    </t>
  </si>
  <si>
    <t>09917354476</t>
  </si>
  <si>
    <t xml:space="preserve">ALINE MARIA DE SOUZA SILVA    </t>
  </si>
  <si>
    <t xml:space="preserve">ALMIR VALENCIO DOS SANTOS     </t>
  </si>
  <si>
    <t>08178509458</t>
  </si>
  <si>
    <t xml:space="preserve">ANA MARIA FRANCISCA          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</si>
  <si>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</si>
  <si>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</si>
  <si>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</si>
  <si>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</si>
  <si>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</si>
  <si>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</si>
  <si>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04075458407</t>
  </si>
  <si>
    <t>ANDRE RICARDO MOREIRA DE BRITO</t>
  </si>
  <si>
    <t xml:space="preserve">ANDRESSON MAXIMO DA SILVA     </t>
  </si>
  <si>
    <t>05813428445</t>
  </si>
  <si>
    <t xml:space="preserve">ANDREZA MARIA DA SILVA ARRUDA </t>
  </si>
  <si>
    <t>06392472452</t>
  </si>
  <si>
    <t>ANTONIO CARLOS DA SILVA</t>
  </si>
  <si>
    <t xml:space="preserve">ANTONIO MADSON SILVA BEZERRA  </t>
  </si>
  <si>
    <t xml:space="preserve">BENILSON SANTOS DA SILVA      </t>
  </si>
  <si>
    <t>01937921417</t>
  </si>
  <si>
    <t xml:space="preserve">BETANIA MARIA GOMES           </t>
  </si>
  <si>
    <t>02119434441</t>
  </si>
  <si>
    <t>BRUNO LEONARDO SILVA MOREIRA</t>
  </si>
  <si>
    <t>10796672458</t>
  </si>
  <si>
    <t>CAMILA GOMES DE MORAIS SILVA</t>
  </si>
  <si>
    <t>04974949497</t>
  </si>
  <si>
    <t>CAMILA REGINA GOMES OLIVEIRA</t>
  </si>
  <si>
    <t>08901021471</t>
  </si>
  <si>
    <t>CAMILA SANTOS DA SILVA ALMEIDA</t>
  </si>
  <si>
    <t xml:space="preserve">CARLOS JOSE MOURA DA SILVA    </t>
  </si>
  <si>
    <t>CICERO SOBRINHO OLIVEIRA FILHO</t>
  </si>
  <si>
    <t>02587642442</t>
  </si>
  <si>
    <t>CLAUDETE CRUZ DUARTE ALENCAR</t>
  </si>
  <si>
    <t>CLAUDIA CICERA MONTEIRO MORAIS</t>
  </si>
  <si>
    <t>CLAUDIA REJANE OLIVEIRA SILVA LIMA</t>
  </si>
  <si>
    <t>02198547422</t>
  </si>
  <si>
    <t xml:space="preserve">CLAUDIO JOSE RODRIGUES DE OLIVEIRA       </t>
  </si>
  <si>
    <t>CLEIDSON CHARLES BARBOSA SANTO</t>
  </si>
  <si>
    <t>07940908421</t>
  </si>
  <si>
    <t xml:space="preserve">CLELIO TOMAZ DA SILVA         </t>
  </si>
  <si>
    <t>07369047431</t>
  </si>
  <si>
    <t xml:space="preserve">CRISLAYNY MARCELLY DA SILVA   </t>
  </si>
  <si>
    <t>05118647444</t>
  </si>
  <si>
    <t>DANIELA MARIA DA SILVA</t>
  </si>
  <si>
    <t>07767421406</t>
  </si>
  <si>
    <t xml:space="preserve">DANILO RIBEIRO DE BARROS      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</si>
  <si>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</si>
  <si>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</si>
  <si>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</si>
  <si>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</si>
  <si>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</si>
  <si>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</si>
  <si>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</si>
  <si>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</si>
  <si>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</si>
  <si>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</si>
  <si>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</si>
  <si>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</si>
  <si>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</si>
  <si>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02839751488</t>
  </si>
  <si>
    <t xml:space="preserve">ELENILDO DA SILVA BEZERRA     </t>
  </si>
  <si>
    <t>09607793455</t>
  </si>
  <si>
    <t xml:space="preserve">ELVIS DOS SANTOS SILVA        </t>
  </si>
  <si>
    <t>09630838486</t>
  </si>
  <si>
    <t xml:space="preserve">EMILIANA PRISCILA DE OLIVEIRA </t>
  </si>
  <si>
    <t>07218074456</t>
  </si>
  <si>
    <t xml:space="preserve">EVELLIN PRISCILLA OLIVEIRA DA SILVA   </t>
  </si>
  <si>
    <t>13600688480</t>
  </si>
  <si>
    <t>EZEQUIEL CORREIA DE ARAUJO JUNIOR</t>
  </si>
  <si>
    <t>03984331436</t>
  </si>
  <si>
    <t>FABIANA MARIA DA SILVA</t>
  </si>
  <si>
    <t>00798726466</t>
  </si>
  <si>
    <t xml:space="preserve">FABIANO SILVESTRE DE LIMA     </t>
  </si>
  <si>
    <t>08178081407</t>
  </si>
  <si>
    <t xml:space="preserve">FAGNER TRAJANO DE OLIVEIRA    </t>
  </si>
  <si>
    <t>07190729488</t>
  </si>
  <si>
    <t>FELIPE TRAJANO DE OLIVEIRA</t>
  </si>
  <si>
    <t>03482060460</t>
  </si>
  <si>
    <t xml:space="preserve">FRANCILMAR LINS PAES          </t>
  </si>
  <si>
    <t>FRANCISCO ASSIS OLIVEIRA SANTOS</t>
  </si>
  <si>
    <t>06657901470</t>
  </si>
  <si>
    <t>GABRIELA FARIAS TEIXEIRA SANTOS</t>
  </si>
  <si>
    <t>08623239407</t>
  </si>
  <si>
    <t xml:space="preserve">GEICY KALLY FERNANDES TRAJANO DA SILVA </t>
  </si>
  <si>
    <t xml:space="preserve"> 10274174421</t>
  </si>
  <si>
    <t>GILVAN JOSÉ DA SILVA BORGES</t>
  </si>
  <si>
    <t>07388997474</t>
  </si>
  <si>
    <t xml:space="preserve">GIRLLENE CRISTINA BARBOSA DA SILVA     </t>
  </si>
  <si>
    <t>08625628486</t>
  </si>
  <si>
    <t>GRECY KALLY FERNANDES DA  SILVA BASTOS</t>
  </si>
  <si>
    <t>00810359421</t>
  </si>
  <si>
    <t xml:space="preserve">HEIZY VIEIRA LIMA             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</si>
  <si>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</si>
  <si>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</si>
  <si>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</si>
  <si>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</si>
  <si>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</si>
  <si>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</si>
  <si>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</si>
  <si>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01857191471</t>
  </si>
  <si>
    <t xml:space="preserve">JANAINA SIMAO DE SOUZA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</si>
  <si>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</si>
  <si>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</si>
  <si>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</si>
  <si>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</si>
  <si>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</si>
  <si>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</si>
  <si>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</si>
  <si>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</si>
  <si>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</si>
  <si>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</si>
  <si>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</si>
  <si>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</si>
  <si>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</si>
  <si>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</si>
  <si>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</si>
  <si>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</si>
  <si>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</si>
  <si>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</si>
  <si>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</si>
  <si>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04492125485</t>
  </si>
  <si>
    <t>JOSE ROMILSON ALVES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</si>
  <si>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</si>
  <si>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</si>
  <si>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</si>
  <si>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</si>
  <si>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</si>
  <si>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07596616429</t>
  </si>
  <si>
    <t>JULIANA ANTONIA DA SILVA</t>
  </si>
  <si>
    <t>06315436439</t>
  </si>
  <si>
    <t xml:space="preserve">JULLIANE TRYCIA DA SILVA      </t>
  </si>
  <si>
    <t xml:space="preserve">KARLSON BARROS TRAJANO        </t>
  </si>
  <si>
    <t>09727215416</t>
  </si>
  <si>
    <t xml:space="preserve">KATHELLEN KAROLYNNE M.SILVA   </t>
  </si>
  <si>
    <t xml:space="preserve">LAIS CAMILA ARAUJO LIRA OLIVEIRA </t>
  </si>
  <si>
    <t>LARISSA SOUSA RANGEL</t>
  </si>
  <si>
    <t>04603393466</t>
  </si>
  <si>
    <t xml:space="preserve">LEANDRO DE OLIVEIRA PEREIRA   </t>
  </si>
  <si>
    <t>70811055485</t>
  </si>
  <si>
    <t>LEIDJANE DA SILVA DOMINGOS</t>
  </si>
  <si>
    <t xml:space="preserve">LEONARDO INACIO DE MEDEIROS   </t>
  </si>
  <si>
    <t xml:space="preserve">LEONARDO JOSE DA SILVA        </t>
  </si>
  <si>
    <t xml:space="preserve">LILIANE GOMES PASSOS FRANCA   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</si>
  <si>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</si>
  <si>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</si>
  <si>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</si>
  <si>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</si>
  <si>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</si>
  <si>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</si>
  <si>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</si>
  <si>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</si>
  <si>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</si>
  <si>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 xml:space="preserve">MARIA DA CONCEICAO BARBOSA MACIEL </t>
  </si>
  <si>
    <t xml:space="preserve">MARIA VALDENICE DAS NEVES     </t>
  </si>
  <si>
    <t xml:space="preserve">MIRIAM ALVES DA SILVA         </t>
  </si>
  <si>
    <t xml:space="preserve">MOURACIA TORRES DANTAS FIGUEIROA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</si>
  <si>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</si>
  <si>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</si>
  <si>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</si>
  <si>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</si>
  <si>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</si>
  <si>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</si>
  <si>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</si>
  <si>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</si>
  <si>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</si>
  <si>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</si>
  <si>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</si>
  <si>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</si>
  <si>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</si>
  <si>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</si>
  <si>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12150006421</t>
  </si>
  <si>
    <t>RAFAELA MARTINS DOS SANTOS</t>
  </si>
  <si>
    <t>06824335436</t>
  </si>
  <si>
    <t xml:space="preserve">RAONY FRANCISCO DA SILVA      </t>
  </si>
  <si>
    <t>06118533458</t>
  </si>
  <si>
    <t xml:space="preserve">RAPHAEL LUIZ FERREIRA DE LIMA </t>
  </si>
  <si>
    <t>08930960405</t>
  </si>
  <si>
    <t>RAQUEL ELIAS DE ARAUJO</t>
  </si>
  <si>
    <t>03828368476</t>
  </si>
  <si>
    <t>REINALDO LUIZ DA SILVA</t>
  </si>
  <si>
    <t>50945378491</t>
  </si>
  <si>
    <t>RILDO PEREIRA DE MENDONCA</t>
  </si>
  <si>
    <t xml:space="preserve">RILZO KELLES SANTOS BENEDITO  </t>
  </si>
  <si>
    <t>01196453438</t>
  </si>
  <si>
    <t xml:space="preserve">RITA CASSIA ALVES SANTOS VIEIRA    </t>
  </si>
  <si>
    <t>ROGER GUILHERME XIMENES FELIPE</t>
  </si>
  <si>
    <t>04532109450</t>
  </si>
  <si>
    <t xml:space="preserve">RONALDO COSME LIMA MADUREIRA  </t>
  </si>
  <si>
    <t>04498061462</t>
  </si>
  <si>
    <t>ROSANGELA DA SILVA RICHENI</t>
  </si>
  <si>
    <t>03672267406</t>
  </si>
  <si>
    <t xml:space="preserve">ROSILEIDE GALVAO LIMA NASCIMENTO </t>
  </si>
  <si>
    <t>08625595456</t>
  </si>
  <si>
    <t>SALOMAO FERNANDES DA SILVA JUNIOR</t>
  </si>
  <si>
    <t>50732811449</t>
  </si>
  <si>
    <t xml:space="preserve">SANDRA CRISTINA GOMES DE LIMA </t>
  </si>
  <si>
    <t xml:space="preserve">SERGIO ALVES ARAUJO FILHO     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</si>
  <si>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</si>
  <si>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</si>
  <si>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</si>
  <si>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</si>
  <si>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</si>
  <si>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</si>
  <si>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</si>
  <si>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</si>
  <si>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</si>
  <si>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</si>
  <si>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09794893420</t>
  </si>
  <si>
    <t xml:space="preserve">THAIS CAROLINE NUNES DA SILVA </t>
  </si>
  <si>
    <t>09421567498</t>
  </si>
  <si>
    <t>THAISA PEREIRA DORNELAS</t>
  </si>
  <si>
    <t>09083019446</t>
  </si>
  <si>
    <t xml:space="preserve">THAMIRIS MORAES DE MACEDO     </t>
  </si>
  <si>
    <t>06440151444</t>
  </si>
  <si>
    <t xml:space="preserve">THIAGO LINS DA SILVA          </t>
  </si>
  <si>
    <t>04454849420</t>
  </si>
  <si>
    <t xml:space="preserve">VALDOMIRO JOSE DE SANTANA     </t>
  </si>
  <si>
    <t>00888757417</t>
  </si>
  <si>
    <t xml:space="preserve">VALQUIRIA FERREIRA DA SILVA   </t>
  </si>
  <si>
    <t xml:space="preserve">VERA LUCIA DA SILVA           </t>
  </si>
  <si>
    <t>70243973497</t>
  </si>
  <si>
    <t>WALERIA WALLESKA DA SILVA COUTINHO</t>
  </si>
  <si>
    <t xml:space="preserve">ZILANDIA RODRIGUES DE FRANCA  </t>
  </si>
  <si>
    <t>3222-05</t>
  </si>
  <si>
    <t>5152-10</t>
  </si>
  <si>
    <t>3911-15</t>
  </si>
  <si>
    <t>2524-05</t>
  </si>
  <si>
    <t>3241-15</t>
  </si>
  <si>
    <t>2235-05</t>
  </si>
  <si>
    <t xml:space="preserve">2232-08 </t>
  </si>
  <si>
    <t>3242-05</t>
  </si>
  <si>
    <t>5142-25</t>
  </si>
  <si>
    <t>4221-05</t>
  </si>
  <si>
    <t>7823-20</t>
  </si>
  <si>
    <t>2232-08</t>
  </si>
  <si>
    <t>2525-45</t>
  </si>
  <si>
    <t>2234-05</t>
  </si>
  <si>
    <t>2516-05</t>
  </si>
  <si>
    <t>3172-10</t>
  </si>
  <si>
    <t>5134-25</t>
  </si>
  <si>
    <t>4101-05</t>
  </si>
  <si>
    <t>1421-05</t>
  </si>
  <si>
    <t>4110-10</t>
  </si>
  <si>
    <t>3516-05</t>
  </si>
  <si>
    <t>1231-05</t>
  </si>
  <si>
    <t>3224-15</t>
  </si>
  <si>
    <t>3542-05</t>
  </si>
  <si>
    <t>2124-05</t>
  </si>
  <si>
    <t>5143-20</t>
  </si>
  <si>
    <t xml:space="preserve">Auxílio Doença </t>
  </si>
  <si>
    <t>Auxílio Creche</t>
  </si>
  <si>
    <t>Auxílio Doença</t>
  </si>
  <si>
    <t>SODEXO PASS</t>
  </si>
  <si>
    <t>ALIMENTAÇÃO</t>
  </si>
  <si>
    <t>https://drive.google.com/file/d/1UVwPG4vTuNCe-VABNCf4amUUvnASoXT4</t>
  </si>
  <si>
    <t>1 TELECOM</t>
  </si>
  <si>
    <t>INTERNET</t>
  </si>
  <si>
    <t>https://drive.google.com/file/d/1zEyj_jBmylR0tHDrheLVoqQrUbDhdall</t>
  </si>
  <si>
    <t>TELEMAR</t>
  </si>
  <si>
    <t>TELEFONIA</t>
  </si>
  <si>
    <t>27/11/2019</t>
  </si>
  <si>
    <t>https://drive.google.com/file/d/1BIVsNgjrTzV0e-zcKhHonea6HOuU1gOH</t>
  </si>
  <si>
    <t>09221661000111</t>
  </si>
  <si>
    <t>CLASSE A IMÓVEIS LTDA</t>
  </si>
  <si>
    <t>LOCAÇÃO IMÓVEL</t>
  </si>
  <si>
    <t>https://drive.google.com/open?id=1B-sAMdPILXb0tQOQid0_vqXY1WRVvw8R</t>
  </si>
  <si>
    <t>GUSMÃO LOCAÇÃO DE MAQ. E EQUIP. PARA ESCRITÓRIO - ME</t>
  </si>
  <si>
    <t>LOCAÇÃO IMPRESSORAS</t>
  </si>
  <si>
    <t>https://drive.google.com/open?id=1HhSdbSmBs70pIv9e4cFrzua_1B6JZPMo</t>
  </si>
  <si>
    <t>04752237000180</t>
  </si>
  <si>
    <t>ILAND COMERCIO E SERVICOS DE INFORMATICA ME</t>
  </si>
  <si>
    <t>ALUGUEL/LOCAÇÃO</t>
  </si>
  <si>
    <t>https://drive.google.com/file/d/1SeHzFEUQrQgnQNYeAt2X1NUOwoH599qD</t>
  </si>
  <si>
    <t>00331788002405</t>
  </si>
  <si>
    <t>AIR LIQUIDE BRASIL</t>
  </si>
  <si>
    <t>30/10/2017</t>
  </si>
  <si>
    <t>https://drive.google.com/file/d/1_s_sd83q3ZjaTtzKCyDUq2SgktfGkflH</t>
  </si>
  <si>
    <t>A &amp; J SERVIÇOS MÉDICOS</t>
  </si>
  <si>
    <t>PJ MÉDICO</t>
  </si>
  <si>
    <t>https://drive.google.com/file/d/1Eb6oHk6fY-i5UqmEwRb8p4J2gUBO57bg</t>
  </si>
  <si>
    <t>CENTER SIMPLE HEALTH ASSISTENCIA E SERVIÇOS MÉDICOS</t>
  </si>
  <si>
    <t>01/07/2019</t>
  </si>
  <si>
    <t>https://drive.google.com/file/d/1KzHfBLNa_TIRw01lThCCdPNvt8Z5DwIJ</t>
  </si>
  <si>
    <t>CLINICA ALTERNATIVA MEDICINA E GESTÃO EM SAÚDE</t>
  </si>
  <si>
    <t>https://drive.google.com/file/d/1sej-nPALHsSaZgRX5bv2v6T20SBmSAtQ</t>
  </si>
  <si>
    <t>DA SERVIÇOS MEDICOS AMBULATORIAIS</t>
  </si>
  <si>
    <t>https://drive.google.com/file/d/1p_eVicCz926-MsWEiuCG80sfEKX5HuFa</t>
  </si>
  <si>
    <t>ROCHA E DOMINGOS SERVIÇOS MEDICOS</t>
  </si>
  <si>
    <t>https://drive.google.com/file/d/1YTN1908Z2w0icimk9Ax_xdc8bWxX4nh-</t>
  </si>
  <si>
    <t>OBARA SERVIÇOS MEDICOS</t>
  </si>
  <si>
    <t>01/09/2019</t>
  </si>
  <si>
    <t>https://drive.google.com/file/d/15-wxDoYRw9Gl7Ev-35jlMbUFoI2SQwtB</t>
  </si>
  <si>
    <t>MAX DOCTOR CORPORATE ASSISTENCIA E SERVIÇOS MEDICOS</t>
  </si>
  <si>
    <t>01/01/2019</t>
  </si>
  <si>
    <t>https://drive.google.com/file/d/1eNbg8fwtvZEZ3ByHihMuvFgqdEN3HsKe</t>
  </si>
  <si>
    <t>J DE BARROS PEREIRA NETO SERVIÇOS MÉDICOS</t>
  </si>
  <si>
    <t>01/03/2019</t>
  </si>
  <si>
    <t>https://drive.google.com/file/d/1T8y9HihNglpJuGB2XWqnu9sYCnnWsRPB</t>
  </si>
  <si>
    <t>DOT SERVIÇOS MÉDICOS</t>
  </si>
  <si>
    <t>01/02/2019</t>
  </si>
  <si>
    <t>https://drive.google.com/file/d/1tpRXXVCAPPciFUSuyEvVSz6sdmNRUqWW</t>
  </si>
  <si>
    <t>Medicina e Seguro Ocupacional</t>
  </si>
  <si>
    <t>https://drive.google.com/file/d/1xEObsAMd1WycjOMiuD29rE92AvsHAoRv</t>
  </si>
  <si>
    <t>CINEC - CONSULTÓRIO INTEGRADO DE NUTRIÇÃO, ENDOSCOPIA</t>
  </si>
  <si>
    <t>https://drive.google.com/file/d/1SzH3wP-I2wrYWaZG6M6YEaYcFa-ftbYd</t>
  </si>
  <si>
    <t>LIFE MEDCINICA E TERAPIA</t>
  </si>
  <si>
    <t>01/11/2019</t>
  </si>
  <si>
    <t>https://drive.google.com/file/d/1Y1h0mIwxlhQYz5fZ_jqLpu0ELMIIePtB</t>
  </si>
  <si>
    <t>MIX ASSOCIATION MEDIC ASSISTENCIA E SERVIÇOS MÉDICOS</t>
  </si>
  <si>
    <t>01/05/2019</t>
  </si>
  <si>
    <t>https://drive.google.com/file/d/16do4CJpuCxgZWqClKC5mnnQ6d9lvJ4_b</t>
  </si>
  <si>
    <t>TOP MAISMED SERVIÇOS MÉDICOS</t>
  </si>
  <si>
    <t>https://drive.google.com/file/d/1t3wW56-9AUbQ7LmkXmfflwDkjs4E_HJj</t>
  </si>
  <si>
    <t>CELARE CENTRO LAB DE ANÁLISES DO RECIFE LTDA</t>
  </si>
  <si>
    <t>LABORATÓRIO</t>
  </si>
  <si>
    <t>https://drive.google.com/file/d/1VBk06H4VEQkxF5hgQTyvQD4KLB8Tnp5d</t>
  </si>
  <si>
    <t>BISTRÔ COMEDORIA EIRELI</t>
  </si>
  <si>
    <t>https://drive.google.com/file/d/18FaGhlrodYfmS6GUjqLuDxBi-yFwqIff</t>
  </si>
  <si>
    <t>T1 COMERCIO DE PEÇAS E ACESSORIOS EIRELLI</t>
  </si>
  <si>
    <t>LOCAÇÃO AMBULÂNCIA</t>
  </si>
  <si>
    <t>https://drive.google.com/file/d/1VsQpG2wAvjSYwjVV2WTt_DZNJ8k08tAC</t>
  </si>
  <si>
    <t>CLEAN HIGIENIZAÇÃO DE TEXTEIS EIRELI</t>
  </si>
  <si>
    <t>LAVANDERIA</t>
  </si>
  <si>
    <t>https://drive.google.com/open?id=1ifMUPscZ4h18WRd9TftGWMIj0uMKk1X1</t>
  </si>
  <si>
    <t>BRASCON GESTÃO AMBIENTAL LTDA</t>
  </si>
  <si>
    <t>COLETA RESÍDUO HOSPITALAR</t>
  </si>
  <si>
    <t>https://drive.google.com/file/d/1ci6EbY-nRjZzgrVU-huMBiGL4U70aH3b</t>
  </si>
  <si>
    <t xml:space="preserve">MV INFORMATICA NORDESTE LTDA </t>
  </si>
  <si>
    <t xml:space="preserve">SISTEMAS </t>
  </si>
  <si>
    <t>https://drive.google.com/file/d/18VwroqnweZrccF_l_7EKmV1mYR17aU4G</t>
  </si>
  <si>
    <t>ADVISERSIT SERVIÇOS DE INFORMÁTICA LTDA</t>
  </si>
  <si>
    <t xml:space="preserve">SUPORTE EM  BANCOS DE DADOS </t>
  </si>
  <si>
    <t>https://drive.google.com/file/d/1KfVlxp_81rzyV_K_6BOUOF61KfQ8eLXv</t>
  </si>
  <si>
    <t>J. T. DE CARVALHO NETO - ME</t>
  </si>
  <si>
    <t xml:space="preserve">SUPORTE A REDE DE INFORMÁTICA </t>
  </si>
  <si>
    <t>https://drive.google.com/file/d/1wdxdhtVOp-UTf9ow3gsAurFYgCldJapj</t>
  </si>
  <si>
    <t>TKS AUDITORIA E CONTABILIDADE S/S - EPP</t>
  </si>
  <si>
    <t>AUDITORIA EXTERNA</t>
  </si>
  <si>
    <t>F P BANHOS DOS SANTOS ASSESSORIA</t>
  </si>
  <si>
    <t>ASSESSORIA JURÍDICA 3º SETOR</t>
  </si>
  <si>
    <t>https://drive.google.com/open?id=1LUuSOchquqxD8YeJfA3ai-DuSkYOYje0</t>
  </si>
  <si>
    <t>09467748000173</t>
  </si>
  <si>
    <t>AP CONSULTORIA E ASSESSORIA EMPRESARIAL LTDA</t>
  </si>
  <si>
    <t>ASSESSORIA FINANCEIRA</t>
  </si>
  <si>
    <t>https://drive.google.com/open?id=1N9EEoN6emPhfiUSEFUR3BXUimJRkJ31S</t>
  </si>
  <si>
    <t>GESTÃO DE SERVIÇOS</t>
  </si>
  <si>
    <t>https://drive.google.com/open?id=1z5iERD74HUScDR_XvYS57oj8IIzNW1io</t>
  </si>
  <si>
    <t>AFT MULTISERVIÇOS LTDA.</t>
  </si>
  <si>
    <t>Processamento de Folha e Assessoria de RH</t>
  </si>
  <si>
    <t>https://drive.google.com/open?id=13mloGLQbyoAsI9tG633YodVJhHUyhizU</t>
  </si>
  <si>
    <t>ADVANCED CONTABILIDADE E APOIO ADM LTDA</t>
  </si>
  <si>
    <t>ASSESSORIA CONTÁBIL</t>
  </si>
  <si>
    <t>https://drive.google.com/open?id=12W_7Pvbr8B-NqFiSxZi_yxqqyJBporJF</t>
  </si>
  <si>
    <t>ASSESSORIA FISCAL</t>
  </si>
  <si>
    <t>https://drive.google.com/file/d/1S1fxeho1e6rsLN-YEU9w5dmIuei60led/view?usp=sharing</t>
  </si>
  <si>
    <t>SEVERINO SILVANO DA SILVA</t>
  </si>
  <si>
    <t>MANUTENÇÃO AR CONDICIONADO</t>
  </si>
  <si>
    <t>https://drive.google.com/file/d/1JRIgDuYSLQWPqmofHqDD5EcVOVAQxUWw</t>
  </si>
  <si>
    <t>JR XAVIER CAVALCANTI ME</t>
  </si>
  <si>
    <t>DEDETIZAÇÃO</t>
  </si>
  <si>
    <t>https://drive.google.com/file/d/1zHPX0-EZ_-2eu-UG7ggz9T8sLI-229Tp</t>
  </si>
  <si>
    <t>TELIA DE ALBUQUERQUE PESSOA</t>
  </si>
  <si>
    <t>MANUTENÇÃO EQUIPAMENTOS ASSISTENCIAIS</t>
  </si>
  <si>
    <t>https://drive.google.com/file/d/1TdKpMDqTl-WBevQa5h9flXhZSJSmn9qk</t>
  </si>
  <si>
    <t>EMBRAESTER - EMPRESA BRASILEIRA DE ESTERILIZAÇÕES</t>
  </si>
  <si>
    <t>CME</t>
  </si>
  <si>
    <t>https://drive.google.com/file/d/1kmIEeL_HYNP5kEi_fKWK944MKLskLxkE</t>
  </si>
  <si>
    <t>ANTONIO MARQUES DOS SANTOS ME</t>
  </si>
  <si>
    <t>MANUTENÇÃO CORRETIVA E PREVENTIVA DA PROCESSADORA DE FILMES RAIO-X</t>
  </si>
  <si>
    <t>https://drive.google.com/file/d/1PW4a2c9TUNn_4NpeqHivLCyMcd5oSpXk</t>
  </si>
  <si>
    <t>TS ENGENHARIA ELÉTRICA LTDA - EPP</t>
  </si>
  <si>
    <t>MANUTENÇÃO DO GERADOR ENERGIA</t>
  </si>
  <si>
    <t>https://drive.google.com/open?id=1iXRZrAd9g__HeCQpsb1X9Rgxm8DK0TN9</t>
  </si>
  <si>
    <t>SOUSA PEREIRA SERVIÇOS MEDICOS  LTDA</t>
  </si>
  <si>
    <t>01/06/2020</t>
  </si>
  <si>
    <t>https://drive.google.com/file/d/1JExqe6hMKGgXK2WI_qnCuMHla-pkpqlk</t>
  </si>
  <si>
    <t>MARIANA NOGUEIRA BORGES DE MELO</t>
  </si>
  <si>
    <t>01/01/2020</t>
  </si>
  <si>
    <t>https://drive.google.com/file/d/1IU9S8ZVV0NC9Miea7rdRW2d6GeY1b3Xn</t>
  </si>
  <si>
    <t>FADE - UFPE</t>
  </si>
  <si>
    <t>REFERENTE AOS DOSÍMETROS DO RAIO X DA UNIDADE</t>
  </si>
  <si>
    <t>01/04/2018</t>
  </si>
  <si>
    <t>31/12/2020</t>
  </si>
  <si>
    <t>https://drive.google.com/file/d/14ZbIk4PMJF8swTVPBvBCCDWKYZBWyXh_</t>
  </si>
  <si>
    <t>33164021000100</t>
  </si>
  <si>
    <t>TOKIO MARINE SEGURADORA S.A.</t>
  </si>
  <si>
    <t xml:space="preserve">SEGURO DE VIDA </t>
  </si>
  <si>
    <t>https://drive.google.com/file/d/1Pyau06BCkfqhwX5W_nvDf5ehjFMSJ0Kq/view?usp=sharing</t>
  </si>
  <si>
    <t>37646454000144</t>
  </si>
  <si>
    <t>SOCORRO MACHADO SERVICOS MEDICOS AMBULATORIAIS LTDA</t>
  </si>
  <si>
    <t>01/07/2020</t>
  </si>
  <si>
    <t>0,00</t>
  </si>
  <si>
    <t>https://drive.google.com/file/d/1JXTTe1Zi-YmFzA24LTq1Rm-SERSgH1Hs</t>
  </si>
  <si>
    <t>37561510000148</t>
  </si>
  <si>
    <t>MKB SERVIÇOS MÉDICOS AMBULATORIAIS LTDA</t>
  </si>
  <si>
    <t>https://drive.google.com/file/d/1qjbJivbKv47xC-U6CjfwS9qBVp3xebPB/view?usp=sharing</t>
  </si>
  <si>
    <t>37601703000185</t>
  </si>
  <si>
    <t>MS CLINIC SERVIÇOS DE SAUDE LTDA</t>
  </si>
  <si>
    <t>https://drive.google.com/file/d/10IuKaeREGlYfYqxwxyfeDbFiO0FST-H8/view?usp=sharing</t>
  </si>
  <si>
    <t>10783585000117</t>
  </si>
  <si>
    <t>1 TERMO ADITIVO</t>
  </si>
  <si>
    <t>https://drive.google.com/file/d/1J3RhtvUZTT-UQw9opp4Rrs8hEPPIip2x/view?ts=5f19e1b0</t>
  </si>
  <si>
    <t>24261778000112</t>
  </si>
  <si>
    <t>CELARE CENTRO LAB DE ANALISES DO RECIFE LTDA</t>
  </si>
  <si>
    <t>https://drive.google.com/file/d/14jN0PtHx5FcPmmLVGzedo550UxhGZoKF</t>
  </si>
  <si>
    <t>https://drive.google.com/open?id=19BOPK9PmEWv_hZTbMxod7-nSc_rZmJZ0</t>
  </si>
  <si>
    <t>11844663000109</t>
  </si>
  <si>
    <t>https://drive.google.com/file/d/1AYD6OWqmYybSfw9yA6NDTyyPDkrw5rUU</t>
  </si>
  <si>
    <t>11389239000111</t>
  </si>
  <si>
    <t>https://drive.google.com/file/d/1TfNoX4j9zVbr0QnFvMM6wu9EoHVB7-kh</t>
  </si>
  <si>
    <t>https://drive.google.com/file/d/1jc2a_aSAt8DQGQZppHWhCvLUivaxVgaj/view?ts=5f19e19b</t>
  </si>
  <si>
    <t>https://drive.google.com/open?id=1m-4Lh40CRV2WzygJWRkj5kHNk_-mW3sM   https://drive.google.com/file/d/1p9v6gtu-BZqwncTmg29GhEsnRqbXXU8M/view?usp=sharing</t>
  </si>
  <si>
    <t>Assessoria em Recursos Humanos</t>
  </si>
  <si>
    <t>https://drive.google.com/file/d/11YY_PyB_j61ycQ0EBnwcOhqGjxzGX3LC/view?usp=sharing    https://drive.google.com/file/d/1KaT_ZQF2dDVfAsRRuKDc_Ax5PdQyHi6Y/view?usp=sharing</t>
  </si>
  <si>
    <t>SALÁRIO FAMILIA</t>
  </si>
  <si>
    <t>AUXILIO CRECHE</t>
  </si>
  <si>
    <t>AUXILIO DOENÇA</t>
  </si>
  <si>
    <t>REEMBOLSO VT</t>
  </si>
  <si>
    <t>FALTAS E ATRASOS</t>
  </si>
  <si>
    <t>DESC AVISO PREVIO INDENIZADO</t>
  </si>
  <si>
    <t>FALTAS</t>
  </si>
  <si>
    <t>01/2021</t>
  </si>
  <si>
    <t>ATACADO DOS PRESENTES</t>
  </si>
  <si>
    <t>COMPRA LÂMPADA 12V</t>
  </si>
  <si>
    <t>MUNDO DAS CONEXÕES</t>
  </si>
  <si>
    <t>COMPRA DE MATERIAIS DE MANUTENÇÃO</t>
  </si>
  <si>
    <t>FERREIRA COSTA LTDA</t>
  </si>
  <si>
    <t>UBER</t>
  </si>
  <si>
    <t>DA UNIDADE Á FERREIRA COSTA</t>
  </si>
  <si>
    <t>RETORNO DA FERREIRA COSTA À UNIDADE</t>
  </si>
  <si>
    <t>DA UNIDADE AO COMPLEXO DA PREFEITURA</t>
  </si>
  <si>
    <t>RETORNO DO COMPLEXO À UNIDADE</t>
  </si>
  <si>
    <t>SAÚDE BRASIL</t>
  </si>
  <si>
    <t>COMPRA DE MÁSCARAS</t>
  </si>
  <si>
    <t>QUALIMAX DO BRASIL</t>
  </si>
  <si>
    <t>COMPRA LENÇOL HOSPITALAR DESCARTÁVEL</t>
  </si>
  <si>
    <t>ARMAZÉM SÃO LUCAS</t>
  </si>
  <si>
    <t>3.6.5</t>
  </si>
  <si>
    <t>3.1/3.6.5</t>
  </si>
  <si>
    <t>5.5</t>
  </si>
  <si>
    <t>3.1/3.3/3.6.5/3.8</t>
  </si>
  <si>
    <t>3.3/3.7</t>
  </si>
  <si>
    <t>3.6.5/3.8</t>
  </si>
  <si>
    <t xml:space="preserve"> </t>
  </si>
  <si>
    <t>121,04</t>
  </si>
  <si>
    <t>127,11</t>
  </si>
  <si>
    <t>109,02</t>
  </si>
  <si>
    <t>288,60</t>
  </si>
  <si>
    <t>131,29</t>
  </si>
  <si>
    <t>263,12</t>
  </si>
  <si>
    <t>117,80</t>
  </si>
  <si>
    <t>131,78</t>
  </si>
  <si>
    <t>25,49</t>
  </si>
  <si>
    <t>137,60</t>
  </si>
  <si>
    <t>114,30</t>
  </si>
  <si>
    <t>113,71</t>
  </si>
  <si>
    <t>133,24</t>
  </si>
  <si>
    <t>130,33</t>
  </si>
  <si>
    <t>122,84</t>
  </si>
  <si>
    <t>257,60</t>
  </si>
  <si>
    <t>121,21</t>
  </si>
  <si>
    <t>300,54</t>
  </si>
  <si>
    <t>169,22</t>
  </si>
  <si>
    <t>163,09</t>
  </si>
  <si>
    <t>322,03</t>
  </si>
  <si>
    <t>0</t>
  </si>
  <si>
    <t>15,18</t>
  </si>
  <si>
    <t>168,96</t>
  </si>
  <si>
    <t>118,63</t>
  </si>
  <si>
    <t>137,14</t>
  </si>
  <si>
    <t>Auxílio Creche/Doença</t>
  </si>
  <si>
    <t>142,92</t>
  </si>
  <si>
    <t>126,40</t>
  </si>
  <si>
    <t>146,59</t>
  </si>
  <si>
    <t>112,87</t>
  </si>
  <si>
    <t>105,60</t>
  </si>
  <si>
    <t>123,31</t>
  </si>
  <si>
    <t>240,36</t>
  </si>
  <si>
    <t>194,46</t>
  </si>
  <si>
    <t>147,90</t>
  </si>
  <si>
    <t>371,22</t>
  </si>
  <si>
    <t>118,04</t>
  </si>
  <si>
    <t>Auxílio Creche /Doença</t>
  </si>
  <si>
    <t>217,06</t>
  </si>
  <si>
    <t>277,63</t>
  </si>
  <si>
    <t>431,60</t>
  </si>
  <si>
    <t>102,08</t>
  </si>
  <si>
    <t>150,93</t>
  </si>
  <si>
    <t>62,82</t>
  </si>
  <si>
    <t>8,80</t>
  </si>
  <si>
    <t>97,38</t>
  </si>
  <si>
    <t>354,15</t>
  </si>
  <si>
    <t>170,99</t>
  </si>
  <si>
    <t>102,94</t>
  </si>
  <si>
    <t>Auxilio  Doença</t>
  </si>
  <si>
    <t>144,22</t>
  </si>
  <si>
    <t>368,64</t>
  </si>
  <si>
    <t>227,23</t>
  </si>
  <si>
    <t>107,05</t>
  </si>
  <si>
    <t>140,52</t>
  </si>
  <si>
    <t>148,64</t>
  </si>
  <si>
    <t>306,31</t>
  </si>
  <si>
    <t>266,00</t>
  </si>
  <si>
    <t>119,87</t>
  </si>
  <si>
    <t>119,25</t>
  </si>
  <si>
    <t>248,61</t>
  </si>
  <si>
    <t>116,04</t>
  </si>
  <si>
    <t>132,50</t>
  </si>
  <si>
    <t>170,43</t>
  </si>
  <si>
    <t>141,80</t>
  </si>
  <si>
    <t>134,25</t>
  </si>
  <si>
    <t>144,17</t>
  </si>
  <si>
    <t>109,96</t>
  </si>
  <si>
    <t>1.363,06</t>
  </si>
  <si>
    <t>206,76</t>
  </si>
  <si>
    <t>111,51</t>
  </si>
  <si>
    <t>145,39</t>
  </si>
  <si>
    <t>111,42</t>
  </si>
  <si>
    <t>208,94</t>
  </si>
  <si>
    <t>349,15</t>
  </si>
  <si>
    <t>146,76</t>
  </si>
  <si>
    <t>115,45</t>
  </si>
  <si>
    <t>146,77</t>
  </si>
  <si>
    <t>370,91</t>
  </si>
  <si>
    <t>135,23</t>
  </si>
  <si>
    <t>288,85</t>
  </si>
  <si>
    <t>108,50</t>
  </si>
  <si>
    <t>205,65</t>
  </si>
  <si>
    <t>100,33</t>
  </si>
  <si>
    <t>224,60</t>
  </si>
  <si>
    <t>168,41</t>
  </si>
  <si>
    <t>14377</t>
  </si>
  <si>
    <t>116,35</t>
  </si>
  <si>
    <t>105,29</t>
  </si>
  <si>
    <t>145,59</t>
  </si>
  <si>
    <t>117,82</t>
  </si>
  <si>
    <t>149,15</t>
  </si>
  <si>
    <t>183,20</t>
  </si>
  <si>
    <t>319,11</t>
  </si>
  <si>
    <t>125,96</t>
  </si>
  <si>
    <t>191,12</t>
  </si>
  <si>
    <t>137,39</t>
  </si>
  <si>
    <t>204,91</t>
  </si>
  <si>
    <t>291,66</t>
  </si>
  <si>
    <t>96,95</t>
  </si>
  <si>
    <t>105,01</t>
  </si>
  <si>
    <t>186,48</t>
  </si>
  <si>
    <t>114,28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</si>
  <si>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</si>
  <si>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</si>
  <si>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</si>
  <si>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</si>
  <si>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</si>
  <si>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</si>
  <si>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</si>
  <si>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</si>
  <si>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</si>
  <si>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AIR LIQUIDE DO BRASIL</t>
  </si>
  <si>
    <t>B</t>
  </si>
  <si>
    <t>S</t>
  </si>
  <si>
    <t>135302</t>
  </si>
  <si>
    <t>14/01/2021</t>
  </si>
  <si>
    <t>26210100331788002405552000001353021733208442</t>
  </si>
  <si>
    <t> 2602902</t>
  </si>
  <si>
    <t>135069</t>
  </si>
  <si>
    <t>06/01/2021</t>
  </si>
  <si>
    <t>26210100331788002405552000001350691254676120</t>
  </si>
  <si>
    <t>135120</t>
  </si>
  <si>
    <t>08/01/2021</t>
  </si>
  <si>
    <t>26210100331788002405552000001351201733208440</t>
  </si>
  <si>
    <t>1351980</t>
  </si>
  <si>
    <t>11/01/2021</t>
  </si>
  <si>
    <t>26210100331788002405552000001351981565005268</t>
  </si>
  <si>
    <t>135017</t>
  </si>
  <si>
    <t>04/01/2021</t>
  </si>
  <si>
    <t>26210100331788002405552000001350171320160372</t>
  </si>
  <si>
    <t>134937</t>
  </si>
  <si>
    <t>26201200331788002405552000001349371733208440</t>
  </si>
  <si>
    <t>601,30</t>
  </si>
  <si>
    <t>135004</t>
  </si>
  <si>
    <t>26210100331788002405552000001350041940796534</t>
  </si>
  <si>
    <t>3.12</t>
  </si>
  <si>
    <t>21596736000144</t>
  </si>
  <si>
    <t xml:space="preserve">ULTRA MEGA DISTRIBUIDORA HOSPITALAR </t>
  </si>
  <si>
    <t>118235</t>
  </si>
  <si>
    <t>19/01/2021</t>
  </si>
  <si>
    <t>26210121596736000144550010001182351001212081</t>
  </si>
  <si>
    <t>118010</t>
  </si>
  <si>
    <t>15/01/2021</t>
  </si>
  <si>
    <t>26210121596736000144550010001180101001209820</t>
  </si>
  <si>
    <t>835,00</t>
  </si>
  <si>
    <t>117297</t>
  </si>
  <si>
    <t>05/01/2021</t>
  </si>
  <si>
    <t>26210121596736000144550010001172971001202599</t>
  </si>
  <si>
    <t>117360</t>
  </si>
  <si>
    <t>26210121596736000144550010001173601001203221</t>
  </si>
  <si>
    <t>117247</t>
  </si>
  <si>
    <t>26210121596736000144550010001172471001202104</t>
  </si>
  <si>
    <t>960,00</t>
  </si>
  <si>
    <t>09007132000126</t>
  </si>
  <si>
    <t>MAUES LOBATO COM. E REP. LTDA</t>
  </si>
  <si>
    <t>78880</t>
  </si>
  <si>
    <t>26210109007162000126550010000788801122580068</t>
  </si>
  <si>
    <t>09007162000126</t>
  </si>
  <si>
    <t>78866</t>
  </si>
  <si>
    <t>26210109007162000126550010000788661966560416</t>
  </si>
  <si>
    <t>79010</t>
  </si>
  <si>
    <t>262101090071620001265500100007901101554210634</t>
  </si>
  <si>
    <t>788,00</t>
  </si>
  <si>
    <t>30848237000198</t>
  </si>
  <si>
    <t xml:space="preserve">PH COMERCIO DE PRODUTOS MEDICOS HOSPITALARES </t>
  </si>
  <si>
    <t>5204</t>
  </si>
  <si>
    <t>26210130848237000198550010000052041700711537</t>
  </si>
  <si>
    <t>5214</t>
  </si>
  <si>
    <t>07/01/2021</t>
  </si>
  <si>
    <t>26210130848237000198550010000052141307197366</t>
  </si>
  <si>
    <t>118,30</t>
  </si>
  <si>
    <t>26210130848237000198550010000053041892522695</t>
  </si>
  <si>
    <t>177,45</t>
  </si>
  <si>
    <t>06313389000101</t>
  </si>
  <si>
    <t>DENTAL  SORRISO LTDA</t>
  </si>
  <si>
    <t>222324</t>
  </si>
  <si>
    <t>26210106313389000101550010002223241518005124</t>
  </si>
  <si>
    <t>908,48</t>
  </si>
  <si>
    <t>27029310000276</t>
  </si>
  <si>
    <t>OLINDA MATERIAIS HOSPITALARES LTDA</t>
  </si>
  <si>
    <t>117</t>
  </si>
  <si>
    <t>26210127029310000276550010000001171004237637</t>
  </si>
  <si>
    <t>80</t>
  </si>
  <si>
    <t>26210127029310000276550010000000801003057048</t>
  </si>
  <si>
    <t>03443187000196</t>
  </si>
  <si>
    <t xml:space="preserve">ANDRE DE FREITAS TAVARES EIRELI </t>
  </si>
  <si>
    <t>306</t>
  </si>
  <si>
    <t>26210103443187000196550010000003061050800044</t>
  </si>
  <si>
    <t>24326435000199</t>
  </si>
  <si>
    <t xml:space="preserve"> B</t>
  </si>
  <si>
    <t>9885</t>
  </si>
  <si>
    <t>26210124326435000199550010000098851117234711</t>
  </si>
  <si>
    <t>561,50</t>
  </si>
  <si>
    <t>9878</t>
  </si>
  <si>
    <t>26210124326435000199550010000098781117154063</t>
  </si>
  <si>
    <t>01835769000192</t>
  </si>
  <si>
    <t>BRAMED MATERIAL CIRURGIA LTDA -EPP</t>
  </si>
  <si>
    <t>16834</t>
  </si>
  <si>
    <t>26210101835769000192550010000168341655704496</t>
  </si>
  <si>
    <t>21216468000198</t>
  </si>
  <si>
    <t xml:space="preserve">SANMED DISTRIBUIDORA DE PRODUTOS MÉDICO HOSPITALARES </t>
  </si>
  <si>
    <t>5379</t>
  </si>
  <si>
    <t>26210121216468000198550010000053791052021012</t>
  </si>
  <si>
    <t>340,00</t>
  </si>
  <si>
    <t>213817610001-00</t>
  </si>
  <si>
    <t xml:space="preserve">SIX DISTRIBUIDORA HOSPITALAR LTDA </t>
  </si>
  <si>
    <t>36341</t>
  </si>
  <si>
    <t>26210121381761000100550010000363411327671698</t>
  </si>
  <si>
    <t>36345</t>
  </si>
  <si>
    <t>26210121381761000100550010000363451056157224</t>
  </si>
  <si>
    <t>135519</t>
  </si>
  <si>
    <t>26210100331788002405552000001354191274984823</t>
  </si>
  <si>
    <t>135330</t>
  </si>
  <si>
    <t>26210100331788002405552000001353301911360509</t>
  </si>
  <si>
    <t>621,06</t>
  </si>
  <si>
    <t>135418</t>
  </si>
  <si>
    <t>26210100331788002405552000001354181320160371</t>
  </si>
  <si>
    <t>3.6</t>
  </si>
  <si>
    <t>309</t>
  </si>
  <si>
    <t>25/01/2021</t>
  </si>
  <si>
    <t>26210103443187000196550010000003091050800046</t>
  </si>
  <si>
    <t>310</t>
  </si>
  <si>
    <t>26210103443187000196550010000003101050800047</t>
  </si>
  <si>
    <t>21381761000100</t>
  </si>
  <si>
    <t>36821</t>
  </si>
  <si>
    <t>22/01/2021</t>
  </si>
  <si>
    <t>26210121381761000100550010000368211590129593</t>
  </si>
  <si>
    <t>380,80</t>
  </si>
  <si>
    <t>33743179000126</t>
  </si>
  <si>
    <t>CSL MATERIAL DE HIGIENE E PAPELARIA LTDA</t>
  </si>
  <si>
    <t>1910</t>
  </si>
  <si>
    <t>26210133743179000126550010000019101110744161</t>
  </si>
  <si>
    <t>611,74</t>
  </si>
  <si>
    <t>1911</t>
  </si>
  <si>
    <t>26210133743179000126550010000019111110750711</t>
  </si>
  <si>
    <t>22401344000145</t>
  </si>
  <si>
    <t xml:space="preserve">ALLIANCE MENDINFUSION </t>
  </si>
  <si>
    <t>10658</t>
  </si>
  <si>
    <t>26210122401344000145550010000106581862784446</t>
  </si>
  <si>
    <t>08014460000380</t>
  </si>
  <si>
    <t>VANPEL MAT DE ESCRITORIO E INFORMATICA</t>
  </si>
  <si>
    <t>33253</t>
  </si>
  <si>
    <t>13/01/2021</t>
  </si>
  <si>
    <t>26210108014460000180550010000332531001139774</t>
  </si>
  <si>
    <t>10060</t>
  </si>
  <si>
    <t>20/01/2021</t>
  </si>
  <si>
    <t>26210124326435000199550010000100601119067065</t>
  </si>
  <si>
    <t>10069</t>
  </si>
  <si>
    <t>26210124326435000199550010000100691119194631</t>
  </si>
  <si>
    <t>10070</t>
  </si>
  <si>
    <t>26210124326435000199550010000100701119188446</t>
  </si>
  <si>
    <t>770,90</t>
  </si>
  <si>
    <t>2621012432643500019955001000100601119067065</t>
  </si>
  <si>
    <t>118563</t>
  </si>
  <si>
    <t>26210121596736000144550010001185631001215375</t>
  </si>
  <si>
    <t>29447408000198</t>
  </si>
  <si>
    <t xml:space="preserve">LF DOS SANTOS GRÁFICA </t>
  </si>
  <si>
    <t>637</t>
  </si>
  <si>
    <t>12/01/2021</t>
  </si>
  <si>
    <t>26210129447408000198550010000006371800030045</t>
  </si>
  <si>
    <t>135473</t>
  </si>
  <si>
    <t>21/01/2021</t>
  </si>
  <si>
    <t>26210100331788002405552000001354731911360501</t>
  </si>
  <si>
    <t>1.1</t>
  </si>
  <si>
    <t>09759606000180</t>
  </si>
  <si>
    <t>SINDICATO DAS EMPRESAS DE TRANSPORTE DE PASSAG DO EST DE PE</t>
  </si>
  <si>
    <t>7312283</t>
  </si>
  <si>
    <t>13/02/2021</t>
  </si>
  <si>
    <t>N</t>
  </si>
  <si>
    <t>135535</t>
  </si>
  <si>
    <t>26210100331788002405552000001355351833018426</t>
  </si>
  <si>
    <t>135479</t>
  </si>
  <si>
    <t>26210100331788002405552000001354791733208443</t>
  </si>
  <si>
    <t>641,39</t>
  </si>
  <si>
    <t>135103</t>
  </si>
  <si>
    <t>26210100331788002405552000001351031911360500</t>
  </si>
  <si>
    <t>5.8</t>
  </si>
  <si>
    <t>18244189000123</t>
  </si>
  <si>
    <t xml:space="preserve">T1 COMERCIO DE PECAS E ACESSORIOS EIRELI ME </t>
  </si>
  <si>
    <t>25</t>
  </si>
  <si>
    <t>01/02/2021</t>
  </si>
  <si>
    <t>5.16</t>
  </si>
  <si>
    <t>32754834000189</t>
  </si>
  <si>
    <t>J DE BARROS PEREIRA NETO SERVICOS MEDICOS</t>
  </si>
  <si>
    <t>48</t>
  </si>
  <si>
    <t>02/02/2021</t>
  </si>
  <si>
    <t>9JWB-H2TT</t>
  </si>
  <si>
    <t>4.3</t>
  </si>
  <si>
    <t>11239132000197</t>
  </si>
  <si>
    <t xml:space="preserve">ANTONIO MARQUES DOS SANTOS - ME </t>
  </si>
  <si>
    <t>1285</t>
  </si>
  <si>
    <t>KPWW89994</t>
  </si>
  <si>
    <t>500,00</t>
  </si>
  <si>
    <t>5.99</t>
  </si>
  <si>
    <t>10891998000115</t>
  </si>
  <si>
    <t>ADVERSIT SERVICOS EM INFORMATICA LTDA</t>
  </si>
  <si>
    <t>427</t>
  </si>
  <si>
    <t>ZJUE32500</t>
  </si>
  <si>
    <t>820,00</t>
  </si>
  <si>
    <t>ILAND COMERCIO E SERVICOS DE INFORMATICA LTDA ME</t>
  </si>
  <si>
    <t>1482</t>
  </si>
  <si>
    <t>CELARE CENTRO LABORATORIAL DE ANALISES DO RECIFE LTDA M</t>
  </si>
  <si>
    <t xml:space="preserve"> S</t>
  </si>
  <si>
    <t>252</t>
  </si>
  <si>
    <t>WPLA-MNQH</t>
  </si>
  <si>
    <t xml:space="preserve">UM TELECOM </t>
  </si>
  <si>
    <t>64831</t>
  </si>
  <si>
    <t>310,00</t>
  </si>
  <si>
    <t>78166</t>
  </si>
  <si>
    <t>190,00</t>
  </si>
  <si>
    <t>20153710000169</t>
  </si>
  <si>
    <t>TS GRUPO GERADORES LTDA EPP</t>
  </si>
  <si>
    <t>s</t>
  </si>
  <si>
    <t>1879</t>
  </si>
  <si>
    <t>PQES76385</t>
  </si>
  <si>
    <t>300,00</t>
  </si>
  <si>
    <t>5.10</t>
  </si>
  <si>
    <t xml:space="preserve">JR XAVIER CAVALCANTI </t>
  </si>
  <si>
    <t>5067</t>
  </si>
  <si>
    <t>SQKW97053</t>
  </si>
  <si>
    <t>12386107000107</t>
  </si>
  <si>
    <t>J.T. DE CARVALHO</t>
  </si>
  <si>
    <t>58</t>
  </si>
  <si>
    <t>LUQXWLUH</t>
  </si>
  <si>
    <t>998,00</t>
  </si>
  <si>
    <t>37095416000140</t>
  </si>
  <si>
    <t>SOUSA PEREIRA SERVICOS MEDICOS LTDA</t>
  </si>
  <si>
    <t>09</t>
  </si>
  <si>
    <t>D9CHPSBY</t>
  </si>
  <si>
    <t>28856931000105</t>
  </si>
  <si>
    <t xml:space="preserve">A &amp; J SERVIÇOS MEDICOS LTDA- ME </t>
  </si>
  <si>
    <t>29</t>
  </si>
  <si>
    <t>TBEG42513</t>
  </si>
  <si>
    <t>34293461000111</t>
  </si>
  <si>
    <t>TOP MAIS MED SERVIÇOS MEDICOS LTDA</t>
  </si>
  <si>
    <t>51</t>
  </si>
  <si>
    <t>NQ6PCFBY</t>
  </si>
  <si>
    <t>32139082000146</t>
  </si>
  <si>
    <t>MAX DOCTOR CORPORATE ASSISTENCIA E SERVIÇOS MÉDICOS LTDA</t>
  </si>
  <si>
    <t>202</t>
  </si>
  <si>
    <t> 2607901</t>
  </si>
  <si>
    <t>34153050000120</t>
  </si>
  <si>
    <t>CENTER SIMPLE HEALTH ASSISTENCIA E SERVIÇOS MEDICOS</t>
  </si>
  <si>
    <t>85</t>
  </si>
  <si>
    <t>33374970000106</t>
  </si>
  <si>
    <t>MIX ASSOCIATION MEDIC ASSISTENCIA E SERVICOS MEDICOS LTDA</t>
  </si>
  <si>
    <t>187</t>
  </si>
  <si>
    <t>MS CLINIC SERVIÇOS  DE SAÚDE LTDA</t>
  </si>
  <si>
    <t>23</t>
  </si>
  <si>
    <t>XQDH24342</t>
  </si>
  <si>
    <t>BPDTBJHIE</t>
  </si>
  <si>
    <t>32519491000178</t>
  </si>
  <si>
    <t>DOT SERVIÇOS MEDICOS LTDA</t>
  </si>
  <si>
    <t>91</t>
  </si>
  <si>
    <t>VGXKVFPE</t>
  </si>
  <si>
    <t>19968162000146</t>
  </si>
  <si>
    <t>CENTRO MÉDICO ESPECIALIZADO ALTERNATIVAMED LTDA</t>
  </si>
  <si>
    <t>1887</t>
  </si>
  <si>
    <t>EUDCLX6R</t>
  </si>
  <si>
    <t>5.13</t>
  </si>
  <si>
    <t>09769035000164</t>
  </si>
  <si>
    <t xml:space="preserve">COMPAHIA PERNAMBUCANA DE SANEAMENTO </t>
  </si>
  <si>
    <t>105049158</t>
  </si>
  <si>
    <t>03/02/2021</t>
  </si>
  <si>
    <t>5.12</t>
  </si>
  <si>
    <t>10835932000108</t>
  </si>
  <si>
    <t>COMPAHIA ENERGETICA DE PERNAMBUCO</t>
  </si>
  <si>
    <t>142184655</t>
  </si>
  <si>
    <t>930350120</t>
  </si>
  <si>
    <t>503,53</t>
  </si>
  <si>
    <t>35343136000189</t>
  </si>
  <si>
    <t xml:space="preserve">EMBRAESTER EMPRESA BRASILEIRA DE ESTERILIZACAO </t>
  </si>
  <si>
    <t>8537</t>
  </si>
  <si>
    <t>BTGZY7Q7</t>
  </si>
  <si>
    <t>27837083000124</t>
  </si>
  <si>
    <t xml:space="preserve">CLEAN HIGIENIZAÇÃO DE TEXTEIS EIRELI - ME </t>
  </si>
  <si>
    <t>980</t>
  </si>
  <si>
    <t>JNGB02201</t>
  </si>
  <si>
    <t>5.18</t>
  </si>
  <si>
    <t>33000118001493</t>
  </si>
  <si>
    <t>TELEMAR NORTE LESTE S/A</t>
  </si>
  <si>
    <t>4938208</t>
  </si>
  <si>
    <t>129,32</t>
  </si>
  <si>
    <t>4938200</t>
  </si>
  <si>
    <t>97,34</t>
  </si>
  <si>
    <t xml:space="preserve">SOCORRO MACHADO SERVICOS MEDICOS AMBULATORIAIS </t>
  </si>
  <si>
    <t>10</t>
  </si>
  <si>
    <t>GIUHVTMX</t>
  </si>
  <si>
    <t>33018758000106</t>
  </si>
  <si>
    <t xml:space="preserve">DA SERVICO MEDICOS AMBULATORIAIS EIREILI </t>
  </si>
  <si>
    <t>53</t>
  </si>
  <si>
    <t>ZJTI94652</t>
  </si>
  <si>
    <t>MKB SERVIÇOS MEDICOS AMBULATORIAIS LTDA</t>
  </si>
  <si>
    <t>12</t>
  </si>
  <si>
    <t>J2X1EYXS</t>
  </si>
  <si>
    <t>35636116000104</t>
  </si>
  <si>
    <t xml:space="preserve">PEQUENO SERVIÇOS MEDICOS AMBULATORIAIS EIRELI </t>
  </si>
  <si>
    <t>18</t>
  </si>
  <si>
    <t>VCATDBNN</t>
  </si>
  <si>
    <t>33010290000103</t>
  </si>
  <si>
    <t>ROCHA E DOMINGOS MEDICOS LTDA</t>
  </si>
  <si>
    <t>41</t>
  </si>
  <si>
    <t>QQIK2IZN</t>
  </si>
  <si>
    <t>12836422000180</t>
  </si>
  <si>
    <t>151</t>
  </si>
  <si>
    <t>JEDB19356</t>
  </si>
  <si>
    <t>92306257000780</t>
  </si>
  <si>
    <t>MV INFORMATICA NORDESTE LTDA</t>
  </si>
  <si>
    <t>20420</t>
  </si>
  <si>
    <t>G3VVSHJT</t>
  </si>
  <si>
    <t>3.14</t>
  </si>
  <si>
    <t>30645960000170</t>
  </si>
  <si>
    <t xml:space="preserve">BISTRO COMEDORIA EIRELI </t>
  </si>
  <si>
    <t>134</t>
  </si>
  <si>
    <t>05/02/2021</t>
  </si>
  <si>
    <t>26210230645960000170550010000001371909007005</t>
  </si>
  <si>
    <t>133</t>
  </si>
  <si>
    <t>26210230645960000170550010000001331909007008</t>
  </si>
  <si>
    <t>25130763000188</t>
  </si>
  <si>
    <t xml:space="preserve">TELIA DE ALBUQUERQUE PESSOA </t>
  </si>
  <si>
    <t>03</t>
  </si>
  <si>
    <t>ECUU83914</t>
  </si>
  <si>
    <t> 2609600</t>
  </si>
  <si>
    <t>11863530000180</t>
  </si>
  <si>
    <t>BRASCON GESTAO AMBIENTAL LTDA</t>
  </si>
  <si>
    <t>64776</t>
  </si>
  <si>
    <t>5.3</t>
  </si>
  <si>
    <t>19533734000164</t>
  </si>
  <si>
    <t xml:space="preserve">ALEXSANDRA DE GUSMÃO NERES - ME </t>
  </si>
  <si>
    <t>9886</t>
  </si>
  <si>
    <t>5.1</t>
  </si>
  <si>
    <t xml:space="preserve">ALLIANCE MEDINFUSION </t>
  </si>
  <si>
    <t>01</t>
  </si>
  <si>
    <t>480,00</t>
  </si>
  <si>
    <t>11251195000169</t>
  </si>
  <si>
    <t xml:space="preserve">POSTO FIJI COMERCIO DE COMBUSTIVEIS </t>
  </si>
  <si>
    <t>2125</t>
  </si>
  <si>
    <t>29/01/2021</t>
  </si>
  <si>
    <t>26210111251195000169550120000021251000442440</t>
  </si>
  <si>
    <t>5.15</t>
  </si>
  <si>
    <t>UNIDADE DE PRONTO ATENDIMENTO EDUARDO CAMPOS UPA SOTAVE</t>
  </si>
  <si>
    <t>5.2</t>
  </si>
  <si>
    <t xml:space="preserve">AP Consultoria e Assessoria Empresarial Ltda </t>
  </si>
  <si>
    <t>TGUBVYSEX</t>
  </si>
  <si>
    <t xml:space="preserve">Advanced Contabilidade e Apoio Adm Ltda ME </t>
  </si>
  <si>
    <t>QFMKDB18K</t>
  </si>
  <si>
    <t>4XVPA6KY1</t>
  </si>
  <si>
    <t>29495965000184</t>
  </si>
  <si>
    <t xml:space="preserve">F B Banhos dos Santos Assessoria </t>
  </si>
  <si>
    <t>154</t>
  </si>
  <si>
    <t>E8937-A6B60</t>
  </si>
  <si>
    <t>3538709</t>
  </si>
  <si>
    <t>19641242000192</t>
  </si>
  <si>
    <t>AFTY TERCEIRIZACAO E SERVICOS LTDA</t>
  </si>
  <si>
    <t>NBKECCLMO</t>
  </si>
  <si>
    <t>Unidade de Pronto Atendimento Eduardo Campos UPA Sotave</t>
  </si>
  <si>
    <t>00184 001</t>
  </si>
  <si>
    <t>00183 001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</si>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</sst>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&quot;R$&quot;\ #,##0.00;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.00"/>
    <numFmt numFmtId="165" formatCode="_(* #,##0.00_);_(* \(#,##0.00\);_(* &quot;-&quot;??_);_(@_)"/>
    <numFmt numFmtId="166" formatCode="_(&quot;R$ &quot;* #,##0.00_);_(&quot;R$ &quot;* \(#,##0.00\);_(&quot;R$ &quot;* &quot;-&quot;??_);_(@_)"/>
    <numFmt numFmtId="167" formatCode="[$-416]General"/>
    <numFmt numFmtId="168" formatCode="_(* #,##0.00_);_(* \(#,##0.00\);_(* \-??_);_(@_)"/>
    <numFmt numFmtId="169" formatCode="_-&quot;R$ &quot;* #,##0.00_-;&quot;-R$ &quot;* #,##0.00_-;_-&quot;R$ &quot;* \-??_-;_-@_-"/>
    <numFmt numFmtId="170" formatCode="[$R$-416]\ #,##0.00;[Red]\-[$R$-416]\ #,##0.00"/>
    <numFmt numFmtId="171" formatCode="mm/yy"/>
    <numFmt numFmtId="172" formatCode="_-&quot;R$&quot;* #,##0.00_-;&quot;-R$&quot;* #,##0.00_-;_-&quot;R$&quot;* \-??_-;_-@_-"/>
    <numFmt numFmtId="173" formatCode="00000"/>
    <numFmt numFmtId="174" formatCode="00000.00"/>
  </numFmts>
  <fonts count="15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5"/>
      <color theme="0"/>
      <name val="Arial"/>
      <family val="2"/>
    </font>
    <font>
      <b/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0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color theme="0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</font>
    <font>
      <b/>
      <sz val="10"/>
      <name val="Arial"/>
      <family val="2"/>
    </font>
    <font>
      <sz val="16"/>
      <color indexed="63"/>
      <name val="Calibri"/>
      <family val="2"/>
    </font>
    <font>
      <b/>
      <sz val="16"/>
      <color indexed="63"/>
      <name val="Calibri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sz val="16"/>
      <name val="Calibri"/>
      <family val="2"/>
    </font>
    <font>
      <b/>
      <sz val="10"/>
      <color rgb="FFFF0000"/>
      <name val="Arial"/>
      <family val="2"/>
    </font>
    <font>
      <sz val="8"/>
      <color rgb="FF000080"/>
      <name val="Arial"/>
      <family val="2"/>
    </font>
    <font>
      <b/>
      <sz val="7"/>
      <name val="Arial"/>
      <family val="2"/>
    </font>
    <font>
      <b/>
      <sz val="12"/>
      <color indexed="63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indexed="63"/>
      <name val="Arial"/>
      <family val="2"/>
    </font>
    <font>
      <b/>
      <sz val="12"/>
      <color indexed="63"/>
      <name val="Arial"/>
      <family val="2"/>
    </font>
    <font>
      <b/>
      <sz val="16"/>
      <color indexed="63"/>
      <name val="Arial"/>
      <family val="2"/>
    </font>
    <font>
      <b/>
      <sz val="16"/>
      <color indexed="63"/>
      <name val="Calibri"/>
      <family val="2"/>
    </font>
    <font>
      <b/>
      <sz val="14"/>
      <color indexed="63"/>
      <name val="Calibri"/>
      <family val="2"/>
    </font>
    <font>
      <b/>
      <sz val="14"/>
      <color theme="3" tint="0.39994506668294322"/>
      <name val="Calibri"/>
      <family val="2"/>
    </font>
    <font>
      <sz val="14"/>
      <color indexed="63"/>
      <name val="Calibri"/>
      <family val="2"/>
    </font>
    <font>
      <b/>
      <u/>
      <sz val="16"/>
      <color indexed="63"/>
      <name val="Calibri"/>
      <family val="2"/>
    </font>
    <font>
      <b/>
      <i/>
      <u/>
      <sz val="16"/>
      <color indexed="63"/>
      <name val="Calibri"/>
      <family val="2"/>
    </font>
    <font>
      <u/>
      <sz val="16"/>
      <color indexed="63"/>
      <name val="Calibri"/>
      <family val="2"/>
    </font>
    <font>
      <b/>
      <sz val="12"/>
      <name val="Calibri"/>
      <family val="2"/>
      <scheme val="minor"/>
    </font>
    <font>
      <b/>
      <sz val="11"/>
      <color theme="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9"/>
      <color indexed="63"/>
      <name val="Calibri"/>
      <family val="2"/>
    </font>
    <font>
      <sz val="12"/>
      <color indexed="8"/>
      <name val="Calibri"/>
      <family val="2"/>
      <scheme val="minor"/>
    </font>
    <font>
      <sz val="11"/>
      <color indexed="63"/>
      <name val="Calibri"/>
      <family val="2"/>
    </font>
    <font>
      <sz val="12"/>
      <color rgb="FF000000"/>
      <name val="Calibri"/>
      <family val="2"/>
      <scheme val="minor"/>
    </font>
    <font>
      <sz val="12"/>
      <color rgb="FF000000"/>
      <name val="Cali8BRI"/>
      <charset val="134"/>
    </font>
    <font>
      <b/>
      <sz val="11"/>
      <name val="Arial"/>
      <family val="2"/>
    </font>
    <font>
      <b/>
      <sz val="13"/>
      <name val="Arial"/>
      <family val="2"/>
    </font>
    <font>
      <b/>
      <sz val="13"/>
      <color theme="0"/>
      <name val="Calibri"/>
      <family val="2"/>
    </font>
    <font>
      <b/>
      <sz val="11"/>
      <color indexed="59"/>
      <name val="Arial"/>
      <family val="2"/>
    </font>
    <font>
      <b/>
      <sz val="11"/>
      <color indexed="59"/>
      <name val="Calibri"/>
      <family val="2"/>
    </font>
    <font>
      <sz val="10"/>
      <color indexed="59"/>
      <name val="Calibri"/>
      <family val="2"/>
    </font>
    <font>
      <sz val="11"/>
      <color indexed="59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9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8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theme="0"/>
      <name val="Arial"/>
      <family val="2"/>
    </font>
    <font>
      <sz val="12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0000"/>
      <name val="Arial"/>
      <family val="2"/>
    </font>
    <font>
      <b/>
      <i/>
      <sz val="14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theme="0"/>
      <name val="Calibri"/>
      <family val="2"/>
    </font>
    <font>
      <b/>
      <sz val="10"/>
      <color rgb="FF000000"/>
      <name val="Calibri"/>
      <family val="2"/>
    </font>
    <font>
      <b/>
      <sz val="14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FF0000"/>
      <name val="Calibri"/>
      <family val="2"/>
    </font>
    <font>
      <b/>
      <sz val="13"/>
      <color theme="3"/>
      <name val="Calibri"/>
      <family val="2"/>
      <scheme val="minor"/>
    </font>
    <font>
      <sz val="11"/>
      <color indexed="9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1"/>
    </font>
    <font>
      <b/>
      <sz val="18"/>
      <color theme="3"/>
      <name val="Cambria"/>
      <family val="1"/>
      <scheme val="maj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56"/>
      <name val="Calibri"/>
      <family val="2"/>
    </font>
    <font>
      <sz val="11"/>
      <color indexed="52"/>
      <name val="Calibri"/>
      <family val="2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3"/>
      <color indexed="56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1"/>
    </font>
    <font>
      <b/>
      <sz val="18"/>
      <color theme="0"/>
      <name val="Calibri"/>
      <family val="2"/>
    </font>
    <font>
      <sz val="10"/>
      <name val="Arial"/>
      <family val="2"/>
    </font>
    <font>
      <b/>
      <sz val="11"/>
      <name val="Arial"/>
      <family val="2"/>
      <charset val="1"/>
    </font>
    <font>
      <sz val="10"/>
      <color indexed="59"/>
      <name val="Calibri"/>
      <family val="2"/>
      <charset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  <charset val="1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charset val="1"/>
    </font>
    <font>
      <b/>
      <sz val="15"/>
      <color theme="0"/>
      <name val="Arial"/>
      <family val="2"/>
      <charset val="1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  <charset val="1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2"/>
      <color indexed="63"/>
      <name val="Calibri"/>
      <family val="2"/>
      <charset val="1"/>
    </font>
    <font>
      <sz val="12"/>
      <color rgb="FFFF0000"/>
      <name val="Calibri"/>
      <family val="2"/>
      <scheme val="minor"/>
    </font>
    <font>
      <sz val="11"/>
      <color rgb="FF333333"/>
      <name val="Calibri"/>
      <family val="2"/>
      <scheme val="minor"/>
    </font>
  </fonts>
  <fills count="91">
    <fill>
      <patternFill patternType="none"/>
    </fill>
    <fill>
      <patternFill patternType="gray125"/>
    </fill>
    <fill>
      <patternFill patternType="solid">
        <fgColor theme="3"/>
        <bgColor rgb="FF8EB4E3"/>
      </patternFill>
    </fill>
    <fill>
      <patternFill patternType="solid">
        <fgColor rgb="FFFFFF00"/>
        <bgColor rgb="FFFFFF00"/>
      </patternFill>
    </fill>
    <fill>
      <patternFill patternType="solid">
        <fgColor theme="3"/>
        <bgColor rgb="FF33CCCC"/>
      </patternFill>
    </fill>
    <fill>
      <patternFill patternType="solid">
        <fgColor theme="4" tint="0.59999389629810485"/>
        <bgColor rgb="FFC0C0C0"/>
      </patternFill>
    </fill>
    <fill>
      <patternFill patternType="solid">
        <fgColor theme="4" tint="0.59999389629810485"/>
        <bgColor rgb="FF33CCCC"/>
      </patternFill>
    </fill>
    <fill>
      <patternFill patternType="solid">
        <fgColor theme="3"/>
        <bgColor rgb="FF83CAFF"/>
      </patternFill>
    </fill>
    <fill>
      <patternFill patternType="solid">
        <fgColor theme="3" tint="0.39994506668294322"/>
        <bgColor rgb="FFC0C0C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22"/>
      </patternFill>
    </fill>
    <fill>
      <patternFill patternType="solid">
        <fgColor theme="3"/>
        <bgColor indexed="31"/>
      </patternFill>
    </fill>
    <fill>
      <patternFill patternType="solid">
        <fgColor rgb="FFFFFF00"/>
        <bgColor indexed="45"/>
      </patternFill>
    </fill>
    <fill>
      <patternFill patternType="solid">
        <fgColor theme="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3"/>
        <bgColor indexed="45"/>
      </patternFill>
    </fill>
    <fill>
      <patternFill patternType="solid">
        <fgColor rgb="FFFFFF00"/>
        <bgColor indexed="22"/>
      </patternFill>
    </fill>
    <fill>
      <patternFill patternType="solid">
        <fgColor theme="3" tint="0.59999389629810485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3"/>
        <bgColor rgb="FF808080"/>
      </patternFill>
    </fill>
    <fill>
      <patternFill patternType="solid">
        <fgColor theme="3" tint="0.59999389629810485"/>
        <bgColor rgb="FFD7E4BD"/>
      </patternFill>
    </fill>
    <fill>
      <patternFill patternType="solid">
        <fgColor rgb="FF8EB4E3"/>
        <bgColor rgb="FF9999FF"/>
      </patternFill>
    </fill>
    <fill>
      <patternFill patternType="solid">
        <fgColor rgb="FFFFFF00"/>
        <bgColor rgb="FFC3D69B"/>
      </patternFill>
    </fill>
    <fill>
      <patternFill patternType="solid">
        <fgColor rgb="FFFFFF00"/>
        <bgColor rgb="FF8EB4E3"/>
      </patternFill>
    </fill>
    <fill>
      <patternFill patternType="solid">
        <fgColor theme="0"/>
        <bgColor indexed="64"/>
      </patternFill>
    </fill>
    <fill>
      <patternFill patternType="solid">
        <fgColor theme="3"/>
        <bgColor rgb="FF9999FF"/>
      </patternFill>
    </fill>
    <fill>
      <patternFill patternType="solid">
        <fgColor theme="3"/>
        <bgColor indexed="23"/>
      </patternFill>
    </fill>
    <fill>
      <patternFill patternType="solid">
        <fgColor theme="3"/>
        <bgColor indexed="44"/>
      </patternFill>
    </fill>
    <fill>
      <patternFill patternType="solid">
        <fgColor theme="3" tint="0.59999389629810485"/>
        <bgColor indexed="4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rgb="FFB9CDE5"/>
      </patternFill>
    </fill>
    <fill>
      <patternFill patternType="solid">
        <fgColor theme="3"/>
        <bgColor rgb="FF95B3D7"/>
      </patternFill>
    </fill>
    <fill>
      <patternFill patternType="solid">
        <fgColor rgb="FF8EB4E3"/>
        <bgColor rgb="FF95B3D7"/>
      </patternFill>
    </fill>
    <fill>
      <patternFill patternType="solid">
        <fgColor rgb="FF95B3D7"/>
        <bgColor rgb="FF8EB4E3"/>
      </patternFill>
    </fill>
    <fill>
      <patternFill patternType="solid">
        <fgColor rgb="FFB9CDE5"/>
        <bgColor rgb="FFC5D9E6"/>
      </patternFill>
    </fill>
    <fill>
      <patternFill patternType="solid">
        <fgColor rgb="FFDCE6F2"/>
        <bgColor rgb="FFC6D9F1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8">
    <xf numFmtId="0" fontId="0" fillId="0" borderId="0"/>
    <xf numFmtId="0" fontId="96" fillId="44" borderId="0" applyNumberFormat="0" applyBorder="0" applyAlignment="0" applyProtection="0"/>
    <xf numFmtId="0" fontId="127" fillId="46" borderId="0" applyNumberFormat="0" applyBorder="0" applyAlignment="0" applyProtection="0"/>
    <xf numFmtId="43" fontId="127" fillId="0" borderId="0" applyFont="0" applyFill="0" applyBorder="0" applyAlignment="0" applyProtection="0"/>
    <xf numFmtId="0" fontId="127" fillId="48" borderId="0" applyNumberFormat="0" applyBorder="0" applyAlignment="0" applyProtection="0"/>
    <xf numFmtId="0" fontId="127" fillId="9" borderId="0" applyNumberFormat="0" applyBorder="0" applyAlignment="0" applyProtection="0"/>
    <xf numFmtId="0" fontId="98" fillId="52" borderId="24" applyNumberFormat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0" fontId="127" fillId="46" borderId="0" applyNumberFormat="0" applyBorder="0" applyAlignment="0" applyProtection="0"/>
    <xf numFmtId="44" fontId="127" fillId="0" borderId="0" applyFont="0" applyFill="0" applyBorder="0" applyAlignment="0" applyProtection="0"/>
    <xf numFmtId="0" fontId="127" fillId="40" borderId="22" applyNumberFormat="0" applyFont="0" applyAlignment="0" applyProtection="0"/>
    <xf numFmtId="0" fontId="127" fillId="0" borderId="0"/>
    <xf numFmtId="0" fontId="51" fillId="0" borderId="0" applyNumberFormat="0" applyFill="0" applyBorder="0" applyAlignment="0" applyProtection="0"/>
    <xf numFmtId="0" fontId="96" fillId="61" borderId="0" applyNumberFormat="0" applyBorder="0" applyAlignment="0" applyProtection="0"/>
    <xf numFmtId="0" fontId="77" fillId="49" borderId="23" applyNumberFormat="0" applyAlignment="0" applyProtection="0"/>
    <xf numFmtId="0" fontId="127" fillId="0" borderId="0"/>
    <xf numFmtId="0" fontId="127" fillId="55" borderId="0" applyNumberFormat="0" applyBorder="0" applyAlignment="0" applyProtection="0"/>
    <xf numFmtId="44" fontId="50" fillId="0" borderId="0" applyFont="0" applyFill="0" applyBorder="0" applyAlignment="0" applyProtection="0"/>
    <xf numFmtId="0" fontId="127" fillId="48" borderId="0" applyNumberFormat="0" applyBorder="0" applyAlignment="0" applyProtection="0"/>
    <xf numFmtId="0" fontId="127" fillId="48" borderId="0" applyNumberFormat="0" applyBorder="0" applyAlignment="0" applyProtection="0"/>
    <xf numFmtId="0" fontId="127" fillId="41" borderId="0" applyNumberFormat="0" applyBorder="0" applyAlignment="0" applyProtection="0"/>
    <xf numFmtId="0" fontId="127" fillId="0" borderId="0"/>
    <xf numFmtId="0" fontId="127" fillId="53" borderId="0" applyNumberFormat="0" applyBorder="0" applyAlignment="0" applyProtection="0"/>
    <xf numFmtId="0" fontId="69" fillId="60" borderId="0" applyNumberFormat="0" applyBorder="0" applyAlignment="0" applyProtection="0"/>
    <xf numFmtId="0" fontId="101" fillId="0" borderId="0" applyNumberFormat="0" applyFill="0" applyBorder="0" applyAlignment="0" applyProtection="0"/>
    <xf numFmtId="0" fontId="127" fillId="41" borderId="0" applyNumberFormat="0" applyBorder="0" applyAlignment="0" applyProtection="0"/>
    <xf numFmtId="0" fontId="127" fillId="51" borderId="0" applyNumberFormat="0" applyBorder="0" applyAlignment="0" applyProtection="0"/>
    <xf numFmtId="0" fontId="127" fillId="47" borderId="0" applyNumberFormat="0" applyBorder="0" applyAlignment="0" applyProtection="0"/>
    <xf numFmtId="0" fontId="127" fillId="0" borderId="0"/>
    <xf numFmtId="0" fontId="127" fillId="53" borderId="0" applyNumberFormat="0" applyBorder="0" applyAlignment="0" applyProtection="0"/>
    <xf numFmtId="0" fontId="127" fillId="55" borderId="0" applyNumberFormat="0" applyBorder="0" applyAlignment="0" applyProtection="0"/>
    <xf numFmtId="0" fontId="4" fillId="42" borderId="0" applyNumberFormat="0" applyBorder="0" applyAlignment="0" applyProtection="0"/>
    <xf numFmtId="0" fontId="127" fillId="15" borderId="0" applyNumberFormat="0" applyBorder="0" applyAlignment="0" applyProtection="0"/>
    <xf numFmtId="0" fontId="127" fillId="53" borderId="0" applyNumberFormat="0" applyBorder="0" applyAlignment="0" applyProtection="0"/>
    <xf numFmtId="0" fontId="127" fillId="55" borderId="0" applyNumberFormat="0" applyBorder="0" applyAlignment="0" applyProtection="0"/>
    <xf numFmtId="0" fontId="127" fillId="53" borderId="0" applyNumberFormat="0" applyBorder="0" applyAlignment="0" applyProtection="0"/>
    <xf numFmtId="0" fontId="105" fillId="0" borderId="0" applyNumberFormat="0" applyFill="0" applyBorder="0" applyAlignment="0" applyProtection="0"/>
    <xf numFmtId="0" fontId="127" fillId="48" borderId="0" applyNumberFormat="0" applyBorder="0" applyAlignment="0" applyProtection="0"/>
    <xf numFmtId="0" fontId="127" fillId="53" borderId="0" applyNumberFormat="0" applyBorder="0" applyAlignment="0" applyProtection="0"/>
    <xf numFmtId="0" fontId="104" fillId="0" borderId="0" applyNumberFormat="0" applyFill="0" applyBorder="0" applyAlignment="0" applyProtection="0"/>
    <xf numFmtId="0" fontId="127" fillId="48" borderId="0" applyNumberFormat="0" applyBorder="0" applyAlignment="0" applyProtection="0"/>
    <xf numFmtId="0" fontId="127" fillId="48" borderId="0" applyNumberFormat="0" applyBorder="0" applyAlignment="0" applyProtection="0"/>
    <xf numFmtId="0" fontId="127" fillId="41" borderId="0" applyNumberFormat="0" applyBorder="0" applyAlignment="0" applyProtection="0"/>
    <xf numFmtId="0" fontId="127" fillId="48" borderId="0" applyNumberFormat="0" applyBorder="0" applyAlignment="0" applyProtection="0"/>
    <xf numFmtId="0" fontId="127" fillId="48" borderId="0" applyNumberFormat="0" applyBorder="0" applyAlignment="0" applyProtection="0"/>
    <xf numFmtId="0" fontId="4" fillId="72" borderId="0" applyNumberFormat="0" applyBorder="0" applyAlignment="0" applyProtection="0"/>
    <xf numFmtId="0" fontId="127" fillId="15" borderId="0" applyNumberFormat="0" applyBorder="0" applyAlignment="0" applyProtection="0"/>
    <xf numFmtId="0" fontId="127" fillId="51" borderId="0" applyNumberFormat="0" applyBorder="0" applyAlignment="0" applyProtection="0"/>
    <xf numFmtId="0" fontId="97" fillId="0" borderId="0" applyNumberFormat="0" applyFill="0" applyBorder="0" applyAlignment="0" applyProtection="0"/>
    <xf numFmtId="0" fontId="127" fillId="48" borderId="0" applyNumberFormat="0" applyBorder="0" applyAlignment="0" applyProtection="0"/>
    <xf numFmtId="0" fontId="127" fillId="46" borderId="0" applyNumberFormat="0" applyBorder="0" applyAlignment="0" applyProtection="0"/>
    <xf numFmtId="0" fontId="127" fillId="47" borderId="0" applyNumberFormat="0" applyBorder="0" applyAlignment="0" applyProtection="0"/>
    <xf numFmtId="0" fontId="104" fillId="0" borderId="0" applyNumberFormat="0" applyFill="0" applyBorder="0" applyAlignment="0" applyProtection="0"/>
    <xf numFmtId="0" fontId="127" fillId="48" borderId="0" applyNumberFormat="0" applyBorder="0" applyAlignment="0" applyProtection="0"/>
    <xf numFmtId="0" fontId="127" fillId="48" borderId="0" applyNumberFormat="0" applyBorder="0" applyAlignment="0" applyProtection="0"/>
    <xf numFmtId="0" fontId="127" fillId="48" borderId="0" applyNumberFormat="0" applyBorder="0" applyAlignment="0" applyProtection="0"/>
    <xf numFmtId="0" fontId="127" fillId="48" borderId="0" applyNumberFormat="0" applyBorder="0" applyAlignment="0" applyProtection="0"/>
    <xf numFmtId="0" fontId="127" fillId="48" borderId="0" applyNumberFormat="0" applyBorder="0" applyAlignment="0" applyProtection="0"/>
    <xf numFmtId="0" fontId="127" fillId="48" borderId="0" applyNumberFormat="0" applyBorder="0" applyAlignment="0" applyProtection="0"/>
    <xf numFmtId="0" fontId="127" fillId="48" borderId="0" applyNumberFormat="0" applyBorder="0" applyAlignment="0" applyProtection="0"/>
    <xf numFmtId="0" fontId="127" fillId="48" borderId="0" applyNumberFormat="0" applyBorder="0" applyAlignment="0" applyProtection="0"/>
    <xf numFmtId="0" fontId="127" fillId="15" borderId="0" applyNumberFormat="0" applyBorder="0" applyAlignment="0" applyProtection="0"/>
    <xf numFmtId="0" fontId="127" fillId="9" borderId="0" applyNumberFormat="0" applyBorder="0" applyAlignment="0" applyProtection="0"/>
    <xf numFmtId="0" fontId="127" fillId="9" borderId="0" applyNumberFormat="0" applyBorder="0" applyAlignment="0" applyProtection="0"/>
    <xf numFmtId="0" fontId="127" fillId="48" borderId="0" applyNumberFormat="0" applyBorder="0" applyAlignment="0" applyProtection="0"/>
    <xf numFmtId="0" fontId="127" fillId="48" borderId="0" applyNumberFormat="0" applyBorder="0" applyAlignment="0" applyProtection="0"/>
    <xf numFmtId="44" fontId="106" fillId="0" borderId="0" applyFont="0" applyFill="0" applyBorder="0" applyAlignment="0" applyProtection="0"/>
    <xf numFmtId="0" fontId="127" fillId="48" borderId="0" applyNumberFormat="0" applyBorder="0" applyAlignment="0" applyProtection="0"/>
    <xf numFmtId="0" fontId="127" fillId="48" borderId="0" applyNumberFormat="0" applyBorder="0" applyAlignment="0" applyProtection="0"/>
    <xf numFmtId="0" fontId="127" fillId="48" borderId="0" applyNumberFormat="0" applyBorder="0" applyAlignment="0" applyProtection="0"/>
    <xf numFmtId="0" fontId="127" fillId="48" borderId="0" applyNumberFormat="0" applyBorder="0" applyAlignment="0" applyProtection="0"/>
    <xf numFmtId="0" fontId="127" fillId="48" borderId="0" applyNumberFormat="0" applyBorder="0" applyAlignment="0" applyProtection="0"/>
    <xf numFmtId="0" fontId="127" fillId="41" borderId="0" applyNumberFormat="0" applyBorder="0" applyAlignment="0" applyProtection="0"/>
    <xf numFmtId="0" fontId="127" fillId="46" borderId="0" applyNumberFormat="0" applyBorder="0" applyAlignment="0" applyProtection="0"/>
    <xf numFmtId="0" fontId="127" fillId="48" borderId="0" applyNumberFormat="0" applyBorder="0" applyAlignment="0" applyProtection="0"/>
    <xf numFmtId="0" fontId="127" fillId="41" borderId="0" applyNumberFormat="0" applyBorder="0" applyAlignment="0" applyProtection="0"/>
    <xf numFmtId="0" fontId="127" fillId="48" borderId="0" applyNumberFormat="0" applyBorder="0" applyAlignment="0" applyProtection="0"/>
    <xf numFmtId="0" fontId="127" fillId="41" borderId="0" applyNumberFormat="0" applyBorder="0" applyAlignment="0" applyProtection="0"/>
    <xf numFmtId="0" fontId="127" fillId="62" borderId="0" applyNumberFormat="0" applyBorder="0" applyAlignment="0" applyProtection="0"/>
    <xf numFmtId="0" fontId="127" fillId="48" borderId="0" applyNumberFormat="0" applyBorder="0" applyAlignment="0" applyProtection="0"/>
    <xf numFmtId="0" fontId="127" fillId="46" borderId="0" applyNumberFormat="0" applyBorder="0" applyAlignment="0" applyProtection="0"/>
    <xf numFmtId="0" fontId="127" fillId="46" borderId="0" applyNumberFormat="0" applyBorder="0" applyAlignment="0" applyProtection="0"/>
    <xf numFmtId="0" fontId="127" fillId="41" borderId="0" applyNumberFormat="0" applyBorder="0" applyAlignment="0" applyProtection="0"/>
    <xf numFmtId="0" fontId="127" fillId="48" borderId="0" applyNumberFormat="0" applyBorder="0" applyAlignment="0" applyProtection="0"/>
    <xf numFmtId="0" fontId="127" fillId="41" borderId="0" applyNumberFormat="0" applyBorder="0" applyAlignment="0" applyProtection="0"/>
    <xf numFmtId="0" fontId="127" fillId="48" borderId="0" applyNumberFormat="0" applyBorder="0" applyAlignment="0" applyProtection="0"/>
    <xf numFmtId="0" fontId="127" fillId="41" borderId="0" applyNumberFormat="0" applyBorder="0" applyAlignment="0" applyProtection="0"/>
    <xf numFmtId="0" fontId="127" fillId="48" borderId="0" applyNumberFormat="0" applyBorder="0" applyAlignment="0" applyProtection="0"/>
    <xf numFmtId="0" fontId="127" fillId="48" borderId="0" applyNumberFormat="0" applyBorder="0" applyAlignment="0" applyProtection="0"/>
    <xf numFmtId="0" fontId="127" fillId="0" borderId="0"/>
    <xf numFmtId="0" fontId="127" fillId="41" borderId="0" applyNumberFormat="0" applyBorder="0" applyAlignment="0" applyProtection="0"/>
    <xf numFmtId="0" fontId="127" fillId="62" borderId="0" applyNumberFormat="0" applyBorder="0" applyAlignment="0" applyProtection="0"/>
    <xf numFmtId="0" fontId="127" fillId="0" borderId="0"/>
    <xf numFmtId="0" fontId="127" fillId="0" borderId="0"/>
    <xf numFmtId="0" fontId="127" fillId="62" borderId="0" applyNumberFormat="0" applyBorder="0" applyAlignment="0" applyProtection="0"/>
    <xf numFmtId="0" fontId="96" fillId="74" borderId="0" applyNumberFormat="0" applyBorder="0" applyAlignment="0" applyProtection="0"/>
    <xf numFmtId="0" fontId="127" fillId="39" borderId="0" applyNumberFormat="0" applyBorder="0" applyAlignment="0" applyProtection="0"/>
    <xf numFmtId="0" fontId="127" fillId="51" borderId="0" applyNumberFormat="0" applyBorder="0" applyAlignment="0" applyProtection="0"/>
    <xf numFmtId="0" fontId="127" fillId="55" borderId="0" applyNumberFormat="0" applyBorder="0" applyAlignment="0" applyProtection="0"/>
    <xf numFmtId="0" fontId="127" fillId="47" borderId="0" applyNumberFormat="0" applyBorder="0" applyAlignment="0" applyProtection="0"/>
    <xf numFmtId="0" fontId="127" fillId="62" borderId="0" applyNumberFormat="0" applyBorder="0" applyAlignment="0" applyProtection="0"/>
    <xf numFmtId="0" fontId="127" fillId="62" borderId="0" applyNumberFormat="0" applyBorder="0" applyAlignment="0" applyProtection="0"/>
    <xf numFmtId="0" fontId="127" fillId="62" borderId="0" applyNumberFormat="0" applyBorder="0" applyAlignment="0" applyProtection="0"/>
    <xf numFmtId="0" fontId="127" fillId="62" borderId="0" applyNumberFormat="0" applyBorder="0" applyAlignment="0" applyProtection="0"/>
    <xf numFmtId="0" fontId="127" fillId="62" borderId="0" applyNumberFormat="0" applyBorder="0" applyAlignment="0" applyProtection="0"/>
    <xf numFmtId="0" fontId="127" fillId="62" borderId="0" applyNumberFormat="0" applyBorder="0" applyAlignment="0" applyProtection="0"/>
    <xf numFmtId="0" fontId="127" fillId="62" borderId="0" applyNumberFormat="0" applyBorder="0" applyAlignment="0" applyProtection="0"/>
    <xf numFmtId="0" fontId="127" fillId="62" borderId="0" applyNumberFormat="0" applyBorder="0" applyAlignment="0" applyProtection="0"/>
    <xf numFmtId="0" fontId="127" fillId="62" borderId="0" applyNumberFormat="0" applyBorder="0" applyAlignment="0" applyProtection="0"/>
    <xf numFmtId="0" fontId="4" fillId="75" borderId="0" applyNumberFormat="0" applyBorder="0" applyAlignment="0" applyProtection="0"/>
    <xf numFmtId="0" fontId="127" fillId="62" borderId="0" applyNumberFormat="0" applyBorder="0" applyAlignment="0" applyProtection="0"/>
    <xf numFmtId="0" fontId="127" fillId="62" borderId="0" applyNumberFormat="0" applyBorder="0" applyAlignment="0" applyProtection="0"/>
    <xf numFmtId="0" fontId="127" fillId="62" borderId="0" applyNumberFormat="0" applyBorder="0" applyAlignment="0" applyProtection="0"/>
    <xf numFmtId="0" fontId="127" fillId="0" borderId="0"/>
    <xf numFmtId="0" fontId="127" fillId="0" borderId="0"/>
    <xf numFmtId="0" fontId="127" fillId="54" borderId="0" applyNumberFormat="0" applyBorder="0" applyAlignment="0" applyProtection="0"/>
    <xf numFmtId="0" fontId="127" fillId="54" borderId="0" applyNumberFormat="0" applyBorder="0" applyAlignment="0" applyProtection="0"/>
    <xf numFmtId="0" fontId="127" fillId="9" borderId="0" applyNumberFormat="0" applyBorder="0" applyAlignment="0" applyProtection="0"/>
    <xf numFmtId="0" fontId="127" fillId="62" borderId="0" applyNumberFormat="0" applyBorder="0" applyAlignment="0" applyProtection="0"/>
    <xf numFmtId="165" fontId="50" fillId="0" borderId="0" applyFont="0" applyFill="0" applyBorder="0" applyAlignment="0" applyProtection="0"/>
    <xf numFmtId="0" fontId="127" fillId="0" borderId="0"/>
    <xf numFmtId="0" fontId="127" fillId="62" borderId="0" applyNumberFormat="0" applyBorder="0" applyAlignment="0" applyProtection="0"/>
    <xf numFmtId="0" fontId="127" fillId="0" borderId="0"/>
    <xf numFmtId="0" fontId="127" fillId="0" borderId="0"/>
    <xf numFmtId="0" fontId="127" fillId="46" borderId="0" applyNumberFormat="0" applyBorder="0" applyAlignment="0" applyProtection="0"/>
    <xf numFmtId="0" fontId="127" fillId="62" borderId="0" applyNumberFormat="0" applyBorder="0" applyAlignment="0" applyProtection="0"/>
    <xf numFmtId="0" fontId="127" fillId="62" borderId="0" applyNumberFormat="0" applyBorder="0" applyAlignment="0" applyProtection="0"/>
    <xf numFmtId="0" fontId="127" fillId="0" borderId="0"/>
    <xf numFmtId="0" fontId="127" fillId="0" borderId="0"/>
    <xf numFmtId="0" fontId="127" fillId="62" borderId="0" applyNumberFormat="0" applyBorder="0" applyAlignment="0" applyProtection="0"/>
    <xf numFmtId="0" fontId="127" fillId="0" borderId="0"/>
    <xf numFmtId="0" fontId="127" fillId="0" borderId="0"/>
    <xf numFmtId="0" fontId="127" fillId="39" borderId="0" applyNumberFormat="0" applyBorder="0" applyAlignment="0" applyProtection="0"/>
    <xf numFmtId="0" fontId="127" fillId="62" borderId="0" applyNumberFormat="0" applyBorder="0" applyAlignment="0" applyProtection="0"/>
    <xf numFmtId="0" fontId="127" fillId="62" borderId="0" applyNumberFormat="0" applyBorder="0" applyAlignment="0" applyProtection="0"/>
    <xf numFmtId="0" fontId="127" fillId="0" borderId="0"/>
    <xf numFmtId="0" fontId="127" fillId="0" borderId="0"/>
    <xf numFmtId="0" fontId="127" fillId="39" borderId="0" applyNumberFormat="0" applyBorder="0" applyAlignment="0" applyProtection="0"/>
    <xf numFmtId="0" fontId="127" fillId="62" borderId="0" applyNumberFormat="0" applyBorder="0" applyAlignment="0" applyProtection="0"/>
    <xf numFmtId="0" fontId="127" fillId="0" borderId="0"/>
    <xf numFmtId="0" fontId="127" fillId="0" borderId="0"/>
    <xf numFmtId="0" fontId="127" fillId="51" borderId="0" applyNumberFormat="0" applyBorder="0" applyAlignment="0" applyProtection="0"/>
    <xf numFmtId="0" fontId="127" fillId="39" borderId="0" applyNumberFormat="0" applyBorder="0" applyAlignment="0" applyProtection="0"/>
    <xf numFmtId="0" fontId="127" fillId="62" borderId="0" applyNumberFormat="0" applyBorder="0" applyAlignment="0" applyProtection="0"/>
    <xf numFmtId="0" fontId="127" fillId="55" borderId="0" applyNumberFormat="0" applyBorder="0" applyAlignment="0" applyProtection="0"/>
    <xf numFmtId="0" fontId="127" fillId="47" borderId="0" applyNumberFormat="0" applyBorder="0" applyAlignment="0" applyProtection="0"/>
    <xf numFmtId="0" fontId="127" fillId="54" borderId="0" applyNumberFormat="0" applyBorder="0" applyAlignment="0" applyProtection="0"/>
    <xf numFmtId="0" fontId="127" fillId="39" borderId="0" applyNumberFormat="0" applyBorder="0" applyAlignment="0" applyProtection="0"/>
    <xf numFmtId="0" fontId="127" fillId="15" borderId="0" applyNumberFormat="0" applyBorder="0" applyAlignment="0" applyProtection="0"/>
    <xf numFmtId="0" fontId="127" fillId="62" borderId="0" applyNumberFormat="0" applyBorder="0" applyAlignment="0" applyProtection="0"/>
    <xf numFmtId="0" fontId="127" fillId="39" borderId="0" applyNumberFormat="0" applyBorder="0" applyAlignment="0" applyProtection="0"/>
    <xf numFmtId="0" fontId="127" fillId="62" borderId="0" applyNumberFormat="0" applyBorder="0" applyAlignment="0" applyProtection="0"/>
    <xf numFmtId="0" fontId="127" fillId="0" borderId="0"/>
    <xf numFmtId="0" fontId="127" fillId="39" borderId="0" applyNumberFormat="0" applyBorder="0" applyAlignment="0" applyProtection="0"/>
    <xf numFmtId="0" fontId="127" fillId="55" borderId="0" applyNumberFormat="0" applyBorder="0" applyAlignment="0" applyProtection="0"/>
    <xf numFmtId="0" fontId="127" fillId="62" borderId="0" applyNumberFormat="0" applyBorder="0" applyAlignment="0" applyProtection="0"/>
    <xf numFmtId="0" fontId="127" fillId="39" borderId="0" applyNumberFormat="0" applyBorder="0" applyAlignment="0" applyProtection="0"/>
    <xf numFmtId="0" fontId="127" fillId="62" borderId="0" applyNumberFormat="0" applyBorder="0" applyAlignment="0" applyProtection="0"/>
    <xf numFmtId="0" fontId="127" fillId="39" borderId="0" applyNumberFormat="0" applyBorder="0" applyAlignment="0" applyProtection="0"/>
    <xf numFmtId="0" fontId="127" fillId="53" borderId="0" applyNumberFormat="0" applyBorder="0" applyAlignment="0" applyProtection="0"/>
    <xf numFmtId="0" fontId="127" fillId="62" borderId="0" applyNumberFormat="0" applyBorder="0" applyAlignment="0" applyProtection="0"/>
    <xf numFmtId="0" fontId="127" fillId="47" borderId="0" applyNumberFormat="0" applyBorder="0" applyAlignment="0" applyProtection="0"/>
    <xf numFmtId="0" fontId="127" fillId="0" borderId="0"/>
    <xf numFmtId="0" fontId="127" fillId="47" borderId="0" applyNumberFormat="0" applyBorder="0" applyAlignment="0" applyProtection="0"/>
    <xf numFmtId="0" fontId="127" fillId="41" borderId="0" applyNumberFormat="0" applyBorder="0" applyAlignment="0" applyProtection="0"/>
    <xf numFmtId="0" fontId="127" fillId="51" borderId="0" applyNumberFormat="0" applyBorder="0" applyAlignment="0" applyProtection="0"/>
    <xf numFmtId="0" fontId="127" fillId="47" borderId="0" applyNumberFormat="0" applyBorder="0" applyAlignment="0" applyProtection="0"/>
    <xf numFmtId="0" fontId="127" fillId="0" borderId="0"/>
    <xf numFmtId="0" fontId="127" fillId="55" borderId="0" applyNumberFormat="0" applyBorder="0" applyAlignment="0" applyProtection="0"/>
    <xf numFmtId="0" fontId="127" fillId="47" borderId="0" applyNumberFormat="0" applyBorder="0" applyAlignment="0" applyProtection="0"/>
    <xf numFmtId="0" fontId="127" fillId="47" borderId="0" applyNumberFormat="0" applyBorder="0" applyAlignment="0" applyProtection="0"/>
    <xf numFmtId="0" fontId="127" fillId="47" borderId="0" applyNumberFormat="0" applyBorder="0" applyAlignment="0" applyProtection="0"/>
    <xf numFmtId="0" fontId="127" fillId="40" borderId="22" applyNumberFormat="0" applyFont="0" applyAlignment="0" applyProtection="0"/>
    <xf numFmtId="0" fontId="127" fillId="47" borderId="0" applyNumberFormat="0" applyBorder="0" applyAlignment="0" applyProtection="0"/>
    <xf numFmtId="0" fontId="127" fillId="47" borderId="0" applyNumberFormat="0" applyBorder="0" applyAlignment="0" applyProtection="0"/>
    <xf numFmtId="0" fontId="127" fillId="47" borderId="0" applyNumberFormat="0" applyBorder="0" applyAlignment="0" applyProtection="0"/>
    <xf numFmtId="0" fontId="127" fillId="47" borderId="0" applyNumberFormat="0" applyBorder="0" applyAlignment="0" applyProtection="0"/>
    <xf numFmtId="0" fontId="127" fillId="47" borderId="0" applyNumberFormat="0" applyBorder="0" applyAlignment="0" applyProtection="0"/>
    <xf numFmtId="0" fontId="4" fillId="76" borderId="0" applyNumberFormat="0" applyBorder="0" applyAlignment="0" applyProtection="0"/>
    <xf numFmtId="0" fontId="127" fillId="47" borderId="0" applyNumberFormat="0" applyBorder="0" applyAlignment="0" applyProtection="0"/>
    <xf numFmtId="0" fontId="127" fillId="47" borderId="0" applyNumberFormat="0" applyBorder="0" applyAlignment="0" applyProtection="0"/>
    <xf numFmtId="0" fontId="127" fillId="47" borderId="0" applyNumberFormat="0" applyBorder="0" applyAlignment="0" applyProtection="0"/>
    <xf numFmtId="41" fontId="106" fillId="0" borderId="0" applyFont="0" applyFill="0" applyBorder="0" applyAlignment="0" applyProtection="0"/>
    <xf numFmtId="0" fontId="127" fillId="47" borderId="0" applyNumberFormat="0" applyBorder="0" applyAlignment="0" applyProtection="0"/>
    <xf numFmtId="0" fontId="127" fillId="47" borderId="0" applyNumberFormat="0" applyBorder="0" applyAlignment="0" applyProtection="0"/>
    <xf numFmtId="0" fontId="127" fillId="41" borderId="0" applyNumberFormat="0" applyBorder="0" applyAlignment="0" applyProtection="0"/>
    <xf numFmtId="0" fontId="127" fillId="41" borderId="0" applyNumberFormat="0" applyBorder="0" applyAlignment="0" applyProtection="0"/>
    <xf numFmtId="0" fontId="127" fillId="47" borderId="0" applyNumberFormat="0" applyBorder="0" applyAlignment="0" applyProtection="0"/>
    <xf numFmtId="0" fontId="127" fillId="47" borderId="0" applyNumberFormat="0" applyBorder="0" applyAlignment="0" applyProtection="0"/>
    <xf numFmtId="0" fontId="127" fillId="47" borderId="0" applyNumberFormat="0" applyBorder="0" applyAlignment="0" applyProtection="0"/>
    <xf numFmtId="0" fontId="127" fillId="47" borderId="0" applyNumberFormat="0" applyBorder="0" applyAlignment="0" applyProtection="0"/>
    <xf numFmtId="0" fontId="127" fillId="51" borderId="0" applyNumberFormat="0" applyBorder="0" applyAlignment="0" applyProtection="0"/>
    <xf numFmtId="0" fontId="127" fillId="47" borderId="0" applyNumberFormat="0" applyBorder="0" applyAlignment="0" applyProtection="0"/>
    <xf numFmtId="0" fontId="127" fillId="51" borderId="0" applyNumberFormat="0" applyBorder="0" applyAlignment="0" applyProtection="0"/>
    <xf numFmtId="0" fontId="127" fillId="47" borderId="0" applyNumberFormat="0" applyBorder="0" applyAlignment="0" applyProtection="0"/>
    <xf numFmtId="0" fontId="127" fillId="51" borderId="0" applyNumberFormat="0" applyBorder="0" applyAlignment="0" applyProtection="0"/>
    <xf numFmtId="0" fontId="127" fillId="55" borderId="0" applyNumberFormat="0" applyBorder="0" applyAlignment="0" applyProtection="0"/>
    <xf numFmtId="0" fontId="127" fillId="47" borderId="0" applyNumberFormat="0" applyBorder="0" applyAlignment="0" applyProtection="0"/>
    <xf numFmtId="43" fontId="127" fillId="0" borderId="0" applyFont="0" applyFill="0" applyBorder="0" applyAlignment="0" applyProtection="0"/>
    <xf numFmtId="0" fontId="127" fillId="51" borderId="0" applyNumberFormat="0" applyBorder="0" applyAlignment="0" applyProtection="0"/>
    <xf numFmtId="0" fontId="127" fillId="47" borderId="0" applyNumberFormat="0" applyBorder="0" applyAlignment="0" applyProtection="0"/>
    <xf numFmtId="0" fontId="127" fillId="39" borderId="0" applyNumberFormat="0" applyBorder="0" applyAlignment="0" applyProtection="0"/>
    <xf numFmtId="0" fontId="127" fillId="39" borderId="0" applyNumberFormat="0" applyBorder="0" applyAlignment="0" applyProtection="0"/>
    <xf numFmtId="0" fontId="127" fillId="51" borderId="0" applyNumberFormat="0" applyBorder="0" applyAlignment="0" applyProtection="0"/>
    <xf numFmtId="0" fontId="127" fillId="55" borderId="0" applyNumberFormat="0" applyBorder="0" applyAlignment="0" applyProtection="0"/>
    <xf numFmtId="0" fontId="127" fillId="47" borderId="0" applyNumberFormat="0" applyBorder="0" applyAlignment="0" applyProtection="0"/>
    <xf numFmtId="0" fontId="127" fillId="15" borderId="0" applyNumberFormat="0" applyBorder="0" applyAlignment="0" applyProtection="0"/>
    <xf numFmtId="0" fontId="127" fillId="0" borderId="0"/>
    <xf numFmtId="0" fontId="127" fillId="15" borderId="0" applyNumberFormat="0" applyBorder="0" applyAlignment="0" applyProtection="0"/>
    <xf numFmtId="0" fontId="127" fillId="15" borderId="0" applyNumberFormat="0" applyBorder="0" applyAlignment="0" applyProtection="0"/>
    <xf numFmtId="0" fontId="127" fillId="0" borderId="0"/>
    <xf numFmtId="0" fontId="127" fillId="55" borderId="0" applyNumberFormat="0" applyBorder="0" applyAlignment="0" applyProtection="0"/>
    <xf numFmtId="0" fontId="127" fillId="15" borderId="0" applyNumberFormat="0" applyBorder="0" applyAlignment="0" applyProtection="0"/>
    <xf numFmtId="0" fontId="127" fillId="0" borderId="0"/>
    <xf numFmtId="0" fontId="127" fillId="15" borderId="0" applyNumberFormat="0" applyBorder="0" applyAlignment="0" applyProtection="0"/>
    <xf numFmtId="0" fontId="69" fillId="45" borderId="0" applyNumberFormat="0" applyBorder="0" applyAlignment="0" applyProtection="0"/>
    <xf numFmtId="0" fontId="127" fillId="0" borderId="0"/>
    <xf numFmtId="0" fontId="127" fillId="15" borderId="0" applyNumberFormat="0" applyBorder="0" applyAlignment="0" applyProtection="0"/>
    <xf numFmtId="0" fontId="96" fillId="77" borderId="0" applyNumberFormat="0" applyBorder="0" applyAlignment="0" applyProtection="0"/>
    <xf numFmtId="0" fontId="127" fillId="0" borderId="0"/>
    <xf numFmtId="0" fontId="127" fillId="15" borderId="0" applyNumberFormat="0" applyBorder="0" applyAlignment="0" applyProtection="0"/>
    <xf numFmtId="0" fontId="127" fillId="15" borderId="0" applyNumberFormat="0" applyBorder="0" applyAlignment="0" applyProtection="0"/>
    <xf numFmtId="0" fontId="114" fillId="67" borderId="0" applyNumberFormat="0" applyBorder="0" applyAlignment="0" applyProtection="0"/>
    <xf numFmtId="0" fontId="127" fillId="0" borderId="0"/>
    <xf numFmtId="0" fontId="127" fillId="15" borderId="0" applyNumberFormat="0" applyBorder="0" applyAlignment="0" applyProtection="0"/>
    <xf numFmtId="0" fontId="127" fillId="15" borderId="0" applyNumberFormat="0" applyBorder="0" applyAlignment="0" applyProtection="0"/>
    <xf numFmtId="0" fontId="111" fillId="78" borderId="0" applyNumberFormat="0" applyBorder="0" applyAlignment="0" applyProtection="0"/>
    <xf numFmtId="0" fontId="127" fillId="0" borderId="0"/>
    <xf numFmtId="0" fontId="127" fillId="15" borderId="0" applyNumberFormat="0" applyBorder="0" applyAlignment="0" applyProtection="0"/>
    <xf numFmtId="0" fontId="4" fillId="84" borderId="0" applyNumberFormat="0" applyBorder="0" applyAlignment="0" applyProtection="0"/>
    <xf numFmtId="0" fontId="127" fillId="0" borderId="0"/>
    <xf numFmtId="0" fontId="127" fillId="15" borderId="0" applyNumberFormat="0" applyBorder="0" applyAlignment="0" applyProtection="0"/>
    <xf numFmtId="0" fontId="127" fillId="0" borderId="0"/>
    <xf numFmtId="0" fontId="127" fillId="15" borderId="0" applyNumberFormat="0" applyBorder="0" applyAlignment="0" applyProtection="0"/>
    <xf numFmtId="0" fontId="127" fillId="53" borderId="0" applyNumberFormat="0" applyBorder="0" applyAlignment="0" applyProtection="0"/>
    <xf numFmtId="0" fontId="127" fillId="15" borderId="0" applyNumberFormat="0" applyBorder="0" applyAlignment="0" applyProtection="0"/>
    <xf numFmtId="0" fontId="127" fillId="15" borderId="0" applyNumberFormat="0" applyBorder="0" applyAlignment="0" applyProtection="0"/>
    <xf numFmtId="0" fontId="127" fillId="15" borderId="0" applyNumberFormat="0" applyBorder="0" applyAlignment="0" applyProtection="0"/>
    <xf numFmtId="0" fontId="127" fillId="15" borderId="0" applyNumberFormat="0" applyBorder="0" applyAlignment="0" applyProtection="0"/>
    <xf numFmtId="0" fontId="127" fillId="15" borderId="0" applyNumberFormat="0" applyBorder="0" applyAlignment="0" applyProtection="0"/>
    <xf numFmtId="0" fontId="127" fillId="54" borderId="0" applyNumberFormat="0" applyBorder="0" applyAlignment="0" applyProtection="0"/>
    <xf numFmtId="0" fontId="127" fillId="15" borderId="0" applyNumberFormat="0" applyBorder="0" applyAlignment="0" applyProtection="0"/>
    <xf numFmtId="0" fontId="127" fillId="54" borderId="0" applyNumberFormat="0" applyBorder="0" applyAlignment="0" applyProtection="0"/>
    <xf numFmtId="0" fontId="127" fillId="15" borderId="0" applyNumberFormat="0" applyBorder="0" applyAlignment="0" applyProtection="0"/>
    <xf numFmtId="0" fontId="127" fillId="54" borderId="0" applyNumberFormat="0" applyBorder="0" applyAlignment="0" applyProtection="0"/>
    <xf numFmtId="0" fontId="127" fillId="15" borderId="0" applyNumberFormat="0" applyBorder="0" applyAlignment="0" applyProtection="0"/>
    <xf numFmtId="0" fontId="127" fillId="54" borderId="0" applyNumberFormat="0" applyBorder="0" applyAlignment="0" applyProtection="0"/>
    <xf numFmtId="0" fontId="127" fillId="15" borderId="0" applyNumberFormat="0" applyBorder="0" applyAlignment="0" applyProtection="0"/>
    <xf numFmtId="0" fontId="127" fillId="54" borderId="0" applyNumberFormat="0" applyBorder="0" applyAlignment="0" applyProtection="0"/>
    <xf numFmtId="0" fontId="127" fillId="15" borderId="0" applyNumberFormat="0" applyBorder="0" applyAlignment="0" applyProtection="0"/>
    <xf numFmtId="0" fontId="127" fillId="54" borderId="0" applyNumberFormat="0" applyBorder="0" applyAlignment="0" applyProtection="0"/>
    <xf numFmtId="0" fontId="127" fillId="15" borderId="0" applyNumberFormat="0" applyBorder="0" applyAlignment="0" applyProtection="0"/>
    <xf numFmtId="0" fontId="127" fillId="54" borderId="0" applyNumberFormat="0" applyBorder="0" applyAlignment="0" applyProtection="0"/>
    <xf numFmtId="0" fontId="127" fillId="9" borderId="0" applyNumberFormat="0" applyBorder="0" applyAlignment="0" applyProtection="0"/>
    <xf numFmtId="0" fontId="127" fillId="9" borderId="0" applyNumberFormat="0" applyBorder="0" applyAlignment="0" applyProtection="0"/>
    <xf numFmtId="0" fontId="127" fillId="15" borderId="0" applyNumberFormat="0" applyBorder="0" applyAlignment="0" applyProtection="0"/>
    <xf numFmtId="0" fontId="127" fillId="51" borderId="0" applyNumberFormat="0" applyBorder="0" applyAlignment="0" applyProtection="0"/>
    <xf numFmtId="0" fontId="127" fillId="55" borderId="0" applyNumberFormat="0" applyBorder="0" applyAlignment="0" applyProtection="0"/>
    <xf numFmtId="0" fontId="127" fillId="51" borderId="0" applyNumberFormat="0" applyBorder="0" applyAlignment="0" applyProtection="0"/>
    <xf numFmtId="0" fontId="127" fillId="55" borderId="0" applyNumberFormat="0" applyBorder="0" applyAlignment="0" applyProtection="0"/>
    <xf numFmtId="0" fontId="127" fillId="51" borderId="0" applyNumberFormat="0" applyBorder="0" applyAlignment="0" applyProtection="0"/>
    <xf numFmtId="0" fontId="127" fillId="55" borderId="0" applyNumberFormat="0" applyBorder="0" applyAlignment="0" applyProtection="0"/>
    <xf numFmtId="0" fontId="127" fillId="55" borderId="0" applyNumberFormat="0" applyBorder="0" applyAlignment="0" applyProtection="0"/>
    <xf numFmtId="0" fontId="127" fillId="51" borderId="0" applyNumberFormat="0" applyBorder="0" applyAlignment="0" applyProtection="0"/>
    <xf numFmtId="0" fontId="127" fillId="55" borderId="0" applyNumberFormat="0" applyBorder="0" applyAlignment="0" applyProtection="0"/>
    <xf numFmtId="0" fontId="127" fillId="55" borderId="0" applyNumberFormat="0" applyBorder="0" applyAlignment="0" applyProtection="0"/>
    <xf numFmtId="0" fontId="127" fillId="0" borderId="0"/>
    <xf numFmtId="0" fontId="127" fillId="55" borderId="0" applyNumberFormat="0" applyBorder="0" applyAlignment="0" applyProtection="0"/>
    <xf numFmtId="0" fontId="127" fillId="0" borderId="0"/>
    <xf numFmtId="0" fontId="127" fillId="55" borderId="0" applyNumberFormat="0" applyBorder="0" applyAlignment="0" applyProtection="0"/>
    <xf numFmtId="0" fontId="127" fillId="0" borderId="0"/>
    <xf numFmtId="0" fontId="127" fillId="55" borderId="0" applyNumberFormat="0" applyBorder="0" applyAlignment="0" applyProtection="0"/>
    <xf numFmtId="0" fontId="127" fillId="0" borderId="0"/>
    <xf numFmtId="0" fontId="127" fillId="55" borderId="0" applyNumberFormat="0" applyBorder="0" applyAlignment="0" applyProtection="0"/>
    <xf numFmtId="0" fontId="127" fillId="0" borderId="0"/>
    <xf numFmtId="0" fontId="127" fillId="51" borderId="0" applyNumberFormat="0" applyBorder="0" applyAlignment="0" applyProtection="0"/>
    <xf numFmtId="0" fontId="4" fillId="80" borderId="0" applyNumberFormat="0" applyBorder="0" applyAlignment="0" applyProtection="0"/>
    <xf numFmtId="0" fontId="127" fillId="55" borderId="0" applyNumberFormat="0" applyBorder="0" applyAlignment="0" applyProtection="0"/>
    <xf numFmtId="0" fontId="127" fillId="0" borderId="0"/>
    <xf numFmtId="0" fontId="127" fillId="55" borderId="0" applyNumberFormat="0" applyBorder="0" applyAlignment="0" applyProtection="0"/>
    <xf numFmtId="0" fontId="127" fillId="0" borderId="0"/>
    <xf numFmtId="0" fontId="127" fillId="55" borderId="0" applyNumberFormat="0" applyBorder="0" applyAlignment="0" applyProtection="0"/>
    <xf numFmtId="0" fontId="127" fillId="0" borderId="0"/>
    <xf numFmtId="0" fontId="127" fillId="55" borderId="0" applyNumberFormat="0" applyBorder="0" applyAlignment="0" applyProtection="0"/>
    <xf numFmtId="0" fontId="127" fillId="0" borderId="0"/>
    <xf numFmtId="0" fontId="127" fillId="55" borderId="0" applyNumberFormat="0" applyBorder="0" applyAlignment="0" applyProtection="0"/>
    <xf numFmtId="0" fontId="127" fillId="0" borderId="0"/>
    <xf numFmtId="0" fontId="127" fillId="55" borderId="0" applyNumberFormat="0" applyBorder="0" applyAlignment="0" applyProtection="0"/>
    <xf numFmtId="0" fontId="127" fillId="0" borderId="0"/>
    <xf numFmtId="0" fontId="127" fillId="55" borderId="0" applyNumberFormat="0" applyBorder="0" applyAlignment="0" applyProtection="0"/>
    <xf numFmtId="0" fontId="127" fillId="55" borderId="0" applyNumberFormat="0" applyBorder="0" applyAlignment="0" applyProtection="0"/>
    <xf numFmtId="0" fontId="127" fillId="54" borderId="0" applyNumberFormat="0" applyBorder="0" applyAlignment="0" applyProtection="0"/>
    <xf numFmtId="0" fontId="4" fillId="81" borderId="0" applyNumberFormat="0" applyBorder="0" applyAlignment="0" applyProtection="0"/>
    <xf numFmtId="0" fontId="127" fillId="9" borderId="0" applyNumberFormat="0" applyBorder="0" applyAlignment="0" applyProtection="0"/>
    <xf numFmtId="0" fontId="127" fillId="55" borderId="0" applyNumberFormat="0" applyBorder="0" applyAlignment="0" applyProtection="0"/>
    <xf numFmtId="0" fontId="127" fillId="39" borderId="0" applyNumberFormat="0" applyBorder="0" applyAlignment="0" applyProtection="0"/>
    <xf numFmtId="0" fontId="127" fillId="53" borderId="0" applyNumberFormat="0" applyBorder="0" applyAlignment="0" applyProtection="0"/>
    <xf numFmtId="0" fontId="127" fillId="53" borderId="0" applyNumberFormat="0" applyBorder="0" applyAlignment="0" applyProtection="0"/>
    <xf numFmtId="0" fontId="127" fillId="53" borderId="0" applyNumberFormat="0" applyBorder="0" applyAlignment="0" applyProtection="0"/>
    <xf numFmtId="0" fontId="127" fillId="53" borderId="0" applyNumberFormat="0" applyBorder="0" applyAlignment="0" applyProtection="0"/>
    <xf numFmtId="0" fontId="127" fillId="53" borderId="0" applyNumberFormat="0" applyBorder="0" applyAlignment="0" applyProtection="0"/>
    <xf numFmtId="0" fontId="127" fillId="53" borderId="0" applyNumberFormat="0" applyBorder="0" applyAlignment="0" applyProtection="0"/>
    <xf numFmtId="0" fontId="127" fillId="53" borderId="0" applyNumberFormat="0" applyBorder="0" applyAlignment="0" applyProtection="0"/>
    <xf numFmtId="0" fontId="127" fillId="53" borderId="0" applyNumberFormat="0" applyBorder="0" applyAlignment="0" applyProtection="0"/>
    <xf numFmtId="0" fontId="127" fillId="53" borderId="0" applyNumberFormat="0" applyBorder="0" applyAlignment="0" applyProtection="0"/>
    <xf numFmtId="0" fontId="127" fillId="53" borderId="0" applyNumberFormat="0" applyBorder="0" applyAlignment="0" applyProtection="0"/>
    <xf numFmtId="0" fontId="4" fillId="86" borderId="0" applyNumberFormat="0" applyBorder="0" applyAlignment="0" applyProtection="0"/>
    <xf numFmtId="0" fontId="127" fillId="53" borderId="0" applyNumberFormat="0" applyBorder="0" applyAlignment="0" applyProtection="0"/>
    <xf numFmtId="0" fontId="127" fillId="53" borderId="0" applyNumberFormat="0" applyBorder="0" applyAlignment="0" applyProtection="0"/>
    <xf numFmtId="0" fontId="127" fillId="53" borderId="0" applyNumberFormat="0" applyBorder="0" applyAlignment="0" applyProtection="0"/>
    <xf numFmtId="0" fontId="127" fillId="53" borderId="0" applyNumberFormat="0" applyBorder="0" applyAlignment="0" applyProtection="0"/>
    <xf numFmtId="0" fontId="127" fillId="53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46" borderId="0" applyNumberFormat="0" applyBorder="0" applyAlignment="0" applyProtection="0"/>
    <xf numFmtId="0" fontId="127" fillId="53" borderId="0" applyNumberFormat="0" applyBorder="0" applyAlignment="0" applyProtection="0"/>
    <xf numFmtId="0" fontId="127" fillId="53" borderId="0" applyNumberFormat="0" applyBorder="0" applyAlignment="0" applyProtection="0"/>
    <xf numFmtId="0" fontId="127" fillId="53" borderId="0" applyNumberFormat="0" applyBorder="0" applyAlignment="0" applyProtection="0"/>
    <xf numFmtId="0" fontId="127" fillId="53" borderId="0" applyNumberFormat="0" applyBorder="0" applyAlignment="0" applyProtection="0"/>
    <xf numFmtId="0" fontId="127" fillId="40" borderId="22" applyNumberFormat="0" applyFont="0" applyAlignment="0" applyProtection="0"/>
    <xf numFmtId="0" fontId="127" fillId="53" borderId="0" applyNumberFormat="0" applyBorder="0" applyAlignment="0" applyProtection="0"/>
    <xf numFmtId="0" fontId="127" fillId="53" borderId="0" applyNumberFormat="0" applyBorder="0" applyAlignment="0" applyProtection="0"/>
    <xf numFmtId="0" fontId="127" fillId="40" borderId="22" applyNumberFormat="0" applyFont="0" applyAlignment="0" applyProtection="0"/>
    <xf numFmtId="0" fontId="127" fillId="9" borderId="0" applyNumberFormat="0" applyBorder="0" applyAlignment="0" applyProtection="0"/>
    <xf numFmtId="0" fontId="127" fillId="9" borderId="0" applyNumberFormat="0" applyBorder="0" applyAlignment="0" applyProtection="0"/>
    <xf numFmtId="0" fontId="127" fillId="9" borderId="0" applyNumberFormat="0" applyBorder="0" applyAlignment="0" applyProtection="0"/>
    <xf numFmtId="0" fontId="127" fillId="9" borderId="0" applyNumberFormat="0" applyBorder="0" applyAlignment="0" applyProtection="0"/>
    <xf numFmtId="0" fontId="127" fillId="9" borderId="0" applyNumberFormat="0" applyBorder="0" applyAlignment="0" applyProtection="0"/>
    <xf numFmtId="0" fontId="112" fillId="58" borderId="32" applyNumberFormat="0" applyAlignment="0" applyProtection="0"/>
    <xf numFmtId="0" fontId="127" fillId="9" borderId="0" applyNumberFormat="0" applyBorder="0" applyAlignment="0" applyProtection="0"/>
    <xf numFmtId="0" fontId="127" fillId="9" borderId="0" applyNumberFormat="0" applyBorder="0" applyAlignment="0" applyProtection="0"/>
    <xf numFmtId="0" fontId="127" fillId="9" borderId="0" applyNumberFormat="0" applyBorder="0" applyAlignment="0" applyProtection="0"/>
    <xf numFmtId="0" fontId="127" fillId="9" borderId="0" applyNumberFormat="0" applyBorder="0" applyAlignment="0" applyProtection="0"/>
    <xf numFmtId="0" fontId="127" fillId="9" borderId="0" applyNumberFormat="0" applyBorder="0" applyAlignment="0" applyProtection="0"/>
    <xf numFmtId="0" fontId="4" fillId="80" borderId="0" applyNumberFormat="0" applyBorder="0" applyAlignment="0" applyProtection="0"/>
    <xf numFmtId="0" fontId="127" fillId="9" borderId="0" applyNumberFormat="0" applyBorder="0" applyAlignment="0" applyProtection="0"/>
    <xf numFmtId="0" fontId="108" fillId="66" borderId="0" applyNumberFormat="0" applyBorder="0" applyAlignment="0" applyProtection="0"/>
    <xf numFmtId="0" fontId="127" fillId="54" borderId="0" applyNumberFormat="0" applyBorder="0" applyAlignment="0" applyProtection="0"/>
    <xf numFmtId="0" fontId="127" fillId="46" borderId="0" applyNumberFormat="0" applyBorder="0" applyAlignment="0" applyProtection="0"/>
    <xf numFmtId="0" fontId="127" fillId="9" borderId="0" applyNumberFormat="0" applyBorder="0" applyAlignment="0" applyProtection="0"/>
    <xf numFmtId="0" fontId="127" fillId="9" borderId="0" applyNumberFormat="0" applyBorder="0" applyAlignment="0" applyProtection="0"/>
    <xf numFmtId="0" fontId="127" fillId="9" borderId="0" applyNumberFormat="0" applyBorder="0" applyAlignment="0" applyProtection="0"/>
    <xf numFmtId="0" fontId="127" fillId="54" borderId="0" applyNumberFormat="0" applyBorder="0" applyAlignment="0" applyProtection="0"/>
    <xf numFmtId="0" fontId="127" fillId="54" borderId="0" applyNumberFormat="0" applyBorder="0" applyAlignment="0" applyProtection="0"/>
    <xf numFmtId="0" fontId="127" fillId="9" borderId="0" applyNumberFormat="0" applyBorder="0" applyAlignment="0" applyProtection="0"/>
    <xf numFmtId="0" fontId="127" fillId="9" borderId="0" applyNumberFormat="0" applyBorder="0" applyAlignment="0" applyProtection="0"/>
    <xf numFmtId="0" fontId="127" fillId="9" borderId="0" applyNumberFormat="0" applyBorder="0" applyAlignment="0" applyProtection="0"/>
    <xf numFmtId="0" fontId="69" fillId="68" borderId="0" applyNumberFormat="0" applyBorder="0" applyAlignment="0" applyProtection="0"/>
    <xf numFmtId="0" fontId="127" fillId="54" borderId="0" applyNumberFormat="0" applyBorder="0" applyAlignment="0" applyProtection="0"/>
    <xf numFmtId="0" fontId="127" fillId="9" borderId="0" applyNumberFormat="0" applyBorder="0" applyAlignment="0" applyProtection="0"/>
    <xf numFmtId="0" fontId="127" fillId="9" borderId="0" applyNumberFormat="0" applyBorder="0" applyAlignment="0" applyProtection="0"/>
    <xf numFmtId="0" fontId="96" fillId="73" borderId="0" applyNumberFormat="0" applyBorder="0" applyAlignment="0" applyProtection="0"/>
    <xf numFmtId="0" fontId="127" fillId="54" borderId="0" applyNumberFormat="0" applyBorder="0" applyAlignment="0" applyProtection="0"/>
    <xf numFmtId="0" fontId="127" fillId="9" borderId="0" applyNumberFormat="0" applyBorder="0" applyAlignment="0" applyProtection="0"/>
    <xf numFmtId="0" fontId="127" fillId="9" borderId="0" applyNumberFormat="0" applyBorder="0" applyAlignment="0" applyProtection="0"/>
    <xf numFmtId="0" fontId="127" fillId="9" borderId="0" applyNumberFormat="0" applyBorder="0" applyAlignment="0" applyProtection="0"/>
    <xf numFmtId="0" fontId="127" fillId="9" borderId="0" applyNumberFormat="0" applyBorder="0" applyAlignment="0" applyProtection="0"/>
    <xf numFmtId="0" fontId="127" fillId="9" borderId="0" applyNumberFormat="0" applyBorder="0" applyAlignment="0" applyProtection="0"/>
    <xf numFmtId="0" fontId="127" fillId="46" borderId="0" applyNumberFormat="0" applyBorder="0" applyAlignment="0" applyProtection="0"/>
    <xf numFmtId="0" fontId="127" fillId="46" borderId="0" applyNumberFormat="0" applyBorder="0" applyAlignment="0" applyProtection="0"/>
    <xf numFmtId="0" fontId="127" fillId="46" borderId="0" applyNumberFormat="0" applyBorder="0" applyAlignment="0" applyProtection="0"/>
    <xf numFmtId="0" fontId="127" fillId="46" borderId="0" applyNumberFormat="0" applyBorder="0" applyAlignment="0" applyProtection="0"/>
    <xf numFmtId="0" fontId="127" fillId="46" borderId="0" applyNumberFormat="0" applyBorder="0" applyAlignment="0" applyProtection="0"/>
    <xf numFmtId="0" fontId="127" fillId="46" borderId="0" applyNumberFormat="0" applyBorder="0" applyAlignment="0" applyProtection="0"/>
    <xf numFmtId="0" fontId="127" fillId="46" borderId="0" applyNumberFormat="0" applyBorder="0" applyAlignment="0" applyProtection="0"/>
    <xf numFmtId="0" fontId="127" fillId="46" borderId="0" applyNumberFormat="0" applyBorder="0" applyAlignment="0" applyProtection="0"/>
    <xf numFmtId="0" fontId="4" fillId="77" borderId="0" applyNumberFormat="0" applyBorder="0" applyAlignment="0" applyProtection="0"/>
    <xf numFmtId="0" fontId="127" fillId="41" borderId="0" applyNumberFormat="0" applyBorder="0" applyAlignment="0" applyProtection="0"/>
    <xf numFmtId="0" fontId="127" fillId="46" borderId="0" applyNumberFormat="0" applyBorder="0" applyAlignment="0" applyProtection="0"/>
    <xf numFmtId="0" fontId="127" fillId="46" borderId="0" applyNumberFormat="0" applyBorder="0" applyAlignment="0" applyProtection="0"/>
    <xf numFmtId="0" fontId="127" fillId="46" borderId="0" applyNumberFormat="0" applyBorder="0" applyAlignment="0" applyProtection="0"/>
    <xf numFmtId="0" fontId="127" fillId="51" borderId="0" applyNumberFormat="0" applyBorder="0" applyAlignment="0" applyProtection="0"/>
    <xf numFmtId="0" fontId="127" fillId="46" borderId="0" applyNumberFormat="0" applyBorder="0" applyAlignment="0" applyProtection="0"/>
    <xf numFmtId="0" fontId="127" fillId="46" borderId="0" applyNumberFormat="0" applyBorder="0" applyAlignment="0" applyProtection="0"/>
    <xf numFmtId="0" fontId="127" fillId="46" borderId="0" applyNumberFormat="0" applyBorder="0" applyAlignment="0" applyProtection="0"/>
    <xf numFmtId="0" fontId="127" fillId="46" borderId="0" applyNumberFormat="0" applyBorder="0" applyAlignment="0" applyProtection="0"/>
    <xf numFmtId="0" fontId="69" fillId="69" borderId="0" applyNumberFormat="0" applyBorder="0" applyAlignment="0" applyProtection="0"/>
    <xf numFmtId="0" fontId="127" fillId="46" borderId="0" applyNumberFormat="0" applyBorder="0" applyAlignment="0" applyProtection="0"/>
    <xf numFmtId="0" fontId="127" fillId="46" borderId="0" applyNumberFormat="0" applyBorder="0" applyAlignment="0" applyProtection="0"/>
    <xf numFmtId="0" fontId="96" fillId="79" borderId="0" applyNumberFormat="0" applyBorder="0" applyAlignment="0" applyProtection="0"/>
    <xf numFmtId="0" fontId="127" fillId="46" borderId="0" applyNumberFormat="0" applyBorder="0" applyAlignment="0" applyProtection="0"/>
    <xf numFmtId="0" fontId="127" fillId="46" borderId="0" applyNumberFormat="0" applyBorder="0" applyAlignment="0" applyProtection="0"/>
    <xf numFmtId="0" fontId="127" fillId="46" borderId="0" applyNumberFormat="0" applyBorder="0" applyAlignment="0" applyProtection="0"/>
    <xf numFmtId="0" fontId="127" fillId="41" borderId="0" applyNumberFormat="0" applyBorder="0" applyAlignment="0" applyProtection="0"/>
    <xf numFmtId="0" fontId="127" fillId="41" borderId="0" applyNumberFormat="0" applyBorder="0" applyAlignment="0" applyProtection="0"/>
    <xf numFmtId="0" fontId="127" fillId="41" borderId="0" applyNumberFormat="0" applyBorder="0" applyAlignment="0" applyProtection="0"/>
    <xf numFmtId="0" fontId="127" fillId="41" borderId="0" applyNumberFormat="0" applyBorder="0" applyAlignment="0" applyProtection="0"/>
    <xf numFmtId="0" fontId="127" fillId="41" borderId="0" applyNumberFormat="0" applyBorder="0" applyAlignment="0" applyProtection="0"/>
    <xf numFmtId="0" fontId="127" fillId="41" borderId="0" applyNumberFormat="0" applyBorder="0" applyAlignment="0" applyProtection="0"/>
    <xf numFmtId="0" fontId="127" fillId="41" borderId="0" applyNumberFormat="0" applyBorder="0" applyAlignment="0" applyProtection="0"/>
    <xf numFmtId="0" fontId="127" fillId="41" borderId="0" applyNumberFormat="0" applyBorder="0" applyAlignment="0" applyProtection="0"/>
    <xf numFmtId="0" fontId="4" fillId="73" borderId="0" applyNumberFormat="0" applyBorder="0" applyAlignment="0" applyProtection="0"/>
    <xf numFmtId="0" fontId="127" fillId="41" borderId="0" applyNumberFormat="0" applyBorder="0" applyAlignment="0" applyProtection="0"/>
    <xf numFmtId="0" fontId="119" fillId="0" borderId="0" applyNumberFormat="0" applyFill="0" applyBorder="0" applyAlignment="0" applyProtection="0"/>
    <xf numFmtId="0" fontId="127" fillId="0" borderId="0"/>
    <xf numFmtId="0" fontId="127" fillId="41" borderId="0" applyNumberFormat="0" applyBorder="0" applyAlignment="0" applyProtection="0"/>
    <xf numFmtId="0" fontId="69" fillId="70" borderId="0" applyNumberFormat="0" applyBorder="0" applyAlignment="0" applyProtection="0"/>
    <xf numFmtId="0" fontId="127" fillId="41" borderId="0" applyNumberFormat="0" applyBorder="0" applyAlignment="0" applyProtection="0"/>
    <xf numFmtId="0" fontId="127" fillId="40" borderId="22" applyNumberFormat="0" applyFont="0" applyAlignment="0" applyProtection="0"/>
    <xf numFmtId="0" fontId="127" fillId="41" borderId="0" applyNumberFormat="0" applyBorder="0" applyAlignment="0" applyProtection="0"/>
    <xf numFmtId="0" fontId="96" fillId="87" borderId="0" applyNumberFormat="0" applyBorder="0" applyAlignment="0" applyProtection="0"/>
    <xf numFmtId="0" fontId="127" fillId="41" borderId="0" applyNumberFormat="0" applyBorder="0" applyAlignment="0" applyProtection="0"/>
    <xf numFmtId="0" fontId="127" fillId="41" borderId="0" applyNumberFormat="0" applyBorder="0" applyAlignment="0" applyProtection="0"/>
    <xf numFmtId="0" fontId="127" fillId="41" borderId="0" applyNumberFormat="0" applyBorder="0" applyAlignment="0" applyProtection="0"/>
    <xf numFmtId="0" fontId="127" fillId="39" borderId="0" applyNumberFormat="0" applyBorder="0" applyAlignment="0" applyProtection="0"/>
    <xf numFmtId="0" fontId="69" fillId="63" borderId="0" applyNumberFormat="0" applyBorder="0" applyAlignment="0" applyProtection="0"/>
    <xf numFmtId="0" fontId="127" fillId="39" borderId="0" applyNumberFormat="0" applyBorder="0" applyAlignment="0" applyProtection="0"/>
    <xf numFmtId="0" fontId="127" fillId="0" borderId="0"/>
    <xf numFmtId="0" fontId="127" fillId="0" borderId="0"/>
    <xf numFmtId="0" fontId="127" fillId="39" borderId="0" applyNumberFormat="0" applyBorder="0" applyAlignment="0" applyProtection="0"/>
    <xf numFmtId="0" fontId="96" fillId="83" borderId="0" applyNumberFormat="0" applyBorder="0" applyAlignment="0" applyProtection="0"/>
    <xf numFmtId="0" fontId="127" fillId="39" borderId="0" applyNumberFormat="0" applyBorder="0" applyAlignment="0" applyProtection="0"/>
    <xf numFmtId="0" fontId="127" fillId="39" borderId="0" applyNumberFormat="0" applyBorder="0" applyAlignment="0" applyProtection="0"/>
    <xf numFmtId="0" fontId="127" fillId="39" borderId="0" applyNumberFormat="0" applyBorder="0" applyAlignment="0" applyProtection="0"/>
    <xf numFmtId="0" fontId="127" fillId="39" borderId="0" applyNumberFormat="0" applyBorder="0" applyAlignment="0" applyProtection="0"/>
    <xf numFmtId="0" fontId="127" fillId="39" borderId="0" applyNumberFormat="0" applyBorder="0" applyAlignment="0" applyProtection="0"/>
    <xf numFmtId="43" fontId="127" fillId="0" borderId="0" applyFont="0" applyFill="0" applyBorder="0" applyAlignment="0" applyProtection="0"/>
    <xf numFmtId="0" fontId="127" fillId="39" borderId="0" applyNumberFormat="0" applyBorder="0" applyAlignment="0" applyProtection="0"/>
    <xf numFmtId="0" fontId="4" fillId="84" borderId="0" applyNumberFormat="0" applyBorder="0" applyAlignment="0" applyProtection="0"/>
    <xf numFmtId="43" fontId="127" fillId="0" borderId="0" applyFont="0" applyFill="0" applyBorder="0" applyAlignment="0" applyProtection="0"/>
    <xf numFmtId="0" fontId="127" fillId="39" borderId="0" applyNumberFormat="0" applyBorder="0" applyAlignment="0" applyProtection="0"/>
    <xf numFmtId="43" fontId="127" fillId="0" borderId="0" applyFont="0" applyFill="0" applyBorder="0" applyAlignment="0" applyProtection="0"/>
    <xf numFmtId="0" fontId="127" fillId="39" borderId="0" applyNumberFormat="0" applyBorder="0" applyAlignment="0" applyProtection="0"/>
    <xf numFmtId="0" fontId="69" fillId="71" borderId="0" applyNumberFormat="0" applyBorder="0" applyAlignment="0" applyProtection="0"/>
    <xf numFmtId="0" fontId="127" fillId="39" borderId="0" applyNumberFormat="0" applyBorder="0" applyAlignment="0" applyProtection="0"/>
    <xf numFmtId="0" fontId="127" fillId="39" borderId="0" applyNumberFormat="0" applyBorder="0" applyAlignment="0" applyProtection="0"/>
    <xf numFmtId="0" fontId="127" fillId="39" borderId="0" applyNumberFormat="0" applyBorder="0" applyAlignment="0" applyProtection="0"/>
    <xf numFmtId="0" fontId="127" fillId="39" borderId="0" applyNumberFormat="0" applyBorder="0" applyAlignment="0" applyProtection="0"/>
    <xf numFmtId="0" fontId="127" fillId="39" borderId="0" applyNumberFormat="0" applyBorder="0" applyAlignment="0" applyProtection="0"/>
    <xf numFmtId="0" fontId="127" fillId="39" borderId="0" applyNumberFormat="0" applyBorder="0" applyAlignment="0" applyProtection="0"/>
    <xf numFmtId="0" fontId="127" fillId="51" borderId="0" applyNumberFormat="0" applyBorder="0" applyAlignment="0" applyProtection="0"/>
    <xf numFmtId="0" fontId="69" fillId="38" borderId="0" applyNumberFormat="0" applyBorder="0" applyAlignment="0" applyProtection="0"/>
    <xf numFmtId="0" fontId="127" fillId="51" borderId="0" applyNumberFormat="0" applyBorder="0" applyAlignment="0" applyProtection="0"/>
    <xf numFmtId="0" fontId="96" fillId="85" borderId="0" applyNumberFormat="0" applyBorder="0" applyAlignment="0" applyProtection="0"/>
    <xf numFmtId="0" fontId="127" fillId="51" borderId="0" applyNumberFormat="0" applyBorder="0" applyAlignment="0" applyProtection="0"/>
    <xf numFmtId="0" fontId="127" fillId="51" borderId="0" applyNumberFormat="0" applyBorder="0" applyAlignment="0" applyProtection="0"/>
    <xf numFmtId="0" fontId="99" fillId="52" borderId="25" applyNumberFormat="0" applyAlignment="0" applyProtection="0"/>
    <xf numFmtId="0" fontId="127" fillId="51" borderId="0" applyNumberFormat="0" applyBorder="0" applyAlignment="0" applyProtection="0"/>
    <xf numFmtId="0" fontId="127" fillId="51" borderId="0" applyNumberFormat="0" applyBorder="0" applyAlignment="0" applyProtection="0"/>
    <xf numFmtId="0" fontId="127" fillId="0" borderId="0"/>
    <xf numFmtId="0" fontId="102" fillId="58" borderId="27" applyNumberFormat="0" applyAlignment="0" applyProtection="0"/>
    <xf numFmtId="0" fontId="127" fillId="51" borderId="0" applyNumberFormat="0" applyBorder="0" applyAlignment="0" applyProtection="0"/>
    <xf numFmtId="0" fontId="127" fillId="51" borderId="0" applyNumberFormat="0" applyBorder="0" applyAlignment="0" applyProtection="0"/>
    <xf numFmtId="0" fontId="127" fillId="51" borderId="0" applyNumberFormat="0" applyBorder="0" applyAlignment="0" applyProtection="0"/>
    <xf numFmtId="0" fontId="127" fillId="51" borderId="0" applyNumberFormat="0" applyBorder="0" applyAlignment="0" applyProtection="0"/>
    <xf numFmtId="0" fontId="127" fillId="51" borderId="0" applyNumberFormat="0" applyBorder="0" applyAlignment="0" applyProtection="0"/>
    <xf numFmtId="0" fontId="127" fillId="51" borderId="0" applyNumberFormat="0" applyBorder="0" applyAlignment="0" applyProtection="0"/>
    <xf numFmtId="0" fontId="127" fillId="51" borderId="0" applyNumberFormat="0" applyBorder="0" applyAlignment="0" applyProtection="0"/>
    <xf numFmtId="0" fontId="127" fillId="54" borderId="0" applyNumberFormat="0" applyBorder="0" applyAlignment="0" applyProtection="0"/>
    <xf numFmtId="0" fontId="127" fillId="54" borderId="0" applyNumberFormat="0" applyBorder="0" applyAlignment="0" applyProtection="0"/>
    <xf numFmtId="0" fontId="127" fillId="54" borderId="0" applyNumberFormat="0" applyBorder="0" applyAlignment="0" applyProtection="0"/>
    <xf numFmtId="0" fontId="127" fillId="54" borderId="0" applyNumberFormat="0" applyBorder="0" applyAlignment="0" applyProtection="0"/>
    <xf numFmtId="0" fontId="127" fillId="54" borderId="0" applyNumberFormat="0" applyBorder="0" applyAlignment="0" applyProtection="0"/>
    <xf numFmtId="0" fontId="127" fillId="54" borderId="0" applyNumberFormat="0" applyBorder="0" applyAlignment="0" applyProtection="0"/>
    <xf numFmtId="0" fontId="127" fillId="54" borderId="0" applyNumberFormat="0" applyBorder="0" applyAlignment="0" applyProtection="0"/>
    <xf numFmtId="0" fontId="127" fillId="54" borderId="0" applyNumberFormat="0" applyBorder="0" applyAlignment="0" applyProtection="0"/>
    <xf numFmtId="0" fontId="127" fillId="54" borderId="0" applyNumberFormat="0" applyBorder="0" applyAlignment="0" applyProtection="0"/>
    <xf numFmtId="0" fontId="127" fillId="54" borderId="0" applyNumberFormat="0" applyBorder="0" applyAlignment="0" applyProtection="0"/>
    <xf numFmtId="0" fontId="127" fillId="54" borderId="0" applyNumberFormat="0" applyBorder="0" applyAlignment="0" applyProtection="0"/>
    <xf numFmtId="0" fontId="127" fillId="54" borderId="0" applyNumberFormat="0" applyBorder="0" applyAlignment="0" applyProtection="0"/>
    <xf numFmtId="0" fontId="113" fillId="76" borderId="0" applyNumberFormat="0" applyBorder="0" applyAlignment="0" applyProtection="0"/>
    <xf numFmtId="0" fontId="103" fillId="59" borderId="28" applyNumberFormat="0" applyAlignment="0" applyProtection="0"/>
    <xf numFmtId="43" fontId="127" fillId="0" borderId="0" applyFont="0" applyFill="0" applyBorder="0" applyAlignment="0" applyProtection="0"/>
    <xf numFmtId="0" fontId="115" fillId="0" borderId="26" applyNumberFormat="0" applyFill="0" applyAlignment="0" applyProtection="0"/>
    <xf numFmtId="0" fontId="50" fillId="0" borderId="0"/>
    <xf numFmtId="0" fontId="117" fillId="0" borderId="35" applyNumberFormat="0" applyFill="0" applyAlignment="0" applyProtection="0"/>
    <xf numFmtId="0" fontId="69" fillId="56" borderId="0" applyNumberFormat="0" applyBorder="0" applyAlignment="0" applyProtection="0"/>
    <xf numFmtId="0" fontId="96" fillId="82" borderId="0" applyNumberFormat="0" applyBorder="0" applyAlignment="0" applyProtection="0"/>
    <xf numFmtId="0" fontId="120" fillId="75" borderId="0" applyNumberFormat="0" applyBorder="0" applyAlignment="0" applyProtection="0"/>
    <xf numFmtId="0" fontId="69" fillId="43" borderId="0" applyNumberFormat="0" applyBorder="0" applyAlignment="0" applyProtection="0"/>
    <xf numFmtId="0" fontId="69" fillId="50" borderId="0" applyNumberFormat="0" applyBorder="0" applyAlignment="0" applyProtection="0"/>
    <xf numFmtId="0" fontId="96" fillId="79" borderId="0" applyNumberFormat="0" applyBorder="0" applyAlignment="0" applyProtection="0"/>
    <xf numFmtId="0" fontId="69" fillId="64" borderId="0" applyNumberFormat="0" applyBorder="0" applyAlignment="0" applyProtection="0"/>
    <xf numFmtId="0" fontId="96" fillId="87" borderId="0" applyNumberFormat="0" applyBorder="0" applyAlignment="0" applyProtection="0"/>
    <xf numFmtId="0" fontId="118" fillId="65" borderId="24" applyNumberFormat="0" applyAlignment="0" applyProtection="0"/>
    <xf numFmtId="0" fontId="121" fillId="86" borderId="32" applyNumberFormat="0" applyAlignment="0" applyProtection="0"/>
    <xf numFmtId="167" fontId="4" fillId="0" borderId="0" applyBorder="0" applyProtection="0"/>
    <xf numFmtId="0" fontId="122" fillId="0" borderId="0"/>
    <xf numFmtId="0" fontId="123" fillId="57" borderId="0" applyNumberFormat="0" applyBorder="0" applyAlignment="0" applyProtection="0"/>
    <xf numFmtId="0" fontId="127" fillId="0" borderId="0"/>
    <xf numFmtId="0" fontId="127" fillId="40" borderId="22" applyNumberFormat="0" applyFont="0" applyAlignment="0" applyProtection="0"/>
    <xf numFmtId="42" fontId="106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27" fillId="0" borderId="0"/>
    <xf numFmtId="0" fontId="12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4" fillId="0" borderId="0"/>
    <xf numFmtId="0" fontId="50" fillId="0" borderId="0"/>
    <xf numFmtId="0" fontId="127" fillId="0" borderId="0"/>
    <xf numFmtId="0" fontId="127" fillId="0" borderId="0"/>
    <xf numFmtId="0" fontId="127" fillId="0" borderId="0"/>
    <xf numFmtId="0" fontId="71" fillId="0" borderId="0"/>
    <xf numFmtId="0" fontId="127" fillId="0" borderId="0"/>
    <xf numFmtId="0" fontId="127" fillId="0" borderId="0"/>
    <xf numFmtId="0" fontId="50" fillId="0" borderId="0"/>
    <xf numFmtId="0" fontId="5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40" borderId="22" applyNumberFormat="0" applyFont="0" applyAlignment="0" applyProtection="0"/>
    <xf numFmtId="165" fontId="127" fillId="0" borderId="0" applyFont="0" applyFill="0" applyBorder="0" applyAlignment="0" applyProtection="0"/>
    <xf numFmtId="0" fontId="127" fillId="0" borderId="0"/>
    <xf numFmtId="0" fontId="127" fillId="40" borderId="22" applyNumberFormat="0" applyFont="0" applyAlignment="0" applyProtection="0"/>
    <xf numFmtId="165" fontId="127" fillId="0" borderId="0" applyFont="0" applyFill="0" applyBorder="0" applyAlignment="0" applyProtection="0"/>
    <xf numFmtId="0" fontId="127" fillId="0" borderId="0"/>
    <xf numFmtId="0" fontId="127" fillId="40" borderId="22" applyNumberFormat="0" applyFont="0" applyAlignment="0" applyProtection="0"/>
    <xf numFmtId="165" fontId="127" fillId="0" borderId="0" applyFont="0" applyFill="0" applyBorder="0" applyAlignment="0" applyProtection="0"/>
    <xf numFmtId="0" fontId="127" fillId="0" borderId="0"/>
    <xf numFmtId="0" fontId="127" fillId="40" borderId="22" applyNumberFormat="0" applyFont="0" applyAlignment="0" applyProtection="0"/>
    <xf numFmtId="0" fontId="50" fillId="0" borderId="0"/>
    <xf numFmtId="0" fontId="127" fillId="0" borderId="0"/>
    <xf numFmtId="0" fontId="4" fillId="0" borderId="0"/>
    <xf numFmtId="0" fontId="127" fillId="40" borderId="22" applyNumberFormat="0" applyFont="0" applyAlignment="0" applyProtection="0"/>
    <xf numFmtId="0" fontId="127" fillId="40" borderId="22" applyNumberFormat="0" applyFont="0" applyAlignment="0" applyProtection="0"/>
    <xf numFmtId="0" fontId="127" fillId="40" borderId="22" applyNumberFormat="0" applyFont="0" applyAlignment="0" applyProtection="0"/>
    <xf numFmtId="0" fontId="127" fillId="40" borderId="22" applyNumberFormat="0" applyFont="0" applyAlignment="0" applyProtection="0"/>
    <xf numFmtId="0" fontId="125" fillId="0" borderId="0" applyBorder="0" applyProtection="0"/>
    <xf numFmtId="0" fontId="127" fillId="40" borderId="22" applyNumberFormat="0" applyFont="0" applyAlignment="0" applyProtection="0"/>
    <xf numFmtId="0" fontId="127" fillId="40" borderId="22" applyNumberFormat="0" applyFont="0" applyAlignment="0" applyProtection="0"/>
    <xf numFmtId="0" fontId="127" fillId="40" borderId="22" applyNumberFormat="0" applyFont="0" applyAlignment="0" applyProtection="0"/>
    <xf numFmtId="0" fontId="127" fillId="40" borderId="22" applyNumberFormat="0" applyFont="0" applyAlignment="0" applyProtection="0"/>
    <xf numFmtId="0" fontId="127" fillId="40" borderId="22" applyNumberFormat="0" applyFont="0" applyAlignment="0" applyProtection="0"/>
    <xf numFmtId="0" fontId="127" fillId="40" borderId="22" applyNumberFormat="0" applyFont="0" applyAlignment="0" applyProtection="0"/>
    <xf numFmtId="0" fontId="127" fillId="40" borderId="22" applyNumberFormat="0" applyFont="0" applyAlignment="0" applyProtection="0"/>
    <xf numFmtId="0" fontId="127" fillId="40" borderId="22" applyNumberFormat="0" applyFont="0" applyAlignment="0" applyProtection="0"/>
    <xf numFmtId="0" fontId="4" fillId="88" borderId="38" applyNumberFormat="0" applyFont="0" applyAlignment="0" applyProtection="0"/>
    <xf numFmtId="0" fontId="127" fillId="40" borderId="22" applyNumberFormat="0" applyFont="0" applyAlignment="0" applyProtection="0"/>
    <xf numFmtId="0" fontId="127" fillId="40" borderId="22" applyNumberFormat="0" applyFont="0" applyAlignment="0" applyProtection="0"/>
    <xf numFmtId="0" fontId="127" fillId="40" borderId="22" applyNumberFormat="0" applyFont="0" applyAlignment="0" applyProtection="0"/>
    <xf numFmtId="0" fontId="127" fillId="40" borderId="22" applyNumberFormat="0" applyFont="0" applyAlignment="0" applyProtection="0"/>
    <xf numFmtId="0" fontId="127" fillId="40" borderId="22" applyNumberFormat="0" applyFont="0" applyAlignment="0" applyProtection="0"/>
    <xf numFmtId="0" fontId="127" fillId="40" borderId="22" applyNumberFormat="0" applyFont="0" applyAlignment="0" applyProtection="0"/>
    <xf numFmtId="0" fontId="127" fillId="40" borderId="22" applyNumberFormat="0" applyFont="0" applyAlignment="0" applyProtection="0"/>
    <xf numFmtId="0" fontId="127" fillId="40" borderId="22" applyNumberFormat="0" applyFont="0" applyAlignment="0" applyProtection="0"/>
    <xf numFmtId="0" fontId="127" fillId="40" borderId="22" applyNumberFormat="0" applyFont="0" applyAlignment="0" applyProtection="0"/>
    <xf numFmtId="0" fontId="127" fillId="40" borderId="22" applyNumberFormat="0" applyFont="0" applyAlignment="0" applyProtection="0"/>
    <xf numFmtId="0" fontId="127" fillId="40" borderId="22" applyNumberFormat="0" applyFont="0" applyAlignment="0" applyProtection="0"/>
    <xf numFmtId="9" fontId="106" fillId="0" borderId="0" applyFont="0" applyFill="0" applyBorder="0" applyAlignment="0" applyProtection="0"/>
    <xf numFmtId="167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0" fontId="97" fillId="0" borderId="36" applyNumberFormat="0" applyFill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0" fontId="109" fillId="0" borderId="31" applyNumberFormat="0" applyFill="0" applyAlignment="0" applyProtection="0"/>
    <xf numFmtId="165" fontId="127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00" fillId="0" borderId="33" applyNumberFormat="0" applyFill="0" applyAlignment="0" applyProtection="0"/>
    <xf numFmtId="0" fontId="116" fillId="0" borderId="34" applyNumberFormat="0" applyFill="0" applyAlignment="0" applyProtection="0"/>
    <xf numFmtId="0" fontId="95" fillId="0" borderId="30" applyNumberFormat="0" applyFill="0" applyAlignment="0" applyProtection="0"/>
    <xf numFmtId="0" fontId="126" fillId="0" borderId="39" applyNumberFormat="0" applyFill="0" applyAlignment="0" applyProtection="0"/>
    <xf numFmtId="0" fontId="109" fillId="0" borderId="0" applyNumberFormat="0" applyFill="0" applyBorder="0" applyAlignment="0" applyProtection="0"/>
    <xf numFmtId="0" fontId="81" fillId="0" borderId="29" applyNumberFormat="0" applyFill="0" applyAlignment="0" applyProtection="0"/>
    <xf numFmtId="0" fontId="124" fillId="0" borderId="37" applyNumberFormat="0" applyFill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50" fillId="0" borderId="0" applyBorder="0" applyAlignment="0" applyProtection="0"/>
    <xf numFmtId="165" fontId="5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127" fillId="0" borderId="0" applyFont="0" applyFill="0" applyBorder="0" applyAlignment="0" applyProtection="0"/>
    <xf numFmtId="168" fontId="122" fillId="0" borderId="0" applyBorder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0" fontId="131" fillId="0" borderId="0"/>
    <xf numFmtId="168" fontId="142" fillId="0" borderId="0" applyBorder="0" applyProtection="0"/>
    <xf numFmtId="165" fontId="131" fillId="0" borderId="0" applyFont="0" applyFill="0" applyBorder="0" applyAlignment="0" applyProtection="0"/>
    <xf numFmtId="0" fontId="131" fillId="0" borderId="0"/>
  </cellStyleXfs>
  <cellXfs count="666">
    <xf numFmtId="0" fontId="0" fillId="0" borderId="0" xfId="0"/>
    <xf numFmtId="0" fontId="0" fillId="0" borderId="0" xfId="0" applyProtection="1">
      <protection locked="0"/>
    </xf>
    <xf numFmtId="0" fontId="4" fillId="0" borderId="0" xfId="528" applyAlignment="1" applyProtection="1">
      <alignment vertical="center"/>
      <protection locked="0"/>
    </xf>
    <xf numFmtId="168" fontId="6" fillId="0" borderId="0" xfId="503" applyNumberFormat="1" applyFont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1" fillId="7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/>
    </xf>
    <xf numFmtId="0" fontId="10" fillId="8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Protection="1">
      <protection locked="0"/>
    </xf>
    <xf numFmtId="0" fontId="15" fillId="0" borderId="0" xfId="528" applyFont="1" applyAlignment="1" applyProtection="1">
      <alignment vertical="center"/>
      <protection locked="0"/>
    </xf>
    <xf numFmtId="0" fontId="18" fillId="0" borderId="0" xfId="0" applyFont="1" applyBorder="1" applyProtection="1">
      <protection locked="0"/>
    </xf>
    <xf numFmtId="0" fontId="17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/>
      <protection locked="0"/>
    </xf>
    <xf numFmtId="43" fontId="19" fillId="11" borderId="1" xfId="3" applyFont="1" applyFill="1" applyBorder="1" applyAlignment="1" applyProtection="1">
      <alignment vertical="center" wrapText="1"/>
      <protection locked="0"/>
    </xf>
    <xf numFmtId="44" fontId="19" fillId="11" borderId="1" xfId="10" applyFont="1" applyFill="1" applyBorder="1" applyAlignment="1" applyProtection="1">
      <alignment vertical="center"/>
    </xf>
    <xf numFmtId="44" fontId="19" fillId="11" borderId="1" xfId="10" applyFont="1" applyFill="1" applyBorder="1" applyAlignment="1" applyProtection="1">
      <alignment vertical="center"/>
      <protection locked="0"/>
    </xf>
    <xf numFmtId="0" fontId="19" fillId="11" borderId="1" xfId="0" applyFont="1" applyFill="1" applyBorder="1" applyAlignment="1" applyProtection="1">
      <alignment vertical="center"/>
    </xf>
    <xf numFmtId="44" fontId="20" fillId="12" borderId="1" xfId="10" applyFont="1" applyFill="1" applyBorder="1" applyAlignment="1" applyProtection="1"/>
    <xf numFmtId="0" fontId="20" fillId="0" borderId="0" xfId="0" applyFont="1" applyBorder="1" applyProtection="1">
      <protection locked="0"/>
    </xf>
    <xf numFmtId="43" fontId="19" fillId="11" borderId="1" xfId="3" applyFont="1" applyFill="1" applyBorder="1" applyAlignment="1" applyProtection="1">
      <alignment wrapText="1"/>
      <protection locked="0"/>
    </xf>
    <xf numFmtId="44" fontId="19" fillId="11" borderId="1" xfId="10" applyFont="1" applyFill="1" applyBorder="1" applyAlignment="1" applyProtection="1">
      <protection locked="0"/>
    </xf>
    <xf numFmtId="0" fontId="19" fillId="11" borderId="1" xfId="0" applyFont="1" applyFill="1" applyBorder="1" applyProtection="1"/>
    <xf numFmtId="4" fontId="19" fillId="11" borderId="1" xfId="0" applyNumberFormat="1" applyFont="1" applyFill="1" applyBorder="1" applyProtection="1"/>
    <xf numFmtId="0" fontId="18" fillId="0" borderId="0" xfId="0" applyFont="1" applyBorder="1" applyAlignment="1" applyProtection="1">
      <alignment horizontal="left"/>
      <protection locked="0"/>
    </xf>
    <xf numFmtId="44" fontId="18" fillId="0" borderId="0" xfId="10" applyFont="1" applyBorder="1" applyAlignment="1" applyProtection="1">
      <protection locked="0"/>
    </xf>
    <xf numFmtId="0" fontId="19" fillId="13" borderId="2" xfId="0" applyFont="1" applyFill="1" applyBorder="1" applyAlignment="1" applyProtection="1">
      <alignment wrapText="1"/>
    </xf>
    <xf numFmtId="43" fontId="19" fillId="13" borderId="1" xfId="3" applyFont="1" applyFill="1" applyBorder="1" applyAlignment="1" applyProtection="1">
      <alignment wrapText="1"/>
      <protection locked="0"/>
    </xf>
    <xf numFmtId="0" fontId="17" fillId="0" borderId="0" xfId="0" applyFont="1" applyBorder="1" applyProtection="1"/>
    <xf numFmtId="0" fontId="18" fillId="0" borderId="0" xfId="0" applyFont="1" applyBorder="1" applyProtection="1"/>
    <xf numFmtId="0" fontId="16" fillId="13" borderId="2" xfId="0" applyFont="1" applyFill="1" applyBorder="1" applyAlignment="1" applyProtection="1">
      <alignment wrapText="1"/>
    </xf>
    <xf numFmtId="43" fontId="16" fillId="13" borderId="1" xfId="3" applyFont="1" applyFill="1" applyBorder="1" applyAlignment="1" applyProtection="1">
      <alignment wrapText="1"/>
      <protection locked="0"/>
    </xf>
    <xf numFmtId="0" fontId="21" fillId="0" borderId="1" xfId="0" applyFont="1" applyBorder="1" applyProtection="1"/>
    <xf numFmtId="44" fontId="19" fillId="13" borderId="1" xfId="10" applyFont="1" applyFill="1" applyBorder="1" applyAlignment="1" applyProtection="1"/>
    <xf numFmtId="0" fontId="18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44" fontId="21" fillId="0" borderId="1" xfId="10" applyFont="1" applyBorder="1" applyAlignment="1" applyProtection="1">
      <protection locked="0"/>
    </xf>
    <xf numFmtId="44" fontId="18" fillId="0" borderId="1" xfId="10" applyFont="1" applyBorder="1" applyAlignment="1" applyProtection="1">
      <protection locked="0"/>
    </xf>
    <xf numFmtId="0" fontId="18" fillId="0" borderId="0" xfId="0" applyFont="1" applyBorder="1" applyAlignment="1" applyProtection="1">
      <alignment horizontal="left"/>
    </xf>
    <xf numFmtId="44" fontId="18" fillId="0" borderId="1" xfId="10" applyFont="1" applyFill="1" applyBorder="1" applyAlignment="1" applyProtection="1"/>
    <xf numFmtId="44" fontId="18" fillId="0" borderId="1" xfId="10" applyFont="1" applyBorder="1" applyAlignment="1" applyProtection="1"/>
    <xf numFmtId="0" fontId="18" fillId="0" borderId="1" xfId="0" applyFont="1" applyBorder="1" applyAlignment="1" applyProtection="1"/>
    <xf numFmtId="44" fontId="20" fillId="12" borderId="7" xfId="10" applyFont="1" applyFill="1" applyBorder="1" applyAlignment="1" applyProtection="1"/>
    <xf numFmtId="0" fontId="20" fillId="0" borderId="0" xfId="0" applyFont="1" applyBorder="1" applyAlignment="1" applyProtection="1"/>
    <xf numFmtId="0" fontId="18" fillId="0" borderId="0" xfId="0" applyFont="1" applyBorder="1" applyAlignment="1" applyProtection="1"/>
    <xf numFmtId="44" fontId="18" fillId="14" borderId="1" xfId="10" applyFont="1" applyFill="1" applyBorder="1" applyAlignment="1" applyProtection="1"/>
    <xf numFmtId="169" fontId="18" fillId="15" borderId="1" xfId="0" applyNumberFormat="1" applyFont="1" applyFill="1" applyBorder="1" applyProtection="1"/>
    <xf numFmtId="44" fontId="18" fillId="15" borderId="1" xfId="10" applyFont="1" applyFill="1" applyBorder="1" applyAlignment="1" applyProtection="1"/>
    <xf numFmtId="0" fontId="22" fillId="0" borderId="0" xfId="0" applyFont="1" applyFill="1" applyBorder="1" applyAlignment="1" applyProtection="1">
      <alignment horizontal="center"/>
      <protection locked="0"/>
    </xf>
    <xf numFmtId="44" fontId="17" fillId="0" borderId="1" xfId="10" applyFont="1" applyFill="1" applyBorder="1" applyAlignment="1" applyProtection="1">
      <protection locked="0"/>
    </xf>
    <xf numFmtId="44" fontId="18" fillId="0" borderId="1" xfId="10" applyFont="1" applyFill="1" applyBorder="1" applyAlignment="1" applyProtection="1">
      <protection locked="0"/>
    </xf>
    <xf numFmtId="169" fontId="17" fillId="16" borderId="1" xfId="0" applyNumberFormat="1" applyFont="1" applyFill="1" applyBorder="1" applyProtection="1"/>
    <xf numFmtId="0" fontId="16" fillId="13" borderId="1" xfId="0" applyFont="1" applyFill="1" applyBorder="1" applyAlignment="1" applyProtection="1">
      <alignment horizontal="center" vertical="center"/>
    </xf>
    <xf numFmtId="0" fontId="16" fillId="13" borderId="1" xfId="0" applyFont="1" applyFill="1" applyBorder="1" applyAlignment="1" applyProtection="1">
      <alignment horizontal="center" vertical="center" wrapText="1"/>
    </xf>
    <xf numFmtId="44" fontId="16" fillId="13" borderId="1" xfId="10" applyFont="1" applyFill="1" applyBorder="1" applyAlignment="1" applyProtection="1">
      <alignment vertical="center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43" fontId="18" fillId="0" borderId="1" xfId="3" applyFont="1" applyFill="1" applyBorder="1" applyAlignment="1" applyProtection="1">
      <alignment horizontal="right"/>
      <protection locked="0"/>
    </xf>
    <xf numFmtId="44" fontId="19" fillId="13" borderId="1" xfId="10" applyFont="1" applyFill="1" applyBorder="1" applyAlignment="1" applyProtection="1">
      <alignment horizontal="center"/>
    </xf>
    <xf numFmtId="0" fontId="19" fillId="13" borderId="1" xfId="0" applyFont="1" applyFill="1" applyBorder="1" applyAlignment="1" applyProtection="1">
      <alignment horizontal="center"/>
    </xf>
    <xf numFmtId="44" fontId="21" fillId="0" borderId="1" xfId="10" applyFont="1" applyFill="1" applyBorder="1" applyAlignment="1" applyProtection="1">
      <protection locked="0"/>
    </xf>
    <xf numFmtId="43" fontId="21" fillId="0" borderId="1" xfId="3" applyFont="1" applyFill="1" applyBorder="1" applyAlignment="1" applyProtection="1">
      <alignment horizontal="right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1" xfId="0" applyFont="1" applyBorder="1" applyAlignment="1" applyProtection="1">
      <alignment horizontal="left"/>
      <protection locked="0"/>
    </xf>
    <xf numFmtId="0" fontId="21" fillId="0" borderId="1" xfId="0" applyFont="1" applyBorder="1" applyProtection="1">
      <protection locked="0"/>
    </xf>
    <xf numFmtId="0" fontId="19" fillId="13" borderId="1" xfId="0" applyFont="1" applyFill="1" applyBorder="1" applyAlignment="1" applyProtection="1">
      <alignment horizontal="left"/>
    </xf>
    <xf numFmtId="4" fontId="23" fillId="13" borderId="1" xfId="0" applyNumberFormat="1" applyFont="1" applyFill="1" applyBorder="1" applyAlignment="1" applyProtection="1">
      <alignment horizontal="right"/>
    </xf>
    <xf numFmtId="0" fontId="16" fillId="13" borderId="1" xfId="0" applyFont="1" applyFill="1" applyBorder="1" applyAlignment="1" applyProtection="1">
      <alignment horizontal="center"/>
    </xf>
    <xf numFmtId="44" fontId="18" fillId="12" borderId="1" xfId="10" applyFont="1" applyFill="1" applyBorder="1" applyAlignment="1" applyProtection="1"/>
    <xf numFmtId="44" fontId="19" fillId="17" borderId="2" xfId="10" applyFont="1" applyFill="1" applyBorder="1" applyAlignment="1" applyProtection="1">
      <alignment wrapText="1"/>
    </xf>
    <xf numFmtId="0" fontId="17" fillId="0" borderId="0" xfId="0" applyFont="1" applyBorder="1" applyProtection="1">
      <protection locked="0"/>
    </xf>
    <xf numFmtId="44" fontId="17" fillId="0" borderId="0" xfId="10" applyFont="1" applyBorder="1" applyAlignment="1" applyProtection="1"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17" fillId="18" borderId="1" xfId="0" applyFont="1" applyFill="1" applyBorder="1" applyAlignment="1" applyProtection="1">
      <alignment horizontal="center"/>
    </xf>
    <xf numFmtId="0" fontId="18" fillId="0" borderId="0" xfId="0" applyFont="1" applyFill="1" applyBorder="1" applyProtection="1">
      <protection locked="0"/>
    </xf>
    <xf numFmtId="0" fontId="24" fillId="19" borderId="1" xfId="0" applyFont="1" applyFill="1" applyBorder="1" applyAlignment="1" applyProtection="1">
      <alignment wrapText="1"/>
    </xf>
    <xf numFmtId="44" fontId="24" fillId="19" borderId="1" xfId="10" applyFont="1" applyFill="1" applyBorder="1" applyAlignment="1" applyProtection="1"/>
    <xf numFmtId="0" fontId="16" fillId="0" borderId="0" xfId="0" applyFont="1" applyFill="1" applyBorder="1" applyAlignment="1" applyProtection="1">
      <alignment wrapText="1"/>
    </xf>
    <xf numFmtId="44" fontId="19" fillId="0" borderId="0" xfId="1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Protection="1">
      <protection locked="0"/>
    </xf>
    <xf numFmtId="0" fontId="18" fillId="0" borderId="1" xfId="0" applyFont="1" applyBorder="1" applyAlignment="1" applyProtection="1">
      <alignment wrapText="1"/>
    </xf>
    <xf numFmtId="4" fontId="18" fillId="0" borderId="0" xfId="0" applyNumberFormat="1" applyFont="1" applyFill="1" applyBorder="1" applyProtection="1">
      <protection locked="0"/>
    </xf>
    <xf numFmtId="4" fontId="18" fillId="0" borderId="0" xfId="0" applyNumberFormat="1" applyFont="1" applyBorder="1" applyProtection="1">
      <protection locked="0"/>
    </xf>
    <xf numFmtId="0" fontId="127" fillId="0" borderId="0" xfId="233" applyProtection="1">
      <protection locked="0"/>
    </xf>
    <xf numFmtId="168" fontId="5" fillId="0" borderId="0" xfId="503" applyNumberFormat="1" applyFont="1" applyBorder="1" applyAlignment="1" applyProtection="1">
      <alignment horizontal="center" vertical="center"/>
      <protection locked="0"/>
    </xf>
    <xf numFmtId="168" fontId="25" fillId="0" borderId="0" xfId="503" applyNumberFormat="1" applyFont="1" applyBorder="1" applyAlignment="1" applyProtection="1">
      <alignment horizontal="center" vertical="center"/>
      <protection locked="0"/>
    </xf>
    <xf numFmtId="0" fontId="26" fillId="0" borderId="0" xfId="533" applyFont="1" applyBorder="1" applyProtection="1">
      <protection locked="0"/>
    </xf>
    <xf numFmtId="0" fontId="27" fillId="0" borderId="0" xfId="533" applyFont="1" applyBorder="1" applyProtection="1">
      <protection locked="0"/>
    </xf>
    <xf numFmtId="0" fontId="32" fillId="20" borderId="0" xfId="533" applyNumberFormat="1" applyFont="1" applyFill="1" applyBorder="1" applyAlignment="1" applyProtection="1">
      <alignment horizontal="center"/>
      <protection locked="0"/>
    </xf>
    <xf numFmtId="168" fontId="6" fillId="0" borderId="0" xfId="503" applyNumberFormat="1" applyFont="1" applyBorder="1" applyAlignment="1" applyProtection="1">
      <alignment vertical="center"/>
      <protection locked="0"/>
    </xf>
    <xf numFmtId="168" fontId="5" fillId="0" borderId="0" xfId="503" applyNumberFormat="1" applyFont="1" applyBorder="1" applyAlignment="1" applyProtection="1">
      <alignment vertical="center"/>
      <protection locked="0"/>
    </xf>
    <xf numFmtId="0" fontId="33" fillId="20" borderId="0" xfId="533" applyNumberFormat="1" applyFont="1" applyFill="1" applyBorder="1" applyAlignment="1" applyProtection="1">
      <alignment vertical="center"/>
      <protection locked="0"/>
    </xf>
    <xf numFmtId="0" fontId="25" fillId="0" borderId="0" xfId="533" applyNumberFormat="1" applyFont="1" applyBorder="1" applyAlignment="1" applyProtection="1">
      <alignment vertical="center"/>
      <protection locked="0"/>
    </xf>
    <xf numFmtId="17" fontId="25" fillId="23" borderId="1" xfId="533" applyNumberFormat="1" applyFont="1" applyFill="1" applyBorder="1" applyAlignment="1" applyProtection="1">
      <alignment horizontal="center" vertical="center" wrapText="1"/>
    </xf>
    <xf numFmtId="0" fontId="10" fillId="0" borderId="1" xfId="533" applyFont="1" applyBorder="1" applyAlignment="1" applyProtection="1">
      <alignment vertical="center"/>
    </xf>
    <xf numFmtId="0" fontId="25" fillId="0" borderId="1" xfId="533" applyNumberFormat="1" applyFont="1" applyBorder="1" applyAlignment="1" applyProtection="1">
      <alignment horizontal="center" vertical="center"/>
      <protection locked="0"/>
    </xf>
    <xf numFmtId="0" fontId="10" fillId="0" borderId="1" xfId="533" applyFont="1" applyBorder="1" applyAlignment="1" applyProtection="1">
      <alignment vertical="center" wrapText="1"/>
    </xf>
    <xf numFmtId="0" fontId="25" fillId="23" borderId="1" xfId="533" applyNumberFormat="1" applyFont="1" applyFill="1" applyBorder="1" applyAlignment="1" applyProtection="1">
      <alignment horizontal="center" vertical="center"/>
    </xf>
    <xf numFmtId="0" fontId="25" fillId="26" borderId="1" xfId="533" applyNumberFormat="1" applyFont="1" applyFill="1" applyBorder="1" applyAlignment="1" applyProtection="1">
      <alignment horizontal="center" vertical="center"/>
      <protection locked="0"/>
    </xf>
    <xf numFmtId="0" fontId="11" fillId="27" borderId="1" xfId="533" applyNumberFormat="1" applyFont="1" applyFill="1" applyBorder="1" applyAlignment="1" applyProtection="1">
      <alignment horizontal="center" vertical="center"/>
    </xf>
    <xf numFmtId="0" fontId="37" fillId="0" borderId="11" xfId="533" applyFont="1" applyBorder="1" applyAlignment="1" applyProtection="1">
      <alignment horizontal="center" wrapText="1"/>
      <protection locked="0"/>
    </xf>
    <xf numFmtId="0" fontId="36" fillId="13" borderId="12" xfId="533" applyFont="1" applyFill="1" applyBorder="1" applyAlignment="1" applyProtection="1">
      <alignment horizontal="center" vertical="center" wrapText="1"/>
      <protection locked="0"/>
    </xf>
    <xf numFmtId="0" fontId="38" fillId="0" borderId="12" xfId="533" applyFont="1" applyBorder="1" applyAlignment="1" applyProtection="1">
      <alignment horizontal="center" vertical="center"/>
      <protection locked="0"/>
    </xf>
    <xf numFmtId="0" fontId="39" fillId="0" borderId="0" xfId="533" applyFont="1" applyBorder="1" applyProtection="1">
      <protection locked="0"/>
    </xf>
    <xf numFmtId="0" fontId="40" fillId="0" borderId="0" xfId="533" applyFont="1" applyBorder="1" applyProtection="1">
      <protection locked="0"/>
    </xf>
    <xf numFmtId="0" fontId="41" fillId="0" borderId="0" xfId="533" applyFont="1" applyBorder="1" applyProtection="1">
      <protection locked="0"/>
    </xf>
    <xf numFmtId="0" fontId="42" fillId="0" borderId="0" xfId="533" applyFont="1" applyBorder="1" applyAlignment="1" applyProtection="1">
      <alignment horizontal="center"/>
      <protection locked="0"/>
    </xf>
    <xf numFmtId="0" fontId="41" fillId="0" borderId="0" xfId="533" applyFont="1" applyBorder="1" applyAlignment="1" applyProtection="1">
      <alignment horizontal="right"/>
      <protection locked="0"/>
    </xf>
    <xf numFmtId="0" fontId="43" fillId="0" borderId="11" xfId="533" applyFont="1" applyBorder="1" applyAlignment="1" applyProtection="1">
      <alignment horizontal="right"/>
      <protection locked="0"/>
    </xf>
    <xf numFmtId="0" fontId="43" fillId="0" borderId="11" xfId="533" applyFont="1" applyBorder="1" applyAlignment="1" applyProtection="1">
      <alignment horizontal="center"/>
      <protection locked="0"/>
    </xf>
    <xf numFmtId="0" fontId="43" fillId="0" borderId="11" xfId="533" applyFont="1" applyBorder="1" applyAlignment="1" applyProtection="1">
      <alignment horizontal="center"/>
    </xf>
    <xf numFmtId="0" fontId="43" fillId="0" borderId="11" xfId="533" applyFont="1" applyBorder="1" applyAlignment="1" applyProtection="1">
      <alignment horizontal="left"/>
      <protection locked="0"/>
    </xf>
    <xf numFmtId="0" fontId="43" fillId="0" borderId="0" xfId="533" applyFont="1" applyBorder="1" applyAlignment="1" applyProtection="1">
      <protection locked="0"/>
    </xf>
    <xf numFmtId="0" fontId="43" fillId="0" borderId="0" xfId="533" applyFont="1" applyBorder="1" applyAlignment="1" applyProtection="1"/>
    <xf numFmtId="0" fontId="43" fillId="0" borderId="14" xfId="533" applyFont="1" applyBorder="1" applyAlignment="1" applyProtection="1">
      <protection locked="0"/>
    </xf>
    <xf numFmtId="0" fontId="43" fillId="0" borderId="0" xfId="533" applyFont="1" applyBorder="1" applyProtection="1">
      <protection locked="0"/>
    </xf>
    <xf numFmtId="0" fontId="26" fillId="0" borderId="0" xfId="533" applyFont="1" applyBorder="1" applyAlignment="1" applyProtection="1">
      <protection locked="0"/>
    </xf>
    <xf numFmtId="168" fontId="41" fillId="0" borderId="0" xfId="533" applyNumberFormat="1" applyFont="1" applyBorder="1" applyAlignment="1" applyProtection="1">
      <alignment vertical="center"/>
    </xf>
    <xf numFmtId="168" fontId="41" fillId="0" borderId="0" xfId="533" applyNumberFormat="1" applyFont="1" applyBorder="1" applyAlignment="1" applyProtection="1">
      <alignment vertical="center"/>
      <protection locked="0"/>
    </xf>
    <xf numFmtId="0" fontId="44" fillId="0" borderId="0" xfId="533" applyFont="1" applyBorder="1" applyAlignment="1" applyProtection="1">
      <alignment horizontal="right"/>
      <protection locked="0"/>
    </xf>
    <xf numFmtId="0" fontId="45" fillId="0" borderId="0" xfId="533" applyFont="1" applyBorder="1" applyProtection="1">
      <protection locked="0"/>
    </xf>
    <xf numFmtId="171" fontId="45" fillId="0" borderId="0" xfId="533" applyNumberFormat="1" applyFont="1" applyBorder="1" applyProtection="1">
      <protection locked="0"/>
    </xf>
    <xf numFmtId="0" fontId="46" fillId="0" borderId="0" xfId="533" applyFont="1" applyBorder="1" applyProtection="1">
      <protection locked="0"/>
    </xf>
    <xf numFmtId="49" fontId="35" fillId="0" borderId="0" xfId="533" applyNumberFormat="1" applyFont="1" applyBorder="1" applyAlignment="1" applyProtection="1">
      <alignment horizontal="center" vertical="center"/>
      <protection locked="0"/>
    </xf>
    <xf numFmtId="0" fontId="4" fillId="0" borderId="0" xfId="528" applyFill="1" applyAlignment="1" applyProtection="1">
      <alignment vertical="center"/>
      <protection locked="0"/>
    </xf>
    <xf numFmtId="0" fontId="23" fillId="28" borderId="1" xfId="533" applyFont="1" applyFill="1" applyBorder="1" applyAlignment="1" applyProtection="1">
      <alignment horizontal="center" vertical="center" wrapText="1"/>
    </xf>
    <xf numFmtId="0" fontId="48" fillId="13" borderId="5" xfId="528" applyFont="1" applyFill="1" applyBorder="1" applyAlignment="1" applyProtection="1">
      <alignment horizontal="center" vertical="center" wrapText="1"/>
    </xf>
    <xf numFmtId="49" fontId="50" fillId="0" borderId="1" xfId="528" applyNumberFormat="1" applyFont="1" applyFill="1" applyBorder="1" applyAlignment="1" applyProtection="1">
      <alignment horizontal="center" vertical="center"/>
      <protection locked="0"/>
    </xf>
    <xf numFmtId="49" fontId="49" fillId="0" borderId="1" xfId="0" applyNumberFormat="1" applyFont="1" applyBorder="1" applyAlignment="1" applyProtection="1">
      <alignment horizontal="center" vertical="justify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528" applyFill="1" applyAlignment="1" applyProtection="1">
      <alignment horizontal="center" vertical="center"/>
      <protection locked="0"/>
    </xf>
    <xf numFmtId="49" fontId="50" fillId="0" borderId="1" xfId="528" applyNumberFormat="1" applyFont="1" applyFill="1" applyBorder="1" applyAlignment="1" applyProtection="1">
      <alignment horizontal="center" vertical="center" wrapText="1"/>
    </xf>
    <xf numFmtId="49" fontId="5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1" xfId="0" applyNumberFormat="1" applyFont="1" applyFill="1" applyBorder="1" applyAlignment="1" applyProtection="1">
      <alignment horizontal="center" vertical="center" wrapText="1"/>
    </xf>
    <xf numFmtId="164" fontId="50" fillId="0" borderId="1" xfId="580" applyNumberFormat="1" applyFont="1" applyFill="1" applyBorder="1" applyAlignment="1" applyProtection="1">
      <alignment horizontal="right" vertical="center" wrapText="1"/>
      <protection locked="0"/>
    </xf>
    <xf numFmtId="49" fontId="50" fillId="0" borderId="1" xfId="0" applyNumberFormat="1" applyFont="1" applyFill="1" applyBorder="1" applyAlignment="1" applyProtection="1">
      <alignment horizontal="center" vertical="center" wrapText="1" readingOrder="1"/>
    </xf>
    <xf numFmtId="49" fontId="53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protection locked="0"/>
    </xf>
    <xf numFmtId="0" fontId="56" fillId="0" borderId="0" xfId="533" applyFont="1" applyBorder="1" applyAlignment="1" applyProtection="1">
      <alignment vertical="center"/>
      <protection locked="0"/>
    </xf>
    <xf numFmtId="0" fontId="57" fillId="26" borderId="0" xfId="533" applyFont="1" applyFill="1" applyBorder="1" applyAlignment="1" applyProtection="1">
      <alignment horizontal="left" vertical="center"/>
      <protection locked="0"/>
    </xf>
    <xf numFmtId="0" fontId="57" fillId="26" borderId="0" xfId="533" applyFont="1" applyFill="1" applyBorder="1" applyAlignment="1" applyProtection="1">
      <alignment vertical="center"/>
      <protection locked="0"/>
    </xf>
    <xf numFmtId="0" fontId="57" fillId="26" borderId="0" xfId="508" applyFont="1" applyFill="1" applyProtection="1">
      <protection locked="0"/>
    </xf>
    <xf numFmtId="0" fontId="55" fillId="26" borderId="0" xfId="486" applyFont="1" applyFill="1" applyProtection="1">
      <protection locked="0"/>
    </xf>
    <xf numFmtId="0" fontId="57" fillId="26" borderId="0" xfId="486" applyFont="1" applyFill="1" applyProtection="1">
      <protection locked="0"/>
    </xf>
    <xf numFmtId="0" fontId="58" fillId="0" borderId="0" xfId="533" applyFont="1" applyBorder="1" applyAlignment="1" applyProtection="1">
      <alignment horizontal="center" vertical="center"/>
      <protection locked="0"/>
    </xf>
    <xf numFmtId="0" fontId="58" fillId="0" borderId="0" xfId="533" applyFont="1" applyBorder="1" applyAlignment="1" applyProtection="1">
      <alignment horizontal="left" vertical="center"/>
      <protection locked="0"/>
    </xf>
    <xf numFmtId="1" fontId="58" fillId="0" borderId="0" xfId="533" applyNumberFormat="1" applyFont="1" applyBorder="1" applyAlignment="1" applyProtection="1">
      <alignment horizontal="center" vertical="center"/>
      <protection locked="0"/>
    </xf>
    <xf numFmtId="170" fontId="58" fillId="0" borderId="0" xfId="587" applyNumberFormat="1" applyFont="1" applyBorder="1" applyAlignment="1" applyProtection="1">
      <alignment horizontal="center" vertical="center"/>
      <protection locked="0"/>
    </xf>
    <xf numFmtId="0" fontId="58" fillId="0" borderId="0" xfId="533" applyFont="1" applyBorder="1" applyAlignment="1" applyProtection="1">
      <alignment vertical="center"/>
      <protection locked="0"/>
    </xf>
    <xf numFmtId="0" fontId="55" fillId="26" borderId="0" xfId="486" applyFont="1" applyFill="1" applyBorder="1" applyProtection="1">
      <protection locked="0"/>
    </xf>
    <xf numFmtId="49" fontId="64" fillId="30" borderId="1" xfId="478" applyNumberFormat="1" applyFont="1" applyFill="1" applyBorder="1" applyAlignment="1" applyProtection="1">
      <alignment horizontal="center" vertical="center" wrapText="1"/>
    </xf>
    <xf numFmtId="4" fontId="65" fillId="30" borderId="1" xfId="3" applyNumberFormat="1" applyFont="1" applyFill="1" applyBorder="1" applyAlignment="1" applyProtection="1">
      <alignment horizontal="center" vertical="center"/>
    </xf>
    <xf numFmtId="0" fontId="66" fillId="0" borderId="1" xfId="0" applyFont="1" applyBorder="1" applyAlignment="1" applyProtection="1">
      <alignment vertical="center" wrapText="1"/>
      <protection locked="0"/>
    </xf>
    <xf numFmtId="4" fontId="67" fillId="0" borderId="1" xfId="3" applyNumberFormat="1" applyFont="1" applyFill="1" applyBorder="1" applyAlignment="1" applyProtection="1">
      <alignment vertical="center"/>
      <protection locked="0"/>
    </xf>
    <xf numFmtId="4" fontId="0" fillId="0" borderId="1" xfId="3" applyNumberFormat="1" applyFont="1" applyBorder="1" applyAlignment="1" applyProtection="1">
      <alignment vertical="center"/>
      <protection locked="0"/>
    </xf>
    <xf numFmtId="49" fontId="61" fillId="30" borderId="1" xfId="478" applyNumberFormat="1" applyFont="1" applyFill="1" applyBorder="1" applyAlignment="1" applyProtection="1">
      <alignment horizontal="left" vertical="center" wrapText="1"/>
    </xf>
    <xf numFmtId="4" fontId="68" fillId="31" borderId="1" xfId="3" applyNumberFormat="1" applyFont="1" applyFill="1" applyBorder="1" applyAlignment="1" applyProtection="1">
      <alignment vertical="center"/>
    </xf>
    <xf numFmtId="43" fontId="69" fillId="13" borderId="1" xfId="3" applyFont="1" applyFill="1" applyBorder="1" applyProtection="1"/>
    <xf numFmtId="4" fontId="63" fillId="29" borderId="1" xfId="3" applyNumberFormat="1" applyFont="1" applyFill="1" applyBorder="1" applyAlignment="1" applyProtection="1">
      <alignment horizontal="right" vertical="center"/>
    </xf>
    <xf numFmtId="0" fontId="71" fillId="0" borderId="0" xfId="507" applyProtection="1">
      <protection locked="0"/>
    </xf>
    <xf numFmtId="168" fontId="25" fillId="0" borderId="0" xfId="503" applyNumberFormat="1" applyFont="1" applyBorder="1" applyAlignment="1" applyProtection="1">
      <alignment vertical="center"/>
      <protection locked="0"/>
    </xf>
    <xf numFmtId="0" fontId="73" fillId="0" borderId="1" xfId="507" applyFont="1" applyBorder="1" applyAlignment="1" applyProtection="1">
      <alignment horizontal="center" vertical="center" wrapText="1"/>
    </xf>
    <xf numFmtId="0" fontId="74" fillId="0" borderId="1" xfId="507" applyFont="1" applyBorder="1" applyAlignment="1" applyProtection="1">
      <alignment wrapText="1"/>
    </xf>
    <xf numFmtId="43" fontId="50" fillId="26" borderId="1" xfId="579" applyFill="1" applyBorder="1" applyProtection="1">
      <protection locked="0"/>
    </xf>
    <xf numFmtId="0" fontId="73" fillId="0" borderId="1" xfId="507" applyFont="1" applyBorder="1" applyAlignment="1" applyProtection="1">
      <alignment horizontal="center"/>
    </xf>
    <xf numFmtId="0" fontId="74" fillId="0" borderId="1" xfId="507" applyFont="1" applyBorder="1" applyProtection="1"/>
    <xf numFmtId="43" fontId="75" fillId="13" borderId="1" xfId="579" applyFont="1" applyFill="1" applyBorder="1" applyProtection="1"/>
    <xf numFmtId="0" fontId="73" fillId="0" borderId="0" xfId="507" applyFont="1" applyBorder="1" applyAlignment="1" applyProtection="1">
      <alignment horizontal="center" vertical="center" wrapText="1"/>
      <protection locked="0"/>
    </xf>
    <xf numFmtId="0" fontId="74" fillId="0" borderId="0" xfId="507" applyFont="1" applyBorder="1" applyProtection="1">
      <protection locked="0"/>
    </xf>
    <xf numFmtId="0" fontId="71" fillId="0" borderId="0" xfId="507" applyBorder="1" applyProtection="1">
      <protection locked="0"/>
    </xf>
    <xf numFmtId="0" fontId="73" fillId="0" borderId="5" xfId="507" applyFont="1" applyBorder="1" applyAlignment="1" applyProtection="1">
      <alignment horizontal="center" vertical="center" wrapText="1"/>
    </xf>
    <xf numFmtId="0" fontId="73" fillId="0" borderId="1" xfId="507" applyFont="1" applyBorder="1" applyAlignment="1" applyProtection="1">
      <alignment horizontal="center" vertical="center"/>
    </xf>
    <xf numFmtId="0" fontId="76" fillId="0" borderId="1" xfId="507" applyFont="1" applyBorder="1" applyAlignment="1" applyProtection="1">
      <alignment wrapText="1"/>
    </xf>
    <xf numFmtId="43" fontId="50" fillId="26" borderId="1" xfId="579" applyFont="1" applyFill="1" applyBorder="1" applyProtection="1">
      <protection locked="0"/>
    </xf>
    <xf numFmtId="0" fontId="76" fillId="0" borderId="1" xfId="507" applyFont="1" applyBorder="1" applyProtection="1"/>
    <xf numFmtId="0" fontId="73" fillId="0" borderId="0" xfId="507" applyFont="1" applyAlignment="1" applyProtection="1">
      <alignment horizontal="center"/>
      <protection locked="0"/>
    </xf>
    <xf numFmtId="43" fontId="48" fillId="32" borderId="1" xfId="507" applyNumberFormat="1" applyFont="1" applyFill="1" applyBorder="1" applyProtection="1"/>
    <xf numFmtId="165" fontId="71" fillId="0" borderId="0" xfId="580" applyFont="1" applyProtection="1">
      <protection locked="0"/>
    </xf>
    <xf numFmtId="44" fontId="78" fillId="13" borderId="1" xfId="10" applyFont="1" applyFill="1" applyBorder="1" applyAlignment="1" applyProtection="1">
      <protection locked="0"/>
    </xf>
    <xf numFmtId="0" fontId="79" fillId="0" borderId="1" xfId="0" applyFont="1" applyBorder="1" applyAlignment="1" applyProtection="1">
      <alignment horizontal="center"/>
      <protection locked="0"/>
    </xf>
    <xf numFmtId="44" fontId="0" fillId="0" borderId="1" xfId="10" applyFont="1" applyBorder="1" applyAlignment="1" applyProtection="1">
      <protection locked="0"/>
    </xf>
    <xf numFmtId="0" fontId="78" fillId="13" borderId="1" xfId="0" applyFont="1" applyFill="1" applyBorder="1" applyProtection="1"/>
    <xf numFmtId="172" fontId="78" fillId="13" borderId="1" xfId="0" applyNumberFormat="1" applyFont="1" applyFill="1" applyBorder="1" applyProtection="1"/>
    <xf numFmtId="44" fontId="78" fillId="13" borderId="1" xfId="10" applyFont="1" applyFill="1" applyBorder="1" applyAlignment="1" applyProtection="1"/>
    <xf numFmtId="168" fontId="61" fillId="0" borderId="0" xfId="503" applyNumberFormat="1" applyFont="1" applyBorder="1" applyAlignment="1" applyProtection="1">
      <alignment vertical="center"/>
      <protection locked="0"/>
    </xf>
    <xf numFmtId="168" fontId="61" fillId="0" borderId="0" xfId="503" applyNumberFormat="1" applyFont="1" applyBorder="1" applyAlignment="1" applyProtection="1">
      <alignment vertical="center" wrapText="1"/>
      <protection locked="0"/>
    </xf>
    <xf numFmtId="0" fontId="78" fillId="13" borderId="1" xfId="0" applyFont="1" applyFill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0" applyNumberFormat="1" applyBorder="1" applyAlignment="1" applyProtection="1">
      <alignment horizontal="right"/>
      <protection locked="0"/>
    </xf>
    <xf numFmtId="44" fontId="77" fillId="13" borderId="0" xfId="0" applyNumberFormat="1" applyFont="1" applyFill="1" applyBorder="1" applyAlignment="1" applyProtection="1">
      <alignment horizontal="right"/>
    </xf>
    <xf numFmtId="0" fontId="0" fillId="0" borderId="0" xfId="0" applyBorder="1" applyProtection="1">
      <protection locked="0"/>
    </xf>
    <xf numFmtId="0" fontId="81" fillId="0" borderId="0" xfId="0" applyFont="1" applyProtection="1">
      <protection locked="0"/>
    </xf>
    <xf numFmtId="0" fontId="77" fillId="0" borderId="0" xfId="0" applyFont="1" applyFill="1" applyBorder="1" applyAlignment="1" applyProtection="1">
      <alignment horizontal="center" wrapText="1"/>
    </xf>
    <xf numFmtId="44" fontId="82" fillId="0" borderId="1" xfId="0" applyNumberFormat="1" applyFont="1" applyFill="1" applyBorder="1" applyProtection="1">
      <protection locked="0"/>
    </xf>
    <xf numFmtId="44" fontId="82" fillId="0" borderId="0" xfId="0" applyNumberFormat="1" applyFont="1" applyFill="1" applyBorder="1" applyProtection="1">
      <protection locked="0"/>
    </xf>
    <xf numFmtId="44" fontId="82" fillId="0" borderId="1" xfId="0" applyNumberFormat="1" applyFont="1" applyFill="1" applyBorder="1" applyProtection="1"/>
    <xf numFmtId="44" fontId="82" fillId="0" borderId="0" xfId="0" applyNumberFormat="1" applyFont="1" applyFill="1" applyBorder="1" applyProtection="1"/>
    <xf numFmtId="44" fontId="77" fillId="13" borderId="1" xfId="0" applyNumberFormat="1" applyFont="1" applyFill="1" applyBorder="1" applyProtection="1"/>
    <xf numFmtId="44" fontId="77" fillId="0" borderId="0" xfId="0" applyNumberFormat="1" applyFont="1" applyFill="1" applyBorder="1" applyProtection="1"/>
    <xf numFmtId="0" fontId="0" fillId="0" borderId="0" xfId="0" applyFill="1" applyProtection="1">
      <protection locked="0"/>
    </xf>
    <xf numFmtId="0" fontId="50" fillId="0" borderId="0" xfId="510" applyProtection="1">
      <protection locked="0"/>
    </xf>
    <xf numFmtId="0" fontId="50" fillId="0" borderId="0" xfId="503" applyBorder="1" applyAlignment="1" applyProtection="1">
      <alignment vertical="center"/>
      <protection locked="0"/>
    </xf>
    <xf numFmtId="0" fontId="0" fillId="0" borderId="0" xfId="0" applyProtection="1"/>
    <xf numFmtId="0" fontId="36" fillId="21" borderId="2" xfId="503" applyFont="1" applyFill="1" applyBorder="1" applyAlignment="1" applyProtection="1">
      <alignment vertical="center" wrapText="1"/>
    </xf>
    <xf numFmtId="0" fontId="36" fillId="21" borderId="2" xfId="503" applyFont="1" applyFill="1" applyBorder="1" applyAlignment="1" applyProtection="1">
      <alignment horizontal="center" vertical="center" wrapText="1"/>
    </xf>
    <xf numFmtId="168" fontId="84" fillId="31" borderId="1" xfId="503" applyNumberFormat="1" applyFont="1" applyFill="1" applyBorder="1" applyAlignment="1" applyProtection="1">
      <alignment horizontal="center" vertical="center"/>
      <protection locked="0"/>
    </xf>
    <xf numFmtId="0" fontId="74" fillId="0" borderId="0" xfId="503" applyFont="1" applyAlignment="1" applyProtection="1">
      <alignment vertical="center"/>
      <protection locked="0"/>
    </xf>
    <xf numFmtId="168" fontId="83" fillId="0" borderId="3" xfId="503" applyNumberFormat="1" applyFont="1" applyBorder="1" applyAlignment="1" applyProtection="1">
      <alignment vertical="center" wrapText="1"/>
      <protection locked="0"/>
    </xf>
    <xf numFmtId="168" fontId="83" fillId="0" borderId="4" xfId="503" applyNumberFormat="1" applyFont="1" applyBorder="1" applyAlignment="1" applyProtection="1">
      <alignment vertical="center" wrapText="1"/>
      <protection locked="0"/>
    </xf>
    <xf numFmtId="0" fontId="74" fillId="0" borderId="0" xfId="503" applyFont="1" applyBorder="1" applyAlignment="1" applyProtection="1">
      <alignment vertical="center"/>
      <protection locked="0"/>
    </xf>
    <xf numFmtId="168" fontId="74" fillId="0" borderId="0" xfId="503" applyNumberFormat="1" applyFont="1" applyAlignment="1" applyProtection="1">
      <alignment vertical="center"/>
      <protection locked="0"/>
    </xf>
    <xf numFmtId="170" fontId="55" fillId="0" borderId="0" xfId="533" applyNumberFormat="1" applyFont="1" applyFill="1" applyBorder="1" applyAlignment="1" applyProtection="1">
      <alignment horizontal="center" vertical="center"/>
      <protection locked="0"/>
    </xf>
    <xf numFmtId="168" fontId="87" fillId="0" borderId="0" xfId="503" applyNumberFormat="1" applyFont="1" applyBorder="1" applyAlignment="1" applyProtection="1">
      <alignment horizontal="left" vertical="center"/>
      <protection locked="0"/>
    </xf>
    <xf numFmtId="168" fontId="87" fillId="0" borderId="17" xfId="503" applyNumberFormat="1" applyFont="1" applyBorder="1" applyAlignment="1" applyProtection="1">
      <alignment vertical="center"/>
      <protection locked="0"/>
    </xf>
    <xf numFmtId="0" fontId="74" fillId="20" borderId="0" xfId="503" applyFont="1" applyFill="1" applyAlignment="1" applyProtection="1">
      <alignment vertical="center"/>
      <protection locked="0"/>
    </xf>
    <xf numFmtId="168" fontId="74" fillId="20" borderId="0" xfId="503" applyNumberFormat="1" applyFont="1" applyFill="1" applyAlignment="1" applyProtection="1">
      <alignment vertical="center"/>
      <protection locked="0"/>
    </xf>
    <xf numFmtId="0" fontId="50" fillId="0" borderId="19" xfId="503" applyBorder="1" applyAlignment="1" applyProtection="1">
      <alignment vertical="center"/>
    </xf>
    <xf numFmtId="0" fontId="74" fillId="0" borderId="19" xfId="503" applyFont="1" applyBorder="1" applyAlignment="1" applyProtection="1">
      <alignment horizontal="right" vertical="center"/>
    </xf>
    <xf numFmtId="0" fontId="74" fillId="0" borderId="0" xfId="503" applyFont="1" applyBorder="1" applyAlignment="1" applyProtection="1">
      <alignment horizontal="center" vertical="center"/>
    </xf>
    <xf numFmtId="0" fontId="73" fillId="0" borderId="0" xfId="503" applyFont="1" applyAlignment="1" applyProtection="1">
      <alignment vertical="center"/>
      <protection locked="0"/>
    </xf>
    <xf numFmtId="0" fontId="73" fillId="0" borderId="9" xfId="503" applyFont="1" applyBorder="1" applyAlignment="1" applyProtection="1">
      <alignment horizontal="center" vertical="top"/>
    </xf>
    <xf numFmtId="0" fontId="50" fillId="20" borderId="0" xfId="503" applyFill="1" applyAlignment="1" applyProtection="1">
      <alignment vertical="center"/>
      <protection locked="0"/>
    </xf>
    <xf numFmtId="168" fontId="73" fillId="20" borderId="21" xfId="503" applyNumberFormat="1" applyFont="1" applyFill="1" applyBorder="1" applyAlignment="1" applyProtection="1">
      <alignment horizontal="left" vertical="center"/>
    </xf>
    <xf numFmtId="168" fontId="73" fillId="20" borderId="19" xfId="503" applyNumberFormat="1" applyFont="1" applyFill="1" applyBorder="1" applyAlignment="1" applyProtection="1">
      <alignment horizontal="left" vertical="center"/>
    </xf>
    <xf numFmtId="0" fontId="73" fillId="0" borderId="0" xfId="503" applyFont="1" applyAlignment="1" applyProtection="1">
      <alignment horizontal="center" vertical="center"/>
      <protection locked="0"/>
    </xf>
    <xf numFmtId="0" fontId="93" fillId="0" borderId="15" xfId="503" applyFont="1" applyBorder="1" applyAlignment="1" applyProtection="1">
      <alignment vertical="center"/>
    </xf>
    <xf numFmtId="0" fontId="50" fillId="0" borderId="17" xfId="503" applyBorder="1" applyAlignment="1" applyProtection="1">
      <alignment vertical="center"/>
      <protection locked="0"/>
    </xf>
    <xf numFmtId="0" fontId="79" fillId="0" borderId="0" xfId="503" applyFont="1" applyAlignment="1" applyProtection="1">
      <alignment vertical="center"/>
      <protection locked="0"/>
    </xf>
    <xf numFmtId="0" fontId="50" fillId="0" borderId="15" xfId="503" applyBorder="1" applyAlignment="1" applyProtection="1">
      <alignment horizontal="left" vertical="center"/>
    </xf>
    <xf numFmtId="0" fontId="50" fillId="0" borderId="0" xfId="503" applyBorder="1" applyAlignment="1" applyProtection="1">
      <alignment horizontal="left" vertical="center"/>
    </xf>
    <xf numFmtId="168" fontId="71" fillId="0" borderId="0" xfId="503" applyNumberFormat="1" applyFont="1" applyBorder="1" applyAlignment="1" applyProtection="1">
      <alignment horizontal="left" vertical="center"/>
      <protection locked="0"/>
    </xf>
    <xf numFmtId="168" fontId="71" fillId="0" borderId="17" xfId="503" applyNumberFormat="1" applyFont="1" applyBorder="1" applyAlignment="1" applyProtection="1">
      <alignment vertical="center"/>
      <protection locked="0"/>
    </xf>
    <xf numFmtId="0" fontId="93" fillId="0" borderId="15" xfId="503" applyFont="1" applyBorder="1" applyAlignment="1" applyProtection="1">
      <alignment horizontal="left" vertical="center"/>
    </xf>
    <xf numFmtId="0" fontId="73" fillId="20" borderId="15" xfId="503" applyFont="1" applyFill="1" applyBorder="1" applyAlignment="1" applyProtection="1">
      <alignment horizontal="left" vertical="center"/>
    </xf>
    <xf numFmtId="0" fontId="73" fillId="20" borderId="0" xfId="503" applyFont="1" applyFill="1" applyBorder="1" applyAlignment="1" applyProtection="1">
      <alignment horizontal="left" vertical="center"/>
    </xf>
    <xf numFmtId="168" fontId="88" fillId="20" borderId="0" xfId="503" applyNumberFormat="1" applyFont="1" applyFill="1" applyBorder="1" applyAlignment="1" applyProtection="1">
      <alignment horizontal="center" vertical="center"/>
      <protection locked="0"/>
    </xf>
    <xf numFmtId="168" fontId="88" fillId="20" borderId="17" xfId="503" applyNumberFormat="1" applyFont="1" applyFill="1" applyBorder="1" applyAlignment="1" applyProtection="1">
      <alignment horizontal="center" vertical="center"/>
      <protection locked="0"/>
    </xf>
    <xf numFmtId="0" fontId="79" fillId="0" borderId="15" xfId="503" applyFont="1" applyBorder="1" applyAlignment="1" applyProtection="1">
      <alignment horizontal="left" vertical="center"/>
    </xf>
    <xf numFmtId="0" fontId="93" fillId="0" borderId="0" xfId="503" applyFont="1" applyBorder="1" applyAlignment="1" applyProtection="1">
      <alignment horizontal="left" vertical="center"/>
    </xf>
    <xf numFmtId="168" fontId="71" fillId="0" borderId="0" xfId="503" applyNumberFormat="1" applyFont="1" applyBorder="1" applyAlignment="1" applyProtection="1">
      <alignment vertical="center"/>
      <protection locked="0"/>
    </xf>
    <xf numFmtId="0" fontId="94" fillId="0" borderId="0" xfId="503" applyFont="1" applyAlignment="1" applyProtection="1">
      <alignment vertical="center"/>
      <protection locked="0"/>
    </xf>
    <xf numFmtId="168" fontId="71" fillId="0" borderId="0" xfId="503" applyNumberFormat="1" applyFont="1" applyBorder="1" applyAlignment="1" applyProtection="1">
      <alignment horizontal="left" vertical="center"/>
    </xf>
    <xf numFmtId="168" fontId="71" fillId="0" borderId="17" xfId="503" applyNumberFormat="1" applyFont="1" applyBorder="1" applyAlignment="1" applyProtection="1">
      <alignment vertical="center"/>
    </xf>
    <xf numFmtId="168" fontId="50" fillId="0" borderId="0" xfId="503" applyNumberFormat="1" applyAlignment="1" applyProtection="1">
      <alignment vertical="center"/>
      <protection locked="0"/>
    </xf>
    <xf numFmtId="0" fontId="73" fillId="0" borderId="0" xfId="503" applyFont="1" applyBorder="1" applyAlignment="1" applyProtection="1">
      <alignment horizontal="left" vertical="center"/>
      <protection locked="0"/>
    </xf>
    <xf numFmtId="168" fontId="88" fillId="0" borderId="0" xfId="503" applyNumberFormat="1" applyFont="1" applyBorder="1" applyAlignment="1" applyProtection="1">
      <alignment horizontal="center" vertical="center"/>
      <protection locked="0"/>
    </xf>
    <xf numFmtId="168" fontId="73" fillId="20" borderId="0" xfId="503" applyNumberFormat="1" applyFont="1" applyFill="1" applyBorder="1" applyAlignment="1" applyProtection="1">
      <alignment horizontal="left" vertical="center"/>
    </xf>
    <xf numFmtId="0" fontId="74" fillId="0" borderId="0" xfId="503" applyFont="1" applyBorder="1" applyAlignment="1" applyProtection="1">
      <alignment horizontal="right" vertical="center"/>
    </xf>
    <xf numFmtId="0" fontId="133" fillId="0" borderId="1" xfId="0" applyFont="1" applyBorder="1" applyAlignment="1" applyProtection="1">
      <alignment vertical="center" wrapText="1"/>
      <protection locked="0"/>
    </xf>
    <xf numFmtId="49" fontId="134" fillId="26" borderId="2" xfId="0" applyNumberFormat="1" applyFont="1" applyFill="1" applyBorder="1" applyAlignment="1" applyProtection="1">
      <alignment horizontal="center"/>
      <protection locked="0"/>
    </xf>
    <xf numFmtId="0" fontId="135" fillId="0" borderId="1" xfId="0" applyFont="1" applyBorder="1" applyAlignment="1" applyProtection="1">
      <alignment horizontal="center" vertical="center"/>
      <protection locked="0"/>
    </xf>
    <xf numFmtId="168" fontId="136" fillId="0" borderId="1" xfId="594" applyNumberFormat="1" applyFont="1" applyBorder="1" applyAlignment="1" applyProtection="1">
      <alignment horizontal="left" vertical="center"/>
      <protection locked="0"/>
    </xf>
    <xf numFmtId="49" fontId="135" fillId="26" borderId="40" xfId="0" applyNumberFormat="1" applyFont="1" applyFill="1" applyBorder="1" applyAlignment="1" applyProtection="1">
      <alignment horizontal="center"/>
      <protection locked="0"/>
    </xf>
    <xf numFmtId="0" fontId="135" fillId="26" borderId="40" xfId="0" applyFont="1" applyFill="1" applyBorder="1" applyAlignment="1" applyProtection="1">
      <alignment horizontal="center"/>
      <protection locked="0"/>
    </xf>
    <xf numFmtId="0" fontId="134" fillId="26" borderId="40" xfId="0" applyFont="1" applyFill="1" applyBorder="1" applyAlignment="1" applyProtection="1">
      <alignment horizontal="center"/>
      <protection locked="0"/>
    </xf>
    <xf numFmtId="49" fontId="135" fillId="0" borderId="40" xfId="0" applyNumberFormat="1" applyFont="1" applyFill="1" applyBorder="1" applyAlignment="1" applyProtection="1">
      <alignment horizontal="center"/>
      <protection locked="0"/>
    </xf>
    <xf numFmtId="0" fontId="135" fillId="89" borderId="40" xfId="0" applyFont="1" applyFill="1" applyBorder="1" applyAlignment="1" applyProtection="1">
      <alignment horizontal="center"/>
      <protection locked="0"/>
    </xf>
    <xf numFmtId="49" fontId="140" fillId="26" borderId="40" xfId="533" applyNumberFormat="1" applyFont="1" applyFill="1" applyBorder="1" applyAlignment="1" applyProtection="1">
      <alignment horizontal="center" vertical="center"/>
      <protection locked="0"/>
    </xf>
    <xf numFmtId="49" fontId="134" fillId="0" borderId="40" xfId="0" applyNumberFormat="1" applyFont="1" applyFill="1" applyBorder="1" applyAlignment="1" applyProtection="1">
      <alignment horizontal="center"/>
      <protection locked="0"/>
    </xf>
    <xf numFmtId="0" fontId="134" fillId="26" borderId="40" xfId="508" applyNumberFormat="1" applyFont="1" applyFill="1" applyBorder="1" applyAlignment="1" applyProtection="1">
      <alignment horizontal="center"/>
      <protection locked="0"/>
    </xf>
    <xf numFmtId="0" fontId="141" fillId="26" borderId="40" xfId="508" applyNumberFormat="1" applyFont="1" applyFill="1" applyBorder="1" applyAlignment="1" applyProtection="1">
      <alignment horizontal="center" wrapText="1"/>
      <protection locked="0"/>
    </xf>
    <xf numFmtId="0" fontId="134" fillId="26" borderId="40" xfId="533" applyNumberFormat="1" applyFont="1" applyFill="1" applyBorder="1" applyAlignment="1" applyProtection="1">
      <alignment horizontal="center" vertical="center"/>
      <protection locked="0"/>
    </xf>
    <xf numFmtId="0" fontId="134" fillId="26" borderId="40" xfId="508" applyFont="1" applyFill="1" applyBorder="1" applyAlignment="1" applyProtection="1">
      <alignment horizontal="center"/>
      <protection locked="0"/>
    </xf>
    <xf numFmtId="0" fontId="134" fillId="26" borderId="40" xfId="486" applyFont="1" applyFill="1" applyBorder="1" applyAlignment="1" applyProtection="1">
      <alignment horizontal="center"/>
      <protection locked="0"/>
    </xf>
    <xf numFmtId="0" fontId="134" fillId="26" borderId="40" xfId="486" applyNumberFormat="1" applyFont="1" applyFill="1" applyBorder="1" applyAlignment="1" applyProtection="1">
      <alignment horizontal="center"/>
      <protection locked="0"/>
    </xf>
    <xf numFmtId="0" fontId="141" fillId="26" borderId="40" xfId="508" applyFont="1" applyFill="1" applyBorder="1" applyAlignment="1" applyProtection="1">
      <alignment horizontal="center" wrapText="1"/>
      <protection locked="0"/>
    </xf>
    <xf numFmtId="0" fontId="134" fillId="89" borderId="40" xfId="508" applyNumberFormat="1" applyFont="1" applyFill="1" applyBorder="1" applyAlignment="1" applyProtection="1">
      <alignment horizontal="center"/>
      <protection locked="0"/>
    </xf>
    <xf numFmtId="2" fontId="140" fillId="0" borderId="40" xfId="595" applyNumberFormat="1" applyFont="1" applyFill="1" applyBorder="1" applyAlignment="1" applyProtection="1">
      <alignment horizontal="right" vertical="center"/>
    </xf>
    <xf numFmtId="2" fontId="135" fillId="0" borderId="40" xfId="595" applyNumberFormat="1" applyFont="1" applyFill="1" applyBorder="1" applyAlignment="1" applyProtection="1">
      <alignment horizontal="right" vertical="center"/>
    </xf>
    <xf numFmtId="2" fontId="134" fillId="0" borderId="40" xfId="595" applyNumberFormat="1" applyFont="1" applyFill="1" applyBorder="1" applyAlignment="1" applyProtection="1">
      <alignment horizontal="center" vertical="center"/>
    </xf>
    <xf numFmtId="2" fontId="134" fillId="0" borderId="40" xfId="595" applyNumberFormat="1" applyFont="1" applyFill="1" applyBorder="1" applyAlignment="1" applyProtection="1">
      <alignment horizontal="right" vertical="center"/>
    </xf>
    <xf numFmtId="49" fontId="143" fillId="26" borderId="41" xfId="0" applyNumberFormat="1" applyFont="1" applyFill="1" applyBorder="1" applyAlignment="1" applyProtection="1">
      <alignment horizontal="center"/>
      <protection locked="0"/>
    </xf>
    <xf numFmtId="173" fontId="144" fillId="0" borderId="0" xfId="0" applyNumberFormat="1" applyFont="1" applyAlignment="1">
      <alignment horizontal="center" vertical="center"/>
    </xf>
    <xf numFmtId="0" fontId="143" fillId="0" borderId="40" xfId="0" applyFont="1" applyFill="1" applyBorder="1" applyAlignment="1" applyProtection="1">
      <alignment horizontal="center" vertical="center"/>
      <protection locked="0"/>
    </xf>
    <xf numFmtId="14" fontId="143" fillId="0" borderId="40" xfId="0" applyNumberFormat="1" applyFont="1" applyFill="1" applyBorder="1" applyAlignment="1" applyProtection="1">
      <alignment horizontal="center" vertical="center" wrapText="1" readingOrder="1"/>
      <protection locked="0"/>
    </xf>
    <xf numFmtId="2" fontId="143" fillId="0" borderId="40" xfId="585" applyNumberFormat="1" applyFont="1" applyFill="1" applyBorder="1" applyAlignment="1" applyProtection="1">
      <alignment vertical="center" wrapText="1"/>
      <protection locked="0"/>
    </xf>
    <xf numFmtId="7" fontId="145" fillId="0" borderId="40" xfId="13" applyNumberFormat="1" applyFont="1" applyFill="1" applyBorder="1" applyAlignment="1" applyProtection="1">
      <alignment horizontal="center" vertical="center" wrapText="1"/>
      <protection locked="0"/>
    </xf>
    <xf numFmtId="173" fontId="143" fillId="26" borderId="40" xfId="0" applyNumberFormat="1" applyFont="1" applyFill="1" applyBorder="1" applyAlignment="1" applyProtection="1">
      <alignment horizontal="center" vertical="center"/>
      <protection locked="0"/>
    </xf>
    <xf numFmtId="0" fontId="143" fillId="26" borderId="40" xfId="0" applyFont="1" applyFill="1" applyBorder="1" applyAlignment="1" applyProtection="1">
      <alignment horizontal="center" vertical="center"/>
      <protection locked="0"/>
    </xf>
    <xf numFmtId="0" fontId="145" fillId="26" borderId="40" xfId="13" applyFont="1" applyFill="1" applyBorder="1" applyAlignment="1" applyProtection="1">
      <alignment horizontal="center"/>
      <protection locked="0"/>
    </xf>
    <xf numFmtId="49" fontId="143" fillId="26" borderId="40" xfId="528" applyNumberFormat="1" applyFont="1" applyFill="1" applyBorder="1" applyAlignment="1" applyProtection="1">
      <alignment horizontal="center" vertical="center" wrapText="1" readingOrder="1"/>
      <protection locked="0"/>
    </xf>
    <xf numFmtId="2" fontId="143" fillId="26" borderId="40" xfId="585" applyNumberFormat="1" applyFont="1" applyFill="1" applyBorder="1" applyAlignment="1" applyProtection="1">
      <alignment vertical="center" wrapText="1"/>
      <protection locked="0"/>
    </xf>
    <xf numFmtId="7" fontId="145" fillId="26" borderId="40" xfId="13" applyNumberFormat="1" applyFont="1" applyFill="1" applyBorder="1" applyAlignment="1" applyProtection="1">
      <alignment horizontal="center" vertical="center" wrapText="1"/>
      <protection locked="0"/>
    </xf>
    <xf numFmtId="49" fontId="143" fillId="0" borderId="40" xfId="0" applyNumberFormat="1" applyFont="1" applyFill="1" applyBorder="1" applyAlignment="1" applyProtection="1">
      <alignment horizontal="center" vertical="center"/>
      <protection locked="0"/>
    </xf>
    <xf numFmtId="0" fontId="145" fillId="0" borderId="40" xfId="13" applyFont="1" applyBorder="1" applyAlignment="1" applyProtection="1">
      <alignment horizontal="center" vertical="center"/>
      <protection locked="0"/>
    </xf>
    <xf numFmtId="173" fontId="143" fillId="0" borderId="40" xfId="0" applyNumberFormat="1" applyFont="1" applyFill="1" applyBorder="1" applyAlignment="1" applyProtection="1">
      <alignment horizontal="center" vertical="center"/>
      <protection locked="0"/>
    </xf>
    <xf numFmtId="49" fontId="143" fillId="0" borderId="40" xfId="528" applyNumberFormat="1" applyFont="1" applyFill="1" applyBorder="1" applyAlignment="1" applyProtection="1">
      <alignment horizontal="center" vertical="center" wrapText="1" readingOrder="1"/>
      <protection locked="0"/>
    </xf>
    <xf numFmtId="49" fontId="143" fillId="0" borderId="40" xfId="596" applyNumberFormat="1" applyFont="1" applyFill="1" applyBorder="1" applyAlignment="1" applyProtection="1">
      <alignment horizontal="center" vertical="center" wrapText="1"/>
      <protection locked="0"/>
    </xf>
    <xf numFmtId="0" fontId="143" fillId="0" borderId="40" xfId="0" applyFont="1" applyFill="1" applyBorder="1" applyAlignment="1" applyProtection="1">
      <alignment horizontal="center"/>
      <protection locked="0"/>
    </xf>
    <xf numFmtId="14" fontId="143" fillId="0" borderId="40" xfId="597" applyNumberFormat="1" applyFont="1" applyFill="1" applyBorder="1" applyAlignment="1" applyProtection="1">
      <alignment horizontal="center" vertical="center" wrapText="1" readingOrder="1"/>
      <protection locked="0"/>
    </xf>
    <xf numFmtId="2" fontId="143" fillId="0" borderId="40" xfId="585" applyNumberFormat="1" applyFont="1" applyFill="1" applyBorder="1" applyAlignment="1" applyProtection="1">
      <alignment horizontal="right" vertical="center" wrapText="1"/>
      <protection locked="0"/>
    </xf>
    <xf numFmtId="0" fontId="143" fillId="0" borderId="40" xfId="0" applyFont="1" applyFill="1" applyBorder="1" applyAlignment="1" applyProtection="1">
      <alignment horizontal="center" vertical="justify"/>
      <protection locked="0"/>
    </xf>
    <xf numFmtId="173" fontId="146" fillId="26" borderId="40" xfId="0" applyNumberFormat="1" applyFont="1" applyFill="1" applyBorder="1" applyAlignment="1" applyProtection="1">
      <alignment horizontal="center" vertical="center"/>
      <protection locked="0"/>
    </xf>
    <xf numFmtId="173" fontId="143" fillId="0" borderId="40" xfId="0" applyNumberFormat="1" applyFont="1" applyBorder="1" applyAlignment="1" applyProtection="1">
      <alignment horizontal="center" vertical="center"/>
      <protection locked="0"/>
    </xf>
    <xf numFmtId="49" fontId="143" fillId="0" borderId="40" xfId="0" applyNumberFormat="1" applyFont="1" applyBorder="1" applyAlignment="1" applyProtection="1">
      <alignment horizontal="center" vertical="center"/>
      <protection locked="0"/>
    </xf>
    <xf numFmtId="0" fontId="145" fillId="0" borderId="40" xfId="13" applyFont="1" applyBorder="1" applyAlignment="1" applyProtection="1">
      <alignment horizontal="center"/>
      <protection locked="0"/>
    </xf>
    <xf numFmtId="0" fontId="145" fillId="0" borderId="42" xfId="13" applyFont="1" applyBorder="1" applyAlignment="1" applyProtection="1">
      <alignment horizontal="center"/>
      <protection locked="0"/>
    </xf>
    <xf numFmtId="0" fontId="145" fillId="26" borderId="40" xfId="13" applyFont="1" applyFill="1" applyBorder="1" applyAlignment="1" applyProtection="1">
      <alignment horizontal="center" vertical="center"/>
      <protection locked="0"/>
    </xf>
    <xf numFmtId="0" fontId="147" fillId="0" borderId="40" xfId="528" applyFont="1" applyFill="1" applyBorder="1" applyAlignment="1" applyProtection="1">
      <alignment horizontal="center" vertical="center"/>
      <protection locked="0"/>
    </xf>
    <xf numFmtId="49" fontId="143" fillId="0" borderId="40" xfId="0" applyNumberFormat="1" applyFont="1" applyFill="1" applyBorder="1" applyAlignment="1" applyProtection="1">
      <alignment horizontal="center" vertical="center" readingOrder="1"/>
      <protection locked="0"/>
    </xf>
    <xf numFmtId="49" fontId="145" fillId="0" borderId="40" xfId="13" applyNumberFormat="1" applyFont="1" applyFill="1" applyBorder="1" applyAlignment="1" applyProtection="1">
      <alignment horizontal="center" vertical="center"/>
      <protection locked="0"/>
    </xf>
    <xf numFmtId="0" fontId="145" fillId="0" borderId="40" xfId="13" applyFont="1" applyBorder="1" applyAlignment="1">
      <alignment horizontal="center"/>
    </xf>
    <xf numFmtId="0" fontId="145" fillId="0" borderId="40" xfId="13" applyFont="1" applyBorder="1" applyAlignment="1">
      <alignment horizontal="justify" vertical="center"/>
    </xf>
    <xf numFmtId="49" fontId="145" fillId="0" borderId="40" xfId="13" applyNumberFormat="1" applyFont="1" applyBorder="1" applyAlignment="1" applyProtection="1">
      <alignment horizontal="center"/>
      <protection locked="0"/>
    </xf>
    <xf numFmtId="0" fontId="51" fillId="26" borderId="40" xfId="13" applyFill="1" applyBorder="1" applyProtection="1">
      <protection locked="0"/>
    </xf>
    <xf numFmtId="49" fontId="147" fillId="0" borderId="40" xfId="528" applyNumberFormat="1" applyFont="1" applyFill="1" applyBorder="1" applyAlignment="1" applyProtection="1">
      <alignment horizontal="center" vertical="center" wrapText="1"/>
      <protection locked="0"/>
    </xf>
    <xf numFmtId="49" fontId="148" fillId="0" borderId="40" xfId="0" applyNumberFormat="1" applyFont="1" applyFill="1" applyBorder="1" applyAlignment="1" applyProtection="1">
      <alignment horizontal="center" vertical="center"/>
      <protection locked="0"/>
    </xf>
    <xf numFmtId="0" fontId="0" fillId="0" borderId="40" xfId="0" applyBorder="1" applyProtection="1">
      <protection locked="0"/>
    </xf>
    <xf numFmtId="49" fontId="135" fillId="0" borderId="40" xfId="0" applyNumberFormat="1" applyFont="1" applyBorder="1" applyAlignment="1">
      <alignment horizontal="center" vertical="justify"/>
    </xf>
    <xf numFmtId="0" fontId="135" fillId="0" borderId="40" xfId="0" applyFont="1" applyBorder="1" applyAlignment="1">
      <alignment horizontal="center" vertical="justify"/>
    </xf>
    <xf numFmtId="14" fontId="135" fillId="0" borderId="7" xfId="0" applyNumberFormat="1" applyFont="1" applyBorder="1" applyAlignment="1">
      <alignment horizontal="center" vertical="center"/>
    </xf>
    <xf numFmtId="164" fontId="135" fillId="0" borderId="40" xfId="10" applyNumberFormat="1" applyFont="1" applyFill="1" applyBorder="1" applyAlignment="1">
      <alignment horizontal="right" vertical="center"/>
    </xf>
    <xf numFmtId="0" fontId="51" fillId="0" borderId="40" xfId="13" applyBorder="1"/>
    <xf numFmtId="49" fontId="135" fillId="0" borderId="40" xfId="0" applyNumberFormat="1" applyFont="1" applyBorder="1" applyAlignment="1">
      <alignment horizontal="center" vertical="center"/>
    </xf>
    <xf numFmtId="0" fontId="135" fillId="0" borderId="40" xfId="0" applyFont="1" applyBorder="1" applyAlignment="1">
      <alignment horizontal="center" vertical="center"/>
    </xf>
    <xf numFmtId="2" fontId="134" fillId="0" borderId="40" xfId="585" applyNumberFormat="1" applyFont="1" applyFill="1" applyBorder="1" applyAlignment="1" applyProtection="1">
      <alignment vertical="center" wrapText="1"/>
      <protection locked="0"/>
    </xf>
    <xf numFmtId="173" fontId="134" fillId="0" borderId="40" xfId="0" applyNumberFormat="1" applyFont="1" applyFill="1" applyBorder="1" applyAlignment="1" applyProtection="1">
      <alignment horizontal="center" vertical="center"/>
      <protection locked="0"/>
    </xf>
    <xf numFmtId="0" fontId="134" fillId="0" borderId="40" xfId="0" applyFont="1" applyFill="1" applyBorder="1" applyAlignment="1" applyProtection="1">
      <alignment horizontal="center" vertical="center"/>
      <protection locked="0"/>
    </xf>
    <xf numFmtId="14" fontId="135" fillId="0" borderId="40" xfId="0" applyNumberFormat="1" applyFont="1" applyBorder="1" applyAlignment="1" applyProtection="1">
      <alignment horizontal="center" vertical="center"/>
      <protection locked="0"/>
    </xf>
    <xf numFmtId="0" fontId="51" fillId="0" borderId="40" xfId="13" applyBorder="1" applyProtection="1">
      <protection locked="0"/>
    </xf>
    <xf numFmtId="0" fontId="135" fillId="0" borderId="40" xfId="0" applyFont="1" applyFill="1" applyBorder="1" applyAlignment="1">
      <alignment horizontal="center" vertical="justify"/>
    </xf>
    <xf numFmtId="2" fontId="135" fillId="0" borderId="40" xfId="10" applyNumberFormat="1" applyFont="1" applyFill="1" applyBorder="1" applyAlignment="1">
      <alignment horizontal="right" vertical="center"/>
    </xf>
    <xf numFmtId="0" fontId="135" fillId="0" borderId="40" xfId="0" applyFont="1" applyFill="1" applyBorder="1" applyAlignment="1">
      <alignment horizontal="center" vertical="center"/>
    </xf>
    <xf numFmtId="2" fontId="135" fillId="0" borderId="40" xfId="0" applyNumberFormat="1" applyFont="1" applyBorder="1" applyAlignment="1">
      <alignment horizontal="right" vertical="center"/>
    </xf>
    <xf numFmtId="0" fontId="149" fillId="28" borderId="40" xfId="533" applyFont="1" applyFill="1" applyBorder="1" applyAlignment="1" applyProtection="1">
      <alignment horizontal="center" vertical="center" wrapText="1"/>
    </xf>
    <xf numFmtId="0" fontId="150" fillId="13" borderId="40" xfId="528" applyFont="1" applyFill="1" applyBorder="1" applyAlignment="1" applyProtection="1">
      <alignment horizontal="center" vertical="center" wrapText="1"/>
    </xf>
    <xf numFmtId="0" fontId="150" fillId="13" borderId="40" xfId="528" applyFont="1" applyFill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26" borderId="40" xfId="0" applyFont="1" applyFill="1" applyBorder="1" applyAlignment="1" applyProtection="1">
      <alignment horizontal="center" vertical="center"/>
      <protection locked="0"/>
    </xf>
    <xf numFmtId="14" fontId="3" fillId="26" borderId="7" xfId="0" applyNumberFormat="1" applyFont="1" applyFill="1" applyBorder="1" applyAlignment="1" applyProtection="1">
      <alignment horizontal="center" vertical="center" readingOrder="1"/>
      <protection locked="0"/>
    </xf>
    <xf numFmtId="0" fontId="3" fillId="26" borderId="7" xfId="0" applyFont="1" applyFill="1" applyBorder="1" applyAlignment="1" applyProtection="1">
      <alignment horizontal="center" vertical="justify"/>
      <protection locked="0"/>
    </xf>
    <xf numFmtId="2" fontId="3" fillId="26" borderId="40" xfId="10" applyNumberFormat="1" applyFont="1" applyFill="1" applyBorder="1" applyAlignment="1" applyProtection="1">
      <alignment vertical="center"/>
      <protection locked="0"/>
    </xf>
    <xf numFmtId="173" fontId="143" fillId="26" borderId="40" xfId="0" applyNumberFormat="1" applyFont="1" applyFill="1" applyBorder="1" applyAlignment="1" applyProtection="1">
      <alignment horizontal="center" vertical="justify"/>
      <protection locked="0"/>
    </xf>
    <xf numFmtId="14" fontId="3" fillId="0" borderId="7" xfId="0" applyNumberFormat="1" applyFont="1" applyBorder="1" applyAlignment="1" applyProtection="1">
      <alignment horizontal="center" vertical="center" readingOrder="1"/>
      <protection locked="0"/>
    </xf>
    <xf numFmtId="2" fontId="3" fillId="0" borderId="40" xfId="0" applyNumberFormat="1" applyFont="1" applyBorder="1" applyAlignment="1" applyProtection="1">
      <alignment vertical="center"/>
      <protection locked="0"/>
    </xf>
    <xf numFmtId="49" fontId="143" fillId="0" borderId="40" xfId="0" applyNumberFormat="1" applyFont="1" applyFill="1" applyBorder="1" applyAlignment="1" applyProtection="1">
      <alignment horizontal="center"/>
      <protection locked="0"/>
    </xf>
    <xf numFmtId="0" fontId="4" fillId="26" borderId="0" xfId="528" applyFill="1" applyAlignment="1" applyProtection="1">
      <alignment vertical="center"/>
      <protection locked="0"/>
    </xf>
    <xf numFmtId="173" fontId="3" fillId="0" borderId="40" xfId="0" applyNumberFormat="1" applyFont="1" applyFill="1" applyBorder="1" applyAlignment="1" applyProtection="1">
      <alignment horizontal="center" vertical="center"/>
      <protection locked="0"/>
    </xf>
    <xf numFmtId="14" fontId="3" fillId="0" borderId="40" xfId="0" applyNumberFormat="1" applyFont="1" applyBorder="1" applyAlignment="1" applyProtection="1">
      <alignment horizontal="center" vertical="center" readingOrder="1"/>
      <protection locked="0"/>
    </xf>
    <xf numFmtId="14" fontId="3" fillId="0" borderId="40" xfId="0" applyNumberFormat="1" applyFont="1" applyBorder="1" applyAlignment="1" applyProtection="1">
      <alignment horizontal="center" vertical="center"/>
      <protection locked="0"/>
    </xf>
    <xf numFmtId="0" fontId="145" fillId="0" borderId="40" xfId="13" applyFont="1" applyBorder="1" applyAlignment="1" applyProtection="1">
      <alignment horizontal="center" vertical="center" wrapText="1"/>
      <protection locked="0"/>
    </xf>
    <xf numFmtId="14" fontId="3" fillId="0" borderId="8" xfId="0" applyNumberFormat="1" applyFont="1" applyBorder="1" applyAlignment="1" applyProtection="1">
      <alignment horizontal="center" vertical="center" readingOrder="1"/>
      <protection locked="0"/>
    </xf>
    <xf numFmtId="2" fontId="3" fillId="0" borderId="40" xfId="10" applyNumberFormat="1" applyFont="1" applyFill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horizontal="center"/>
      <protection locked="0"/>
    </xf>
    <xf numFmtId="173" fontId="143" fillId="0" borderId="40" xfId="0" applyNumberFormat="1" applyFont="1" applyFill="1" applyBorder="1" applyAlignment="1" applyProtection="1">
      <alignment horizontal="center"/>
      <protection locked="0"/>
    </xf>
    <xf numFmtId="14" fontId="3" fillId="0" borderId="8" xfId="0" applyNumberFormat="1" applyFont="1" applyBorder="1" applyAlignment="1" applyProtection="1">
      <alignment horizontal="center"/>
      <protection locked="0"/>
    </xf>
    <xf numFmtId="14" fontId="3" fillId="0" borderId="7" xfId="0" applyNumberFormat="1" applyFont="1" applyBorder="1" applyAlignment="1" applyProtection="1">
      <alignment horizontal="center"/>
      <protection locked="0"/>
    </xf>
    <xf numFmtId="2" fontId="3" fillId="0" borderId="40" xfId="0" applyNumberFormat="1" applyFont="1" applyBorder="1" applyAlignment="1" applyProtection="1">
      <protection locked="0"/>
    </xf>
    <xf numFmtId="0" fontId="145" fillId="0" borderId="40" xfId="13" applyFont="1" applyBorder="1" applyAlignment="1" applyProtection="1">
      <alignment horizontal="center" wrapText="1"/>
      <protection locked="0"/>
    </xf>
    <xf numFmtId="173" fontId="143" fillId="0" borderId="40" xfId="0" applyNumberFormat="1" applyFont="1" applyFill="1" applyBorder="1" applyAlignment="1" applyProtection="1">
      <alignment horizontal="center" vertical="justify"/>
      <protection locked="0"/>
    </xf>
    <xf numFmtId="0" fontId="3" fillId="0" borderId="40" xfId="0" applyFont="1" applyBorder="1" applyAlignment="1" applyProtection="1">
      <alignment horizontal="center" vertical="justify"/>
      <protection locked="0"/>
    </xf>
    <xf numFmtId="0" fontId="3" fillId="0" borderId="7" xfId="0" applyFont="1" applyBorder="1" applyAlignment="1" applyProtection="1">
      <alignment horizontal="center" vertical="justify"/>
      <protection locked="0"/>
    </xf>
    <xf numFmtId="0" fontId="3" fillId="0" borderId="6" xfId="0" applyFont="1" applyBorder="1" applyAlignment="1" applyProtection="1">
      <alignment horizontal="center" vertical="justify"/>
      <protection locked="0"/>
    </xf>
    <xf numFmtId="2" fontId="3" fillId="0" borderId="42" xfId="10" applyNumberFormat="1" applyFont="1" applyFill="1" applyBorder="1" applyAlignment="1" applyProtection="1">
      <alignment vertical="center"/>
      <protection locked="0"/>
    </xf>
    <xf numFmtId="14" fontId="3" fillId="26" borderId="8" xfId="0" applyNumberFormat="1" applyFont="1" applyFill="1" applyBorder="1" applyAlignment="1" applyProtection="1">
      <alignment horizontal="center" vertical="center" readingOrder="1"/>
      <protection locked="0"/>
    </xf>
    <xf numFmtId="2" fontId="3" fillId="26" borderId="42" xfId="10" applyNumberFormat="1" applyFont="1" applyFill="1" applyBorder="1" applyAlignment="1" applyProtection="1">
      <alignment vertical="center"/>
      <protection locked="0"/>
    </xf>
    <xf numFmtId="49" fontId="3" fillId="0" borderId="40" xfId="0" applyNumberFormat="1" applyFont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40" xfId="0" applyFont="1" applyBorder="1" applyAlignment="1" applyProtection="1">
      <alignment horizontal="justify" vertical="center"/>
      <protection locked="0"/>
    </xf>
    <xf numFmtId="2" fontId="3" fillId="0" borderId="40" xfId="0" applyNumberFormat="1" applyFont="1" applyBorder="1" applyAlignment="1">
      <alignment horizontal="right" vertical="center"/>
    </xf>
    <xf numFmtId="49" fontId="3" fillId="0" borderId="40" xfId="0" applyNumberFormat="1" applyFont="1" applyBorder="1" applyAlignment="1" applyProtection="1">
      <alignment horizontal="center"/>
      <protection locked="0"/>
    </xf>
    <xf numFmtId="49" fontId="3" fillId="0" borderId="40" xfId="0" applyNumberFormat="1" applyFont="1" applyBorder="1" applyProtection="1">
      <protection locked="0"/>
    </xf>
    <xf numFmtId="49" fontId="3" fillId="0" borderId="40" xfId="0" applyNumberFormat="1" applyFont="1" applyBorder="1" applyAlignment="1" applyProtection="1">
      <alignment horizontal="right"/>
      <protection locked="0"/>
    </xf>
    <xf numFmtId="49" fontId="3" fillId="26" borderId="40" xfId="0" applyNumberFormat="1" applyFont="1" applyFill="1" applyBorder="1" applyAlignment="1" applyProtection="1">
      <alignment horizontal="center"/>
      <protection locked="0"/>
    </xf>
    <xf numFmtId="0" fontId="3" fillId="26" borderId="40" xfId="0" applyFont="1" applyFill="1" applyBorder="1" applyAlignment="1" applyProtection="1">
      <alignment horizontal="center"/>
      <protection locked="0"/>
    </xf>
    <xf numFmtId="14" fontId="3" fillId="26" borderId="40" xfId="0" applyNumberFormat="1" applyFont="1" applyFill="1" applyBorder="1" applyAlignment="1" applyProtection="1">
      <alignment horizontal="center" readingOrder="1"/>
      <protection locked="0"/>
    </xf>
    <xf numFmtId="0" fontId="3" fillId="26" borderId="40" xfId="0" applyFont="1" applyFill="1" applyBorder="1" applyProtection="1">
      <protection locked="0"/>
    </xf>
    <xf numFmtId="49" fontId="3" fillId="26" borderId="40" xfId="0" applyNumberFormat="1" applyFont="1" applyFill="1" applyBorder="1" applyAlignment="1" applyProtection="1">
      <alignment horizontal="right"/>
      <protection locked="0"/>
    </xf>
    <xf numFmtId="0" fontId="4" fillId="0" borderId="0" xfId="528" applyAlignment="1" applyProtection="1">
      <alignment horizontal="center" vertical="center"/>
      <protection locked="0"/>
    </xf>
    <xf numFmtId="0" fontId="151" fillId="0" borderId="40" xfId="0" applyFont="1" applyBorder="1" applyAlignment="1" applyProtection="1">
      <alignment horizontal="center"/>
      <protection locked="0"/>
    </xf>
    <xf numFmtId="0" fontId="151" fillId="0" borderId="40" xfId="0" applyFont="1" applyBorder="1" applyAlignment="1" applyProtection="1">
      <alignment horizontal="center" vertical="center"/>
      <protection locked="0"/>
    </xf>
    <xf numFmtId="14" fontId="0" fillId="0" borderId="40" xfId="0" applyNumberFormat="1" applyBorder="1" applyAlignment="1" applyProtection="1">
      <alignment horizontal="center"/>
      <protection locked="0"/>
    </xf>
    <xf numFmtId="3" fontId="0" fillId="0" borderId="40" xfId="0" applyNumberForma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44" fontId="0" fillId="0" borderId="40" xfId="0" applyNumberFormat="1" applyBorder="1" applyAlignment="1" applyProtection="1">
      <alignment horizontal="right"/>
      <protection locked="0"/>
    </xf>
    <xf numFmtId="49" fontId="134" fillId="26" borderId="41" xfId="0" applyNumberFormat="1" applyFont="1" applyFill="1" applyBorder="1" applyAlignment="1" applyProtection="1">
      <alignment horizontal="center"/>
      <protection locked="0"/>
    </xf>
    <xf numFmtId="0" fontId="135" fillId="0" borderId="40" xfId="0" applyFont="1" applyBorder="1" applyAlignment="1" applyProtection="1">
      <alignment horizontal="center" vertical="center"/>
      <protection locked="0"/>
    </xf>
    <xf numFmtId="2" fontId="140" fillId="0" borderId="40" xfId="533" applyNumberFormat="1" applyFont="1" applyFill="1" applyBorder="1" applyAlignment="1" applyProtection="1">
      <alignment horizontal="center" vertical="center"/>
      <protection locked="0"/>
    </xf>
    <xf numFmtId="49" fontId="140" fillId="0" borderId="40" xfId="533" applyNumberFormat="1" applyFont="1" applyFill="1" applyBorder="1" applyAlignment="1" applyProtection="1">
      <alignment horizontal="center" vertical="center"/>
      <protection locked="0"/>
    </xf>
    <xf numFmtId="2" fontId="140" fillId="0" borderId="40" xfId="587" applyNumberFormat="1" applyFont="1" applyFill="1" applyBorder="1" applyAlignment="1" applyProtection="1">
      <alignment horizontal="right" vertical="center"/>
    </xf>
    <xf numFmtId="49" fontId="134" fillId="26" borderId="40" xfId="533" applyNumberFormat="1" applyFont="1" applyFill="1" applyBorder="1" applyAlignment="1" applyProtection="1">
      <alignment horizontal="center" vertical="center"/>
      <protection locked="0"/>
    </xf>
    <xf numFmtId="49" fontId="134" fillId="0" borderId="40" xfId="533" applyNumberFormat="1" applyFont="1" applyFill="1" applyBorder="1" applyAlignment="1" applyProtection="1">
      <alignment horizontal="center" vertical="center"/>
      <protection locked="0"/>
    </xf>
    <xf numFmtId="2" fontId="134" fillId="0" borderId="40" xfId="587" applyNumberFormat="1" applyFont="1" applyFill="1" applyBorder="1" applyAlignment="1" applyProtection="1">
      <alignment horizontal="right" vertical="center"/>
    </xf>
    <xf numFmtId="164" fontId="140" fillId="0" borderId="40" xfId="587" applyNumberFormat="1" applyFont="1" applyFill="1" applyBorder="1" applyAlignment="1" applyProtection="1">
      <alignment horizontal="right" vertical="center"/>
    </xf>
    <xf numFmtId="164" fontId="134" fillId="0" borderId="40" xfId="587" applyNumberFormat="1" applyFont="1" applyFill="1" applyBorder="1" applyAlignment="1" applyProtection="1">
      <alignment horizontal="right" vertical="center"/>
    </xf>
    <xf numFmtId="0" fontId="23" fillId="28" borderId="40" xfId="533" applyFont="1" applyFill="1" applyBorder="1" applyAlignment="1" applyProtection="1">
      <alignment horizontal="center" vertical="center" wrapText="1"/>
    </xf>
    <xf numFmtId="0" fontId="23" fillId="28" borderId="40" xfId="533" applyFont="1" applyFill="1" applyBorder="1" applyAlignment="1" applyProtection="1">
      <alignment horizontal="center" vertical="center"/>
    </xf>
    <xf numFmtId="170" fontId="23" fillId="28" borderId="40" xfId="587" applyNumberFormat="1" applyFont="1" applyFill="1" applyBorder="1" applyAlignment="1" applyProtection="1">
      <alignment horizontal="center" vertical="center" wrapText="1"/>
    </xf>
    <xf numFmtId="0" fontId="55" fillId="26" borderId="40" xfId="486" applyFont="1" applyFill="1" applyBorder="1" applyProtection="1">
      <protection locked="0"/>
    </xf>
    <xf numFmtId="49" fontId="57" fillId="26" borderId="40" xfId="533" applyNumberFormat="1" applyFont="1" applyFill="1" applyBorder="1" applyAlignment="1" applyProtection="1">
      <alignment horizontal="center" vertical="center"/>
      <protection locked="0"/>
    </xf>
    <xf numFmtId="0" fontId="57" fillId="26" borderId="40" xfId="533" applyFont="1" applyFill="1" applyBorder="1" applyAlignment="1" applyProtection="1">
      <alignment horizontal="center" vertical="center"/>
      <protection locked="0"/>
    </xf>
    <xf numFmtId="0" fontId="55" fillId="26" borderId="40" xfId="486" applyFont="1" applyFill="1" applyBorder="1" applyAlignment="1" applyProtection="1">
      <alignment horizontal="left"/>
      <protection locked="0"/>
    </xf>
    <xf numFmtId="0" fontId="55" fillId="26" borderId="40" xfId="486" applyFont="1" applyFill="1" applyBorder="1" applyAlignment="1" applyProtection="1">
      <alignment horizontal="center"/>
      <protection locked="0"/>
    </xf>
    <xf numFmtId="0" fontId="59" fillId="0" borderId="40" xfId="508" applyFont="1" applyBorder="1" applyAlignment="1" applyProtection="1">
      <alignment horizontal="center" wrapText="1"/>
      <protection locked="0"/>
    </xf>
    <xf numFmtId="0" fontId="55" fillId="0" borderId="40" xfId="486" applyFont="1" applyBorder="1" applyAlignment="1" applyProtection="1">
      <alignment horizontal="center"/>
      <protection locked="0"/>
    </xf>
    <xf numFmtId="0" fontId="60" fillId="0" borderId="40" xfId="508" applyFont="1" applyBorder="1" applyAlignment="1" applyProtection="1">
      <alignment horizontal="center" wrapText="1"/>
      <protection locked="0"/>
    </xf>
    <xf numFmtId="0" fontId="58" fillId="90" borderId="0" xfId="533" applyFont="1" applyFill="1" applyBorder="1" applyAlignment="1" applyProtection="1">
      <alignment vertical="center"/>
      <protection locked="0"/>
    </xf>
    <xf numFmtId="1" fontId="58" fillId="90" borderId="0" xfId="533" applyNumberFormat="1" applyFont="1" applyFill="1" applyBorder="1" applyAlignment="1" applyProtection="1">
      <alignment horizontal="center" vertical="center"/>
      <protection locked="0"/>
    </xf>
    <xf numFmtId="0" fontId="134" fillId="0" borderId="40" xfId="0" applyFont="1" applyBorder="1" applyAlignment="1" applyProtection="1">
      <alignment horizontal="center" vertical="center"/>
      <protection locked="0"/>
    </xf>
    <xf numFmtId="49" fontId="57" fillId="0" borderId="40" xfId="533" applyNumberFormat="1" applyFont="1" applyFill="1" applyBorder="1" applyAlignment="1" applyProtection="1">
      <alignment horizontal="center" vertical="center"/>
      <protection locked="0"/>
    </xf>
    <xf numFmtId="164" fontId="57" fillId="0" borderId="40" xfId="587" applyNumberFormat="1" applyFont="1" applyFill="1" applyBorder="1" applyAlignment="1" applyProtection="1">
      <alignment horizontal="right" vertical="center"/>
    </xf>
    <xf numFmtId="1" fontId="23" fillId="28" borderId="40" xfId="533" applyNumberFormat="1" applyFont="1" applyFill="1" applyBorder="1" applyAlignment="1" applyProtection="1">
      <alignment horizontal="center" vertical="center" wrapText="1"/>
    </xf>
    <xf numFmtId="1" fontId="140" fillId="26" borderId="41" xfId="533" applyNumberFormat="1" applyFont="1" applyFill="1" applyBorder="1" applyAlignment="1" applyProtection="1">
      <alignment horizontal="center" vertical="center"/>
      <protection locked="0"/>
    </xf>
    <xf numFmtId="1" fontId="140" fillId="26" borderId="40" xfId="533" applyNumberFormat="1" applyFont="1" applyFill="1" applyBorder="1" applyAlignment="1" applyProtection="1">
      <alignment horizontal="center" vertical="center"/>
      <protection locked="0"/>
    </xf>
    <xf numFmtId="2" fontId="140" fillId="26" borderId="40" xfId="587" applyNumberFormat="1" applyFont="1" applyFill="1" applyBorder="1" applyAlignment="1" applyProtection="1">
      <alignment horizontal="center" vertical="center"/>
      <protection locked="0"/>
    </xf>
    <xf numFmtId="2" fontId="140" fillId="26" borderId="40" xfId="587" applyNumberFormat="1" applyFont="1" applyFill="1" applyBorder="1" applyAlignment="1" applyProtection="1">
      <alignment horizontal="right" vertical="center"/>
      <protection locked="0"/>
    </xf>
    <xf numFmtId="2" fontId="140" fillId="26" borderId="40" xfId="587" applyNumberFormat="1" applyFont="1" applyFill="1" applyBorder="1" applyAlignment="1" applyProtection="1">
      <alignment horizontal="right" vertical="center"/>
    </xf>
    <xf numFmtId="1" fontId="134" fillId="26" borderId="41" xfId="533" applyNumberFormat="1" applyFont="1" applyFill="1" applyBorder="1" applyAlignment="1" applyProtection="1">
      <alignment horizontal="center" vertical="center"/>
      <protection locked="0"/>
    </xf>
    <xf numFmtId="1" fontId="134" fillId="26" borderId="40" xfId="533" applyNumberFormat="1" applyFont="1" applyFill="1" applyBorder="1" applyAlignment="1" applyProtection="1">
      <alignment horizontal="center" vertical="center"/>
      <protection locked="0"/>
    </xf>
    <xf numFmtId="2" fontId="134" fillId="26" borderId="40" xfId="587" applyNumberFormat="1" applyFont="1" applyFill="1" applyBorder="1" applyAlignment="1" applyProtection="1">
      <alignment horizontal="center" vertical="center"/>
      <protection locked="0"/>
    </xf>
    <xf numFmtId="174" fontId="57" fillId="26" borderId="40" xfId="587" applyNumberFormat="1" applyFont="1" applyFill="1" applyBorder="1" applyAlignment="1" applyProtection="1">
      <alignment horizontal="right" vertical="center"/>
      <protection locked="0"/>
    </xf>
    <xf numFmtId="174" fontId="57" fillId="26" borderId="40" xfId="587" applyNumberFormat="1" applyFont="1" applyFill="1" applyBorder="1" applyAlignment="1" applyProtection="1">
      <alignment horizontal="right" vertical="center"/>
    </xf>
    <xf numFmtId="49" fontId="58" fillId="0" borderId="0" xfId="533" applyNumberFormat="1" applyFont="1" applyBorder="1" applyAlignment="1" applyProtection="1">
      <alignment horizontal="left" vertical="center"/>
      <protection locked="0"/>
    </xf>
    <xf numFmtId="0" fontId="55" fillId="0" borderId="0" xfId="533" applyFont="1" applyBorder="1" applyAlignment="1" applyProtection="1">
      <alignment horizontal="center" vertical="center"/>
      <protection locked="0"/>
    </xf>
    <xf numFmtId="0" fontId="55" fillId="90" borderId="0" xfId="533" applyFont="1" applyFill="1" applyBorder="1" applyAlignment="1" applyProtection="1">
      <alignment horizontal="center" vertical="center"/>
      <protection locked="0"/>
    </xf>
    <xf numFmtId="0" fontId="57" fillId="0" borderId="0" xfId="533" applyFont="1" applyFill="1" applyBorder="1" applyAlignment="1" applyProtection="1">
      <alignment horizontal="left" vertical="center"/>
      <protection locked="0"/>
    </xf>
    <xf numFmtId="0" fontId="57" fillId="0" borderId="0" xfId="533" applyFont="1" applyFill="1" applyBorder="1" applyAlignment="1" applyProtection="1">
      <alignment vertical="center"/>
      <protection locked="0"/>
    </xf>
    <xf numFmtId="0" fontId="57" fillId="0" borderId="0" xfId="508" applyFont="1" applyFill="1" applyProtection="1">
      <protection locked="0"/>
    </xf>
    <xf numFmtId="0" fontId="152" fillId="0" borderId="0" xfId="508" applyFont="1" applyFill="1" applyProtection="1">
      <protection locked="0"/>
    </xf>
    <xf numFmtId="0" fontId="55" fillId="0" borderId="0" xfId="486" applyFont="1" applyFill="1" applyProtection="1">
      <protection locked="0"/>
    </xf>
    <xf numFmtId="0" fontId="57" fillId="0" borderId="0" xfId="486" applyFont="1" applyFill="1" applyProtection="1">
      <protection locked="0"/>
    </xf>
    <xf numFmtId="0" fontId="55" fillId="0" borderId="0" xfId="486" applyFont="1" applyFill="1" applyBorder="1" applyProtection="1">
      <protection locked="0"/>
    </xf>
    <xf numFmtId="49" fontId="134" fillId="0" borderId="41" xfId="0" applyNumberFormat="1" applyFont="1" applyFill="1" applyBorder="1" applyAlignment="1" applyProtection="1">
      <alignment horizontal="center"/>
      <protection locked="0"/>
    </xf>
    <xf numFmtId="0" fontId="134" fillId="0" borderId="40" xfId="0" applyFont="1" applyFill="1" applyBorder="1" applyAlignment="1" applyProtection="1">
      <alignment horizontal="center"/>
      <protection locked="0"/>
    </xf>
    <xf numFmtId="0" fontId="134" fillId="0" borderId="40" xfId="508" applyNumberFormat="1" applyFont="1" applyFill="1" applyBorder="1" applyAlignment="1" applyProtection="1">
      <alignment horizontal="center" wrapText="1"/>
      <protection locked="0"/>
    </xf>
    <xf numFmtId="49" fontId="52" fillId="0" borderId="40" xfId="0" applyNumberFormat="1" applyFont="1" applyBorder="1" applyAlignment="1" applyProtection="1">
      <alignment horizontal="center" vertical="center"/>
      <protection locked="0"/>
    </xf>
    <xf numFmtId="0" fontId="52" fillId="0" borderId="40" xfId="0" applyNumberFormat="1" applyFont="1" applyBorder="1" applyAlignment="1" applyProtection="1">
      <alignment horizontal="center" vertical="center"/>
      <protection locked="0"/>
    </xf>
    <xf numFmtId="49" fontId="54" fillId="26" borderId="40" xfId="528" applyNumberFormat="1" applyFont="1" applyFill="1" applyBorder="1" applyAlignment="1" applyProtection="1">
      <alignment horizontal="center" vertical="center"/>
      <protection locked="0"/>
    </xf>
    <xf numFmtId="49" fontId="143" fillId="26" borderId="40" xfId="0" applyNumberFormat="1" applyFont="1" applyFill="1" applyBorder="1" applyAlignment="1" applyProtection="1">
      <alignment horizontal="center" vertical="center"/>
      <protection locked="0"/>
    </xf>
    <xf numFmtId="0" fontId="143" fillId="26" borderId="40" xfId="0" applyNumberFormat="1" applyFont="1" applyFill="1" applyBorder="1" applyAlignment="1" applyProtection="1">
      <alignment horizontal="center" vertical="center"/>
      <protection locked="0"/>
    </xf>
    <xf numFmtId="0" fontId="143" fillId="26" borderId="40" xfId="0" applyFont="1" applyFill="1" applyBorder="1" applyAlignment="1" applyProtection="1">
      <alignment horizontal="center"/>
      <protection locked="0"/>
    </xf>
    <xf numFmtId="0" fontId="143" fillId="26" borderId="43" xfId="0" applyFont="1" applyFill="1" applyBorder="1" applyAlignment="1" applyProtection="1">
      <alignment horizontal="center"/>
      <protection locked="0"/>
    </xf>
    <xf numFmtId="49" fontId="143" fillId="26" borderId="40" xfId="0" applyNumberFormat="1" applyFont="1" applyFill="1" applyBorder="1" applyAlignment="1" applyProtection="1">
      <alignment horizontal="center"/>
      <protection locked="0"/>
    </xf>
    <xf numFmtId="0" fontId="77" fillId="28" borderId="40" xfId="533" applyFont="1" applyFill="1" applyBorder="1" applyAlignment="1" applyProtection="1">
      <alignment horizontal="center" vertical="center" wrapText="1"/>
    </xf>
    <xf numFmtId="49" fontId="48" fillId="13" borderId="40" xfId="528" applyNumberFormat="1" applyFont="1" applyFill="1" applyBorder="1" applyAlignment="1" applyProtection="1">
      <alignment horizontal="center" vertical="center" wrapText="1"/>
    </xf>
    <xf numFmtId="0" fontId="48" fillId="13" borderId="40" xfId="528" applyNumberFormat="1" applyFont="1" applyFill="1" applyBorder="1" applyAlignment="1" applyProtection="1">
      <alignment horizontal="center" vertical="center" wrapText="1"/>
    </xf>
    <xf numFmtId="0" fontId="48" fillId="13" borderId="40" xfId="528" applyFont="1" applyFill="1" applyBorder="1" applyAlignment="1" applyProtection="1">
      <alignment horizontal="center" vertical="center" wrapText="1"/>
    </xf>
    <xf numFmtId="0" fontId="4" fillId="0" borderId="0" xfId="528" applyFont="1" applyAlignment="1" applyProtection="1">
      <alignment vertical="center"/>
      <protection locked="0"/>
    </xf>
    <xf numFmtId="0" fontId="2" fillId="0" borderId="0" xfId="0" applyFont="1"/>
    <xf numFmtId="49" fontId="143" fillId="0" borderId="40" xfId="580" applyNumberFormat="1" applyFont="1" applyBorder="1" applyAlignment="1" applyProtection="1">
      <alignment vertical="center" wrapText="1"/>
    </xf>
    <xf numFmtId="164" fontId="143" fillId="0" borderId="40" xfId="580" applyNumberFormat="1" applyFont="1" applyBorder="1" applyAlignment="1" applyProtection="1">
      <alignment vertical="center" wrapText="1"/>
    </xf>
    <xf numFmtId="49" fontId="4" fillId="0" borderId="0" xfId="528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4" fillId="0" borderId="0" xfId="528" applyFont="1" applyAlignment="1" applyProtection="1">
      <alignment horizontal="center" vertical="center"/>
      <protection locked="0"/>
    </xf>
    <xf numFmtId="0" fontId="143" fillId="0" borderId="40" xfId="0" applyNumberFormat="1" applyFont="1" applyBorder="1" applyAlignment="1" applyProtection="1">
      <alignment horizontal="center" vertical="center"/>
      <protection locked="0"/>
    </xf>
    <xf numFmtId="0" fontId="153" fillId="0" borderId="40" xfId="0" applyFont="1" applyBorder="1" applyAlignment="1">
      <alignment horizontal="right" vertical="center" wrapText="1"/>
    </xf>
    <xf numFmtId="0" fontId="153" fillId="0" borderId="40" xfId="0" applyFont="1" applyBorder="1" applyAlignment="1">
      <alignment vertical="center" wrapText="1"/>
    </xf>
    <xf numFmtId="0" fontId="153" fillId="0" borderId="0" xfId="0" applyFont="1" applyAlignment="1">
      <alignment vertical="center" wrapText="1"/>
    </xf>
    <xf numFmtId="0" fontId="153" fillId="0" borderId="0" xfId="0" applyFont="1" applyAlignment="1">
      <alignment horizontal="right" vertical="center" wrapText="1"/>
    </xf>
    <xf numFmtId="0" fontId="1" fillId="26" borderId="40" xfId="0" applyFont="1" applyFill="1" applyBorder="1" applyAlignment="1">
      <alignment horizontal="center"/>
    </xf>
    <xf numFmtId="49" fontId="1" fillId="26" borderId="40" xfId="0" applyNumberFormat="1" applyFont="1" applyFill="1" applyBorder="1" applyAlignment="1">
      <alignment horizontal="center"/>
    </xf>
    <xf numFmtId="2" fontId="143" fillId="0" borderId="40" xfId="580" applyNumberFormat="1" applyFont="1" applyBorder="1" applyAlignment="1" applyProtection="1">
      <alignment horizontal="right" vertical="center" wrapText="1"/>
    </xf>
    <xf numFmtId="44" fontId="0" fillId="0" borderId="40" xfId="10" applyFont="1" applyBorder="1" applyAlignment="1" applyProtection="1">
      <protection locked="0"/>
    </xf>
    <xf numFmtId="44" fontId="0" fillId="0" borderId="40" xfId="10" applyFont="1" applyBorder="1" applyProtection="1">
      <protection locked="0"/>
    </xf>
    <xf numFmtId="0" fontId="143" fillId="0" borderId="40" xfId="0" applyFont="1" applyBorder="1" applyAlignment="1" applyProtection="1">
      <alignment horizontal="center" vertical="center"/>
      <protection locked="0"/>
    </xf>
    <xf numFmtId="14" fontId="143" fillId="0" borderId="40" xfId="0" applyNumberFormat="1" applyFont="1" applyBorder="1" applyAlignment="1" applyProtection="1">
      <alignment horizontal="center" vertical="center"/>
      <protection locked="0"/>
    </xf>
    <xf numFmtId="2" fontId="143" fillId="0" borderId="40" xfId="10" applyNumberFormat="1" applyFont="1" applyBorder="1" applyAlignment="1" applyProtection="1">
      <alignment vertical="center"/>
      <protection locked="0"/>
    </xf>
    <xf numFmtId="0" fontId="143" fillId="0" borderId="40" xfId="0" applyFont="1" applyBorder="1" applyAlignment="1" applyProtection="1">
      <alignment horizontal="right" vertical="center"/>
      <protection locked="0"/>
    </xf>
    <xf numFmtId="0" fontId="135" fillId="0" borderId="40" xfId="0" applyFont="1" applyBorder="1" applyAlignment="1">
      <alignment horizontal="center" vertical="center" wrapText="1"/>
    </xf>
    <xf numFmtId="14" fontId="135" fillId="0" borderId="40" xfId="0" applyNumberFormat="1" applyFont="1" applyBorder="1" applyAlignment="1">
      <alignment horizontal="center" vertical="center" wrapText="1"/>
    </xf>
    <xf numFmtId="173" fontId="135" fillId="0" borderId="40" xfId="0" applyNumberFormat="1" applyFont="1" applyBorder="1" applyAlignment="1">
      <alignment horizontal="center" vertical="center" wrapText="1"/>
    </xf>
    <xf numFmtId="168" fontId="5" fillId="0" borderId="5" xfId="503" applyNumberFormat="1" applyFont="1" applyBorder="1" applyAlignment="1" applyProtection="1">
      <alignment horizontal="center" vertical="center"/>
    </xf>
    <xf numFmtId="0" fontId="16" fillId="13" borderId="1" xfId="503" applyFont="1" applyFill="1" applyBorder="1" applyAlignment="1" applyProtection="1">
      <alignment horizontal="center" vertical="center"/>
    </xf>
    <xf numFmtId="168" fontId="5" fillId="0" borderId="15" xfId="503" applyNumberFormat="1" applyFont="1" applyBorder="1" applyAlignment="1" applyProtection="1">
      <alignment horizontal="center" vertical="center"/>
    </xf>
    <xf numFmtId="168" fontId="5" fillId="0" borderId="17" xfId="503" applyNumberFormat="1" applyFont="1" applyBorder="1" applyAlignment="1" applyProtection="1">
      <alignment horizontal="center" vertical="center"/>
    </xf>
    <xf numFmtId="168" fontId="25" fillId="0" borderId="15" xfId="503" applyNumberFormat="1" applyFont="1" applyBorder="1" applyAlignment="1" applyProtection="1">
      <alignment horizontal="center" vertical="center"/>
    </xf>
    <xf numFmtId="0" fontId="25" fillId="0" borderId="0" xfId="503" applyFont="1" applyBorder="1" applyAlignment="1" applyProtection="1">
      <alignment horizontal="center" vertical="center"/>
      <protection locked="0"/>
    </xf>
    <xf numFmtId="168" fontId="25" fillId="0" borderId="8" xfId="503" applyNumberFormat="1" applyFont="1" applyBorder="1" applyAlignment="1" applyProtection="1">
      <alignment horizontal="center" vertical="center" wrapText="1"/>
    </xf>
    <xf numFmtId="168" fontId="25" fillId="0" borderId="18" xfId="503" applyNumberFormat="1" applyFont="1" applyBorder="1" applyAlignment="1" applyProtection="1">
      <alignment horizontal="center" vertical="center" wrapText="1"/>
    </xf>
    <xf numFmtId="0" fontId="36" fillId="21" borderId="1" xfId="503" applyFont="1" applyFill="1" applyBorder="1" applyAlignment="1" applyProtection="1">
      <alignment horizontal="center" vertical="center"/>
    </xf>
    <xf numFmtId="168" fontId="136" fillId="26" borderId="2" xfId="594" applyNumberFormat="1" applyFont="1" applyFill="1" applyBorder="1" applyAlignment="1" applyProtection="1">
      <alignment horizontal="left" vertical="center" wrapText="1"/>
      <protection locked="0"/>
    </xf>
    <xf numFmtId="168" fontId="136" fillId="26" borderId="4" xfId="594" applyNumberFormat="1" applyFont="1" applyFill="1" applyBorder="1" applyAlignment="1" applyProtection="1">
      <alignment horizontal="left" vertical="center" wrapText="1"/>
      <protection locked="0"/>
    </xf>
    <xf numFmtId="0" fontId="16" fillId="21" borderId="5" xfId="503" applyFont="1" applyFill="1" applyBorder="1" applyAlignment="1" applyProtection="1">
      <alignment horizontal="center" vertical="center"/>
    </xf>
    <xf numFmtId="168" fontId="16" fillId="21" borderId="1" xfId="503" applyNumberFormat="1" applyFont="1" applyFill="1" applyBorder="1" applyAlignment="1" applyProtection="1">
      <alignment horizontal="left" vertical="center"/>
    </xf>
    <xf numFmtId="168" fontId="74" fillId="0" borderId="4" xfId="503" applyNumberFormat="1" applyFont="1" applyBorder="1" applyAlignment="1" applyProtection="1">
      <alignment horizontal="left" vertical="center"/>
    </xf>
    <xf numFmtId="165" fontId="85" fillId="0" borderId="2" xfId="555" applyNumberFormat="1" applyFont="1" applyBorder="1" applyAlignment="1" applyProtection="1">
      <alignment horizontal="center" vertical="center"/>
      <protection locked="0"/>
    </xf>
    <xf numFmtId="165" fontId="85" fillId="0" borderId="4" xfId="555" applyNumberFormat="1" applyFont="1" applyBorder="1" applyAlignment="1" applyProtection="1">
      <alignment horizontal="center" vertical="center"/>
      <protection locked="0"/>
    </xf>
    <xf numFmtId="168" fontId="76" fillId="0" borderId="4" xfId="503" applyNumberFormat="1" applyFont="1" applyBorder="1" applyAlignment="1" applyProtection="1">
      <alignment horizontal="left" vertical="center"/>
    </xf>
    <xf numFmtId="165" fontId="86" fillId="0" borderId="2" xfId="555" applyNumberFormat="1" applyFont="1" applyFill="1" applyBorder="1" applyAlignment="1" applyProtection="1">
      <alignment horizontal="center" vertical="center"/>
      <protection locked="0"/>
    </xf>
    <xf numFmtId="165" fontId="86" fillId="0" borderId="4" xfId="555" applyNumberFormat="1" applyFont="1" applyFill="1" applyBorder="1" applyAlignment="1" applyProtection="1">
      <alignment horizontal="center" vertical="center"/>
      <protection locked="0"/>
    </xf>
    <xf numFmtId="168" fontId="86" fillId="0" borderId="1" xfId="503" applyNumberFormat="1" applyFont="1" applyBorder="1" applyAlignment="1" applyProtection="1">
      <alignment horizontal="center" vertical="center"/>
      <protection locked="0"/>
    </xf>
    <xf numFmtId="168" fontId="87" fillId="0" borderId="1" xfId="503" applyNumberFormat="1" applyFont="1" applyBorder="1" applyAlignment="1" applyProtection="1">
      <alignment horizontal="center" vertical="center"/>
      <protection locked="0"/>
    </xf>
    <xf numFmtId="168" fontId="73" fillId="0" borderId="4" xfId="503" applyNumberFormat="1" applyFont="1" applyBorder="1" applyAlignment="1" applyProtection="1">
      <alignment horizontal="left" vertical="center"/>
    </xf>
    <xf numFmtId="168" fontId="88" fillId="0" borderId="1" xfId="503" applyNumberFormat="1" applyFont="1" applyBorder="1" applyAlignment="1" applyProtection="1">
      <alignment horizontal="center" vertical="center"/>
      <protection locked="0"/>
    </xf>
    <xf numFmtId="168" fontId="16" fillId="2" borderId="4" xfId="503" applyNumberFormat="1" applyFont="1" applyFill="1" applyBorder="1" applyAlignment="1" applyProtection="1">
      <alignment horizontal="left" vertical="center"/>
    </xf>
    <xf numFmtId="43" fontId="89" fillId="33" borderId="1" xfId="503" applyNumberFormat="1" applyFont="1" applyFill="1" applyBorder="1" applyAlignment="1" applyProtection="1">
      <alignment horizontal="center" vertical="center"/>
    </xf>
    <xf numFmtId="168" fontId="89" fillId="33" borderId="1" xfId="503" applyNumberFormat="1" applyFont="1" applyFill="1" applyBorder="1" applyAlignment="1" applyProtection="1">
      <alignment horizontal="center" vertical="center"/>
    </xf>
    <xf numFmtId="168" fontId="73" fillId="34" borderId="4" xfId="503" applyNumberFormat="1" applyFont="1" applyFill="1" applyBorder="1" applyAlignment="1" applyProtection="1">
      <alignment horizontal="left" vertical="center"/>
    </xf>
    <xf numFmtId="168" fontId="88" fillId="34" borderId="1" xfId="503" applyNumberFormat="1" applyFont="1" applyFill="1" applyBorder="1" applyAlignment="1" applyProtection="1">
      <alignment horizontal="center" vertical="center"/>
    </xf>
    <xf numFmtId="168" fontId="16" fillId="21" borderId="4" xfId="503" applyNumberFormat="1" applyFont="1" applyFill="1" applyBorder="1" applyAlignment="1" applyProtection="1">
      <alignment horizontal="left" vertical="center"/>
    </xf>
    <xf numFmtId="168" fontId="89" fillId="21" borderId="1" xfId="503" applyNumberFormat="1" applyFont="1" applyFill="1" applyBorder="1" applyAlignment="1" applyProtection="1">
      <alignment horizontal="center" vertical="center"/>
    </xf>
    <xf numFmtId="168" fontId="74" fillId="0" borderId="15" xfId="503" applyNumberFormat="1" applyFont="1" applyBorder="1" applyAlignment="1" applyProtection="1">
      <alignment horizontal="left" vertical="center"/>
    </xf>
    <xf numFmtId="0" fontId="89" fillId="21" borderId="1" xfId="503" applyFont="1" applyFill="1" applyBorder="1" applyAlignment="1" applyProtection="1">
      <alignment horizontal="center" vertical="center"/>
    </xf>
    <xf numFmtId="168" fontId="73" fillId="35" borderId="1" xfId="503" applyNumberFormat="1" applyFont="1" applyFill="1" applyBorder="1" applyAlignment="1" applyProtection="1">
      <alignment horizontal="left" vertical="center"/>
    </xf>
    <xf numFmtId="168" fontId="88" fillId="35" borderId="1" xfId="503" applyNumberFormat="1" applyFont="1" applyFill="1" applyBorder="1" applyAlignment="1" applyProtection="1">
      <alignment horizontal="center" vertical="center"/>
    </xf>
    <xf numFmtId="168" fontId="73" fillId="36" borderId="1" xfId="503" applyNumberFormat="1" applyFont="1" applyFill="1" applyBorder="1" applyAlignment="1" applyProtection="1">
      <alignment horizontal="left" vertical="center"/>
    </xf>
    <xf numFmtId="168" fontId="88" fillId="36" borderId="1" xfId="503" applyNumberFormat="1" applyFont="1" applyFill="1" applyBorder="1" applyAlignment="1" applyProtection="1">
      <alignment horizontal="center" vertical="center"/>
    </xf>
    <xf numFmtId="168" fontId="74" fillId="37" borderId="1" xfId="503" applyNumberFormat="1" applyFont="1" applyFill="1" applyBorder="1" applyAlignment="1" applyProtection="1">
      <alignment horizontal="left" vertical="center"/>
    </xf>
    <xf numFmtId="168" fontId="87" fillId="37" borderId="1" xfId="503" applyNumberFormat="1" applyFont="1" applyFill="1" applyBorder="1" applyAlignment="1" applyProtection="1">
      <alignment horizontal="center" vertical="center"/>
    </xf>
    <xf numFmtId="168" fontId="74" fillId="0" borderId="1" xfId="503" applyNumberFormat="1" applyFont="1" applyBorder="1" applyAlignment="1" applyProtection="1">
      <alignment horizontal="left" vertical="center"/>
    </xf>
    <xf numFmtId="168" fontId="87" fillId="0" borderId="1" xfId="503" applyNumberFormat="1" applyFont="1" applyBorder="1" applyAlignment="1" applyProtection="1">
      <alignment horizontal="center" vertical="center"/>
    </xf>
    <xf numFmtId="168" fontId="87" fillId="0" borderId="1" xfId="503" applyNumberFormat="1" applyFont="1" applyBorder="1" applyAlignment="1" applyProtection="1">
      <alignment horizontal="center" vertical="center" wrapText="1"/>
      <protection locked="0"/>
    </xf>
    <xf numFmtId="168" fontId="74" fillId="20" borderId="1" xfId="503" applyNumberFormat="1" applyFont="1" applyFill="1" applyBorder="1" applyAlignment="1" applyProtection="1">
      <alignment horizontal="left" vertical="center"/>
    </xf>
    <xf numFmtId="168" fontId="74" fillId="36" borderId="1" xfId="503" applyNumberFormat="1" applyFont="1" applyFill="1" applyBorder="1" applyAlignment="1" applyProtection="1">
      <alignment horizontal="left" vertical="center"/>
    </xf>
    <xf numFmtId="168" fontId="87" fillId="36" borderId="1" xfId="503" applyNumberFormat="1" applyFont="1" applyFill="1" applyBorder="1" applyAlignment="1" applyProtection="1">
      <alignment horizontal="center" vertical="center"/>
    </xf>
    <xf numFmtId="168" fontId="74" fillId="0" borderId="5" xfId="503" applyNumberFormat="1" applyFont="1" applyBorder="1" applyAlignment="1" applyProtection="1">
      <alignment horizontal="left" vertical="center"/>
    </xf>
    <xf numFmtId="0" fontId="74" fillId="0" borderId="20" xfId="503" applyFont="1" applyBorder="1" applyAlignment="1" applyProtection="1">
      <alignment horizontal="center" vertical="center"/>
    </xf>
    <xf numFmtId="0" fontId="50" fillId="0" borderId="0" xfId="503" applyBorder="1" applyAlignment="1" applyProtection="1">
      <alignment horizontal="center" vertical="center" wrapText="1"/>
    </xf>
    <xf numFmtId="0" fontId="74" fillId="0" borderId="17" xfId="503" applyFont="1" applyBorder="1" applyAlignment="1" applyProtection="1">
      <alignment horizontal="center" vertical="center"/>
    </xf>
    <xf numFmtId="0" fontId="90" fillId="0" borderId="9" xfId="503" applyFont="1" applyBorder="1" applyAlignment="1" applyProtection="1">
      <alignment horizontal="center" vertical="top" wrapText="1"/>
    </xf>
    <xf numFmtId="0" fontId="73" fillId="0" borderId="9" xfId="503" applyFont="1" applyBorder="1" applyAlignment="1" applyProtection="1">
      <alignment horizontal="center" vertical="top" wrapText="1"/>
    </xf>
    <xf numFmtId="0" fontId="73" fillId="0" borderId="18" xfId="503" applyFont="1" applyBorder="1" applyAlignment="1" applyProtection="1">
      <alignment horizontal="center" vertical="top" wrapText="1"/>
    </xf>
    <xf numFmtId="0" fontId="36" fillId="21" borderId="1" xfId="503" applyFont="1" applyFill="1" applyBorder="1" applyAlignment="1" applyProtection="1">
      <alignment horizontal="center" vertical="center" wrapText="1"/>
    </xf>
    <xf numFmtId="168" fontId="8" fillId="0" borderId="1" xfId="503" applyNumberFormat="1" applyFont="1" applyBorder="1" applyAlignment="1" applyProtection="1">
      <alignment horizontal="left" vertical="center" wrapText="1"/>
      <protection locked="0"/>
    </xf>
    <xf numFmtId="0" fontId="16" fillId="21" borderId="1" xfId="503" applyFont="1" applyFill="1" applyBorder="1" applyAlignment="1" applyProtection="1">
      <alignment horizontal="center" vertical="center"/>
    </xf>
    <xf numFmtId="168" fontId="16" fillId="2" borderId="1" xfId="503" applyNumberFormat="1" applyFont="1" applyFill="1" applyBorder="1" applyAlignment="1" applyProtection="1">
      <alignment horizontal="left" vertical="center"/>
    </xf>
    <xf numFmtId="168" fontId="89" fillId="2" borderId="1" xfId="503" applyNumberFormat="1" applyFont="1" applyFill="1" applyBorder="1" applyAlignment="1" applyProtection="1">
      <alignment horizontal="center" vertical="center"/>
    </xf>
    <xf numFmtId="168" fontId="74" fillId="20" borderId="1" xfId="503" applyNumberFormat="1" applyFont="1" applyFill="1" applyBorder="1" applyAlignment="1" applyProtection="1">
      <alignment vertical="center"/>
    </xf>
    <xf numFmtId="0" fontId="76" fillId="0" borderId="1" xfId="503" applyFont="1" applyBorder="1" applyAlignment="1" applyProtection="1">
      <alignment horizontal="left" vertical="center"/>
    </xf>
    <xf numFmtId="168" fontId="24" fillId="35" borderId="1" xfId="503" applyNumberFormat="1" applyFont="1" applyFill="1" applyBorder="1" applyAlignment="1" applyProtection="1">
      <alignment horizontal="left" vertical="center"/>
    </xf>
    <xf numFmtId="168" fontId="91" fillId="35" borderId="1" xfId="503" applyNumberFormat="1" applyFont="1" applyFill="1" applyBorder="1" applyAlignment="1" applyProtection="1">
      <alignment horizontal="center" vertical="center"/>
    </xf>
    <xf numFmtId="168" fontId="88" fillId="35" borderId="1" xfId="503" applyNumberFormat="1" applyFont="1" applyFill="1" applyBorder="1" applyAlignment="1" applyProtection="1">
      <alignment horizontal="center" vertical="center"/>
      <protection locked="0"/>
    </xf>
    <xf numFmtId="168" fontId="73" fillId="34" borderId="1" xfId="503" applyNumberFormat="1" applyFont="1" applyFill="1" applyBorder="1" applyAlignment="1" applyProtection="1">
      <alignment horizontal="left" vertical="center"/>
    </xf>
    <xf numFmtId="168" fontId="73" fillId="20" borderId="1" xfId="503" applyNumberFormat="1" applyFont="1" applyFill="1" applyBorder="1" applyAlignment="1" applyProtection="1">
      <alignment horizontal="left" vertical="center"/>
    </xf>
    <xf numFmtId="168" fontId="89" fillId="21" borderId="1" xfId="503" applyNumberFormat="1" applyFont="1" applyFill="1" applyBorder="1" applyAlignment="1" applyProtection="1">
      <alignment horizontal="center" vertical="center"/>
      <protection locked="0"/>
    </xf>
    <xf numFmtId="0" fontId="92" fillId="0" borderId="15" xfId="503" applyFont="1" applyBorder="1" applyAlignment="1" applyProtection="1">
      <alignment horizontal="center" vertical="center"/>
    </xf>
    <xf numFmtId="0" fontId="92" fillId="0" borderId="17" xfId="503" applyFont="1" applyBorder="1" applyAlignment="1" applyProtection="1">
      <alignment horizontal="center" vertical="center"/>
    </xf>
    <xf numFmtId="168" fontId="16" fillId="21" borderId="1" xfId="503" applyNumberFormat="1" applyFont="1" applyFill="1" applyBorder="1" applyAlignment="1" applyProtection="1">
      <alignment horizontal="center" vertical="center"/>
    </xf>
    <xf numFmtId="0" fontId="71" fillId="0" borderId="1" xfId="503" applyFont="1" applyBorder="1" applyAlignment="1" applyProtection="1">
      <alignment horizontal="left" vertical="center"/>
    </xf>
    <xf numFmtId="0" fontId="16" fillId="21" borderId="1" xfId="503" applyFont="1" applyFill="1" applyBorder="1" applyAlignment="1" applyProtection="1">
      <alignment horizontal="left" vertical="center"/>
    </xf>
    <xf numFmtId="0" fontId="50" fillId="0" borderId="21" xfId="503" applyBorder="1" applyAlignment="1" applyProtection="1">
      <alignment horizontal="center" vertical="center"/>
    </xf>
    <xf numFmtId="0" fontId="16" fillId="21" borderId="7" xfId="503" applyFont="1" applyFill="1" applyBorder="1" applyAlignment="1" applyProtection="1">
      <alignment horizontal="center" vertical="center"/>
    </xf>
    <xf numFmtId="168" fontId="16" fillId="21" borderId="7" xfId="503" applyNumberFormat="1" applyFont="1" applyFill="1" applyBorder="1" applyAlignment="1" applyProtection="1">
      <alignment horizontal="center" vertical="center"/>
    </xf>
    <xf numFmtId="0" fontId="74" fillId="0" borderId="1" xfId="503" applyFont="1" applyBorder="1" applyAlignment="1" applyProtection="1">
      <alignment horizontal="left" vertical="center" wrapText="1"/>
    </xf>
    <xf numFmtId="168" fontId="87" fillId="0" borderId="40" xfId="503" applyNumberFormat="1" applyFont="1" applyBorder="1" applyAlignment="1" applyProtection="1">
      <alignment horizontal="center" vertical="center" wrapText="1"/>
      <protection locked="0"/>
    </xf>
    <xf numFmtId="0" fontId="74" fillId="0" borderId="1" xfId="503" applyFont="1" applyBorder="1" applyAlignment="1" applyProtection="1">
      <alignment horizontal="left" vertical="center"/>
    </xf>
    <xf numFmtId="0" fontId="93" fillId="0" borderId="0" xfId="503" applyFont="1" applyBorder="1" applyAlignment="1" applyProtection="1">
      <alignment horizontal="left" vertical="center" wrapText="1"/>
    </xf>
    <xf numFmtId="0" fontId="50" fillId="0" borderId="5" xfId="503" applyBorder="1" applyAlignment="1" applyProtection="1">
      <alignment horizontal="center" vertical="center" wrapText="1"/>
    </xf>
    <xf numFmtId="0" fontId="50" fillId="0" borderId="6" xfId="503" applyBorder="1" applyAlignment="1" applyProtection="1">
      <alignment horizontal="center" vertical="center" wrapText="1"/>
    </xf>
    <xf numFmtId="0" fontId="50" fillId="0" borderId="7" xfId="503" applyBorder="1" applyAlignment="1" applyProtection="1">
      <alignment horizontal="center" vertical="center" wrapText="1"/>
    </xf>
    <xf numFmtId="49" fontId="10" fillId="20" borderId="1" xfId="503" applyNumberFormat="1" applyFont="1" applyFill="1" applyBorder="1" applyAlignment="1" applyProtection="1">
      <alignment horizontal="center" vertical="center" wrapText="1"/>
      <protection locked="0"/>
    </xf>
    <xf numFmtId="0" fontId="83" fillId="0" borderId="1" xfId="503" applyFont="1" applyBorder="1" applyAlignment="1" applyProtection="1">
      <alignment horizontal="center" vertical="center"/>
      <protection locked="0"/>
    </xf>
    <xf numFmtId="168" fontId="61" fillId="0" borderId="0" xfId="503" applyNumberFormat="1" applyFont="1" applyBorder="1" applyAlignment="1" applyProtection="1">
      <alignment horizontal="center" vertical="center" wrapText="1"/>
      <protection locked="0"/>
    </xf>
    <xf numFmtId="0" fontId="137" fillId="13" borderId="15" xfId="0" applyFont="1" applyFill="1" applyBorder="1" applyAlignment="1" applyProtection="1">
      <alignment horizontal="center" wrapText="1"/>
      <protection locked="0"/>
    </xf>
    <xf numFmtId="0" fontId="137" fillId="13" borderId="0" xfId="0" applyFont="1" applyFill="1" applyBorder="1" applyAlignment="1" applyProtection="1">
      <alignment horizontal="center" wrapText="1"/>
      <protection locked="0"/>
    </xf>
    <xf numFmtId="0" fontId="77" fillId="13" borderId="2" xfId="0" applyFont="1" applyFill="1" applyBorder="1" applyAlignment="1" applyProtection="1">
      <alignment horizontal="right" wrapText="1"/>
    </xf>
    <xf numFmtId="0" fontId="77" fillId="13" borderId="3" xfId="0" applyFont="1" applyFill="1" applyBorder="1" applyAlignment="1" applyProtection="1">
      <alignment horizontal="right" wrapText="1"/>
    </xf>
    <xf numFmtId="0" fontId="77" fillId="13" borderId="4" xfId="0" applyFont="1" applyFill="1" applyBorder="1" applyAlignment="1" applyProtection="1">
      <alignment horizontal="right" wrapText="1"/>
    </xf>
    <xf numFmtId="0" fontId="0" fillId="0" borderId="0" xfId="0" applyAlignment="1" applyProtection="1">
      <alignment horizontal="center" wrapText="1"/>
      <protection locked="0"/>
    </xf>
    <xf numFmtId="0" fontId="80" fillId="0" borderId="0" xfId="0" applyFont="1" applyAlignment="1" applyProtection="1">
      <alignment horizontal="center" wrapText="1"/>
      <protection locked="0"/>
    </xf>
    <xf numFmtId="0" fontId="77" fillId="13" borderId="1" xfId="0" applyFont="1" applyFill="1" applyBorder="1" applyAlignment="1" applyProtection="1">
      <alignment horizontal="center" wrapText="1"/>
    </xf>
    <xf numFmtId="0" fontId="82" fillId="0" borderId="1" xfId="0" applyFont="1" applyFill="1" applyBorder="1" applyAlignment="1" applyProtection="1">
      <alignment horizontal="left" wrapText="1"/>
    </xf>
    <xf numFmtId="0" fontId="77" fillId="13" borderId="1" xfId="0" applyFont="1" applyFill="1" applyBorder="1" applyAlignment="1" applyProtection="1">
      <alignment horizontal="left" wrapText="1"/>
    </xf>
    <xf numFmtId="0" fontId="78" fillId="13" borderId="1" xfId="0" applyFont="1" applyFill="1" applyBorder="1" applyAlignment="1" applyProtection="1">
      <alignment horizontal="right"/>
      <protection locked="0"/>
    </xf>
    <xf numFmtId="0" fontId="78" fillId="13" borderId="1" xfId="0" applyFont="1" applyFill="1" applyBorder="1" applyAlignment="1" applyProtection="1">
      <alignment horizontal="right"/>
    </xf>
    <xf numFmtId="0" fontId="22" fillId="0" borderId="0" xfId="0" applyFont="1" applyAlignment="1" applyProtection="1">
      <alignment horizontal="center" wrapText="1"/>
      <protection locked="0"/>
    </xf>
    <xf numFmtId="0" fontId="128" fillId="13" borderId="15" xfId="0" applyFont="1" applyFill="1" applyBorder="1" applyAlignment="1" applyProtection="1">
      <alignment horizontal="center" wrapText="1"/>
      <protection locked="0"/>
    </xf>
    <xf numFmtId="0" fontId="128" fillId="13" borderId="0" xfId="0" applyFont="1" applyFill="1" applyBorder="1" applyAlignment="1" applyProtection="1">
      <alignment horizontal="center" wrapText="1"/>
      <protection locked="0"/>
    </xf>
    <xf numFmtId="0" fontId="129" fillId="13" borderId="16" xfId="0" applyFont="1" applyFill="1" applyBorder="1" applyAlignment="1" applyProtection="1">
      <alignment horizontal="center" wrapText="1"/>
      <protection locked="0"/>
    </xf>
    <xf numFmtId="0" fontId="129" fillId="13" borderId="0" xfId="0" applyFont="1" applyFill="1" applyBorder="1" applyAlignment="1" applyProtection="1">
      <alignment horizontal="center" wrapText="1"/>
      <protection locked="0"/>
    </xf>
    <xf numFmtId="0" fontId="77" fillId="13" borderId="15" xfId="0" applyFont="1" applyFill="1" applyBorder="1" applyAlignment="1" applyProtection="1">
      <alignment horizontal="center" wrapText="1"/>
      <protection locked="0"/>
    </xf>
    <xf numFmtId="0" fontId="77" fillId="13" borderId="0" xfId="0" applyFont="1" applyFill="1" applyBorder="1" applyAlignment="1" applyProtection="1">
      <alignment horizontal="center" wrapText="1"/>
      <protection locked="0"/>
    </xf>
    <xf numFmtId="0" fontId="78" fillId="13" borderId="16" xfId="0" applyFont="1" applyFill="1" applyBorder="1" applyAlignment="1" applyProtection="1">
      <alignment horizontal="center" wrapText="1"/>
      <protection locked="0"/>
    </xf>
    <xf numFmtId="0" fontId="78" fillId="13" borderId="0" xfId="0" applyFont="1" applyFill="1" applyBorder="1" applyAlignment="1" applyProtection="1">
      <alignment horizontal="center" wrapText="1"/>
      <protection locked="0"/>
    </xf>
    <xf numFmtId="168" fontId="5" fillId="0" borderId="0" xfId="503" applyNumberFormat="1" applyFont="1" applyBorder="1" applyAlignment="1" applyProtection="1">
      <alignment horizontal="center" vertical="center"/>
      <protection locked="0"/>
    </xf>
    <xf numFmtId="168" fontId="25" fillId="0" borderId="0" xfId="503" applyNumberFormat="1" applyFont="1" applyBorder="1" applyAlignment="1" applyProtection="1">
      <alignment horizontal="center" vertical="center"/>
      <protection locked="0"/>
    </xf>
    <xf numFmtId="0" fontId="130" fillId="13" borderId="1" xfId="507" applyFont="1" applyFill="1" applyBorder="1" applyAlignment="1" applyProtection="1">
      <alignment horizontal="center" wrapText="1"/>
      <protection locked="0"/>
    </xf>
    <xf numFmtId="0" fontId="16" fillId="32" borderId="1" xfId="507" applyFont="1" applyFill="1" applyBorder="1" applyAlignment="1" applyProtection="1">
      <alignment horizontal="left" wrapText="1"/>
    </xf>
    <xf numFmtId="0" fontId="72" fillId="0" borderId="0" xfId="507" applyFont="1" applyAlignment="1" applyProtection="1">
      <alignment horizontal="center" vertical="center" wrapText="1"/>
      <protection locked="0"/>
    </xf>
    <xf numFmtId="0" fontId="16" fillId="32" borderId="1" xfId="507" applyFont="1" applyFill="1" applyBorder="1" applyAlignment="1" applyProtection="1">
      <alignment horizontal="left" vertical="center" wrapText="1"/>
    </xf>
    <xf numFmtId="0" fontId="19" fillId="32" borderId="1" xfId="507" applyFont="1" applyFill="1" applyBorder="1" applyAlignment="1" applyProtection="1">
      <alignment horizontal="left" vertical="center" wrapText="1"/>
    </xf>
    <xf numFmtId="168" fontId="5" fillId="0" borderId="0" xfId="503" applyNumberFormat="1" applyFont="1" applyBorder="1" applyAlignment="1" applyProtection="1">
      <alignment horizontal="center" vertical="center" wrapText="1"/>
      <protection locked="0"/>
    </xf>
    <xf numFmtId="168" fontId="25" fillId="0" borderId="0" xfId="503" applyNumberFormat="1" applyFont="1" applyBorder="1" applyAlignment="1" applyProtection="1">
      <alignment horizontal="center" vertical="center" wrapText="1"/>
      <protection locked="0"/>
    </xf>
    <xf numFmtId="49" fontId="28" fillId="29" borderId="1" xfId="478" applyNumberFormat="1" applyFont="1" applyFill="1" applyBorder="1" applyAlignment="1" applyProtection="1">
      <alignment horizontal="center" vertical="center" wrapText="1"/>
      <protection locked="0"/>
    </xf>
    <xf numFmtId="49" fontId="62" fillId="30" borderId="1" xfId="478" applyNumberFormat="1" applyFont="1" applyFill="1" applyBorder="1" applyAlignment="1" applyProtection="1">
      <alignment horizontal="center" vertical="center" wrapText="1"/>
      <protection locked="0"/>
    </xf>
    <xf numFmtId="49" fontId="9" fillId="29" borderId="1" xfId="478" applyNumberFormat="1" applyFont="1" applyFill="1" applyBorder="1" applyAlignment="1" applyProtection="1">
      <alignment horizontal="center" vertical="center" wrapText="1"/>
    </xf>
    <xf numFmtId="0" fontId="70" fillId="0" borderId="0" xfId="465" applyFont="1" applyBorder="1" applyAlignment="1" applyProtection="1">
      <alignment horizontal="center" wrapText="1"/>
      <protection locked="0"/>
    </xf>
    <xf numFmtId="49" fontId="132" fillId="30" borderId="1" xfId="478" applyNumberFormat="1" applyFont="1" applyFill="1" applyBorder="1" applyAlignment="1" applyProtection="1">
      <alignment horizontal="center" vertical="center" wrapText="1"/>
      <protection locked="0"/>
    </xf>
    <xf numFmtId="4" fontId="63" fillId="29" borderId="1" xfId="3" applyNumberFormat="1" applyFont="1" applyFill="1" applyBorder="1" applyAlignment="1" applyProtection="1">
      <alignment horizontal="center" vertical="center" wrapText="1"/>
    </xf>
    <xf numFmtId="168" fontId="6" fillId="0" borderId="0" xfId="503" applyNumberFormat="1" applyFont="1" applyBorder="1" applyAlignment="1" applyProtection="1">
      <alignment horizontal="center" vertical="center" wrapText="1"/>
      <protection locked="0"/>
    </xf>
    <xf numFmtId="0" fontId="36" fillId="13" borderId="1" xfId="533" applyFont="1" applyFill="1" applyBorder="1" applyAlignment="1" applyProtection="1">
      <alignment horizontal="center" vertical="center" wrapText="1"/>
      <protection locked="0"/>
    </xf>
    <xf numFmtId="170" fontId="23" fillId="13" borderId="2" xfId="533" applyNumberFormat="1" applyFont="1" applyFill="1" applyBorder="1" applyAlignment="1" applyProtection="1">
      <alignment horizontal="center" vertical="center" wrapText="1"/>
      <protection locked="0"/>
    </xf>
    <xf numFmtId="170" fontId="23" fillId="13" borderId="3" xfId="533" applyNumberFormat="1" applyFont="1" applyFill="1" applyBorder="1" applyAlignment="1" applyProtection="1">
      <alignment horizontal="center" vertical="center" wrapText="1"/>
      <protection locked="0"/>
    </xf>
    <xf numFmtId="170" fontId="23" fillId="13" borderId="4" xfId="533" applyNumberFormat="1" applyFont="1" applyFill="1" applyBorder="1" applyAlignment="1" applyProtection="1">
      <alignment horizontal="center" vertical="center" wrapText="1"/>
      <protection locked="0"/>
    </xf>
    <xf numFmtId="170" fontId="23" fillId="28" borderId="1" xfId="533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533" applyFont="1" applyBorder="1" applyAlignment="1" applyProtection="1">
      <alignment horizontal="center" wrapText="1"/>
      <protection locked="0"/>
    </xf>
    <xf numFmtId="49" fontId="47" fillId="0" borderId="1" xfId="533" applyNumberFormat="1" applyFont="1" applyBorder="1" applyAlignment="1" applyProtection="1">
      <alignment horizontal="center" vertical="center"/>
      <protection locked="0"/>
    </xf>
    <xf numFmtId="0" fontId="43" fillId="0" borderId="0" xfId="533" applyFont="1" applyBorder="1" applyAlignment="1" applyProtection="1">
      <alignment horizontal="right"/>
      <protection locked="0"/>
    </xf>
    <xf numFmtId="0" fontId="43" fillId="0" borderId="14" xfId="533" applyFont="1" applyBorder="1" applyAlignment="1" applyProtection="1">
      <alignment horizontal="left"/>
    </xf>
    <xf numFmtId="0" fontId="42" fillId="0" borderId="0" xfId="533" applyFont="1" applyBorder="1" applyAlignment="1" applyProtection="1">
      <alignment horizontal="center" wrapText="1"/>
      <protection locked="0"/>
    </xf>
    <xf numFmtId="0" fontId="36" fillId="13" borderId="12" xfId="533" applyFont="1" applyFill="1" applyBorder="1" applyAlignment="1" applyProtection="1">
      <alignment horizontal="center" vertical="center" wrapText="1"/>
      <protection locked="0"/>
    </xf>
    <xf numFmtId="0" fontId="36" fillId="13" borderId="13" xfId="533" applyFont="1" applyFill="1" applyBorder="1" applyAlignment="1" applyProtection="1">
      <alignment horizontal="center" vertical="center" wrapText="1"/>
      <protection locked="0"/>
    </xf>
    <xf numFmtId="0" fontId="36" fillId="13" borderId="1" xfId="533" applyFont="1" applyFill="1" applyBorder="1" applyAlignment="1" applyProtection="1">
      <alignment horizontal="center" vertical="top" wrapText="1"/>
      <protection locked="0"/>
    </xf>
    <xf numFmtId="0" fontId="5" fillId="0" borderId="2" xfId="533" applyFont="1" applyBorder="1" applyAlignment="1" applyProtection="1">
      <alignment horizontal="center" vertical="top" wrapText="1"/>
      <protection locked="0"/>
    </xf>
    <xf numFmtId="0" fontId="5" fillId="0" borderId="3" xfId="533" applyFont="1" applyBorder="1" applyAlignment="1" applyProtection="1">
      <alignment horizontal="center" vertical="top" wrapText="1"/>
      <protection locked="0"/>
    </xf>
    <xf numFmtId="0" fontId="5" fillId="0" borderId="4" xfId="533" applyFont="1" applyBorder="1" applyAlignment="1" applyProtection="1">
      <alignment horizontal="center" vertical="top" wrapText="1"/>
      <protection locked="0"/>
    </xf>
    <xf numFmtId="0" fontId="28" fillId="13" borderId="1" xfId="533" applyFont="1" applyFill="1" applyBorder="1" applyAlignment="1" applyProtection="1">
      <alignment horizontal="center" vertical="center" wrapText="1"/>
      <protection locked="0"/>
    </xf>
    <xf numFmtId="170" fontId="23" fillId="13" borderId="1" xfId="533" applyNumberFormat="1" applyFont="1" applyFill="1" applyBorder="1" applyAlignment="1" applyProtection="1">
      <alignment horizontal="center" vertical="center" wrapText="1"/>
      <protection locked="0"/>
    </xf>
    <xf numFmtId="0" fontId="29" fillId="13" borderId="1" xfId="533" applyFont="1" applyFill="1" applyBorder="1" applyAlignment="1" applyProtection="1">
      <alignment horizontal="center" vertical="center" wrapText="1"/>
      <protection locked="0"/>
    </xf>
    <xf numFmtId="0" fontId="30" fillId="0" borderId="2" xfId="533" applyFont="1" applyBorder="1" applyAlignment="1" applyProtection="1">
      <alignment horizontal="center" wrapText="1"/>
      <protection locked="0"/>
    </xf>
    <xf numFmtId="0" fontId="30" fillId="0" borderId="3" xfId="533" applyFont="1" applyBorder="1" applyAlignment="1" applyProtection="1">
      <alignment horizontal="center" wrapText="1"/>
      <protection locked="0"/>
    </xf>
    <xf numFmtId="0" fontId="30" fillId="0" borderId="4" xfId="533" applyFont="1" applyBorder="1" applyAlignment="1" applyProtection="1">
      <alignment horizontal="center" wrapText="1"/>
      <protection locked="0"/>
    </xf>
    <xf numFmtId="49" fontId="35" fillId="0" borderId="1" xfId="533" applyNumberFormat="1" applyFont="1" applyBorder="1" applyAlignment="1" applyProtection="1">
      <alignment horizontal="center" vertical="center"/>
      <protection locked="0"/>
    </xf>
    <xf numFmtId="0" fontId="29" fillId="21" borderId="8" xfId="533" applyNumberFormat="1" applyFont="1" applyFill="1" applyBorder="1" applyAlignment="1" applyProtection="1">
      <alignment horizontal="center" vertical="center" wrapText="1"/>
      <protection locked="0"/>
    </xf>
    <xf numFmtId="0" fontId="29" fillId="21" borderId="9" xfId="533" applyNumberFormat="1" applyFont="1" applyFill="1" applyBorder="1" applyAlignment="1" applyProtection="1">
      <alignment horizontal="center" vertical="center" wrapText="1"/>
      <protection locked="0"/>
    </xf>
    <xf numFmtId="0" fontId="25" fillId="23" borderId="1" xfId="533" applyNumberFormat="1" applyFont="1" applyFill="1" applyBorder="1" applyAlignment="1" applyProtection="1">
      <alignment horizontal="right" vertical="center"/>
    </xf>
    <xf numFmtId="0" fontId="11" fillId="27" borderId="10" xfId="533" applyNumberFormat="1" applyFont="1" applyFill="1" applyBorder="1" applyAlignment="1" applyProtection="1">
      <alignment horizontal="right" vertical="center"/>
    </xf>
    <xf numFmtId="0" fontId="25" fillId="22" borderId="1" xfId="533" applyNumberFormat="1" applyFont="1" applyFill="1" applyBorder="1" applyAlignment="1" applyProtection="1">
      <alignment horizontal="center" vertical="center" wrapText="1"/>
    </xf>
    <xf numFmtId="0" fontId="25" fillId="23" borderId="1" xfId="533" applyNumberFormat="1" applyFont="1" applyFill="1" applyBorder="1" applyAlignment="1" applyProtection="1">
      <alignment horizontal="center" vertical="center" wrapText="1"/>
    </xf>
    <xf numFmtId="0" fontId="25" fillId="24" borderId="1" xfId="533" applyNumberFormat="1" applyFont="1" applyFill="1" applyBorder="1" applyAlignment="1" applyProtection="1">
      <alignment horizontal="center" vertical="center" textRotation="90"/>
    </xf>
    <xf numFmtId="0" fontId="34" fillId="25" borderId="1" xfId="533" applyNumberFormat="1" applyFont="1" applyFill="1" applyBorder="1" applyAlignment="1" applyProtection="1">
      <alignment horizontal="center" vertical="center" textRotation="90" wrapText="1"/>
    </xf>
    <xf numFmtId="0" fontId="138" fillId="10" borderId="1" xfId="0" applyFont="1" applyFill="1" applyBorder="1" applyAlignment="1" applyProtection="1">
      <alignment horizontal="center" vertical="center" wrapText="1"/>
      <protection locked="0"/>
    </xf>
    <xf numFmtId="0" fontId="138" fillId="10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wrapText="1"/>
      <protection locked="0"/>
    </xf>
    <xf numFmtId="0" fontId="19" fillId="11" borderId="1" xfId="0" applyFont="1" applyFill="1" applyBorder="1" applyAlignment="1" applyProtection="1">
      <alignment horizontal="center" vertical="center" wrapText="1"/>
    </xf>
    <xf numFmtId="0" fontId="19" fillId="11" borderId="1" xfId="0" applyFont="1" applyFill="1" applyBorder="1" applyAlignment="1" applyProtection="1">
      <alignment horizontal="center" wrapText="1"/>
    </xf>
    <xf numFmtId="0" fontId="19" fillId="11" borderId="1" xfId="0" applyFont="1" applyFill="1" applyBorder="1" applyAlignment="1" applyProtection="1">
      <alignment horizontal="center"/>
    </xf>
    <xf numFmtId="0" fontId="18" fillId="0" borderId="0" xfId="0" applyFont="1" applyBorder="1" applyAlignment="1" applyProtection="1">
      <alignment horizontal="left"/>
      <protection locked="0"/>
    </xf>
    <xf numFmtId="0" fontId="16" fillId="10" borderId="1" xfId="0" applyFont="1" applyFill="1" applyBorder="1" applyAlignment="1" applyProtection="1">
      <alignment horizontal="center" vertical="center"/>
    </xf>
    <xf numFmtId="0" fontId="16" fillId="10" borderId="2" xfId="0" applyFont="1" applyFill="1" applyBorder="1" applyAlignment="1" applyProtection="1">
      <alignment horizontal="center" wrapText="1"/>
    </xf>
    <xf numFmtId="0" fontId="16" fillId="10" borderId="3" xfId="0" applyFont="1" applyFill="1" applyBorder="1" applyAlignment="1" applyProtection="1">
      <alignment horizontal="center" wrapText="1"/>
    </xf>
    <xf numFmtId="0" fontId="16" fillId="13" borderId="1" xfId="0" applyFont="1" applyFill="1" applyBorder="1" applyAlignment="1" applyProtection="1">
      <alignment horizontal="center" vertical="center" wrapText="1"/>
    </xf>
    <xf numFmtId="44" fontId="20" fillId="12" borderId="5" xfId="10" applyFont="1" applyFill="1" applyBorder="1" applyAlignment="1" applyProtection="1">
      <alignment horizontal="center"/>
    </xf>
    <xf numFmtId="44" fontId="20" fillId="12" borderId="6" xfId="10" applyFont="1" applyFill="1" applyBorder="1" applyAlignment="1" applyProtection="1">
      <alignment horizontal="center"/>
    </xf>
    <xf numFmtId="44" fontId="20" fillId="12" borderId="7" xfId="10" applyFont="1" applyFill="1" applyBorder="1" applyAlignment="1" applyProtection="1">
      <alignment horizontal="center"/>
    </xf>
    <xf numFmtId="0" fontId="18" fillId="0" borderId="0" xfId="0" applyFont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0" fontId="18" fillId="0" borderId="0" xfId="0" applyFont="1" applyFill="1" applyBorder="1" applyAlignment="1" applyProtection="1">
      <alignment horizontal="left"/>
    </xf>
    <xf numFmtId="0" fontId="20" fillId="16" borderId="0" xfId="0" applyFont="1" applyFill="1" applyBorder="1" applyAlignment="1" applyProtection="1">
      <alignment horizontal="left"/>
    </xf>
    <xf numFmtId="0" fontId="18" fillId="0" borderId="0" xfId="0" applyFont="1" applyBorder="1" applyAlignment="1" applyProtection="1">
      <alignment horizontal="left"/>
    </xf>
    <xf numFmtId="0" fontId="16" fillId="10" borderId="1" xfId="0" applyFont="1" applyFill="1" applyBorder="1" applyAlignment="1" applyProtection="1">
      <alignment horizontal="center"/>
    </xf>
    <xf numFmtId="0" fontId="139" fillId="2" borderId="1" xfId="0" applyFont="1" applyFill="1" applyBorder="1" applyAlignment="1" applyProtection="1">
      <alignment horizontal="center" wrapTex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0" fontId="7" fillId="2" borderId="4" xfId="0" applyFont="1" applyFill="1" applyBorder="1" applyAlignment="1" applyProtection="1">
      <alignment horizont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/>
    </xf>
    <xf numFmtId="0" fontId="13" fillId="9" borderId="2" xfId="0" applyFont="1" applyFill="1" applyBorder="1" applyAlignment="1" applyProtection="1">
      <alignment horizontal="center" wrapText="1"/>
    </xf>
    <xf numFmtId="0" fontId="13" fillId="9" borderId="3" xfId="0" applyFont="1" applyFill="1" applyBorder="1" applyAlignment="1" applyProtection="1">
      <alignment horizontal="center" wrapText="1"/>
    </xf>
    <xf numFmtId="0" fontId="13" fillId="9" borderId="4" xfId="0" applyFont="1" applyFill="1" applyBorder="1" applyAlignment="1" applyProtection="1">
      <alignment horizontal="center" wrapText="1"/>
    </xf>
    <xf numFmtId="0" fontId="13" fillId="0" borderId="2" xfId="0" applyFont="1" applyBorder="1" applyAlignment="1" applyProtection="1">
      <alignment horizontal="left" wrapText="1"/>
    </xf>
    <xf numFmtId="0" fontId="13" fillId="0" borderId="3" xfId="0" applyFont="1" applyBorder="1" applyAlignment="1" applyProtection="1">
      <alignment horizontal="left" wrapText="1"/>
    </xf>
    <xf numFmtId="0" fontId="13" fillId="0" borderId="4" xfId="0" applyFont="1" applyBorder="1" applyAlignment="1" applyProtection="1">
      <alignment horizontal="left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174" fontId="135" fillId="0" borderId="40" xfId="0" applyNumberFormat="1" applyFont="1" applyBorder="1" applyAlignment="1">
      <alignment horizontal="center" vertical="center" wrapText="1"/>
    </xf>
    <xf numFmtId="164" fontId="135" fillId="0" borderId="40" xfId="0" applyNumberFormat="1" applyFont="1" applyBorder="1" applyAlignment="1">
      <alignment horizontal="center" vertical="center" wrapText="1"/>
    </xf>
  </cellXfs>
  <cellStyles count="598">
    <cellStyle name="20% - Ênfase1 10" xfId="20"/>
    <cellStyle name="20% - Ênfase1 10 2" xfId="50"/>
    <cellStyle name="20% - Ênfase1 11" xfId="54"/>
    <cellStyle name="20% - Ênfase1 11 2" xfId="42"/>
    <cellStyle name="20% - Ênfase1 12" xfId="38"/>
    <cellStyle name="20% - Ênfase1 13" xfId="41"/>
    <cellStyle name="20% - Ênfase1 14" xfId="4"/>
    <cellStyle name="20% - Ênfase1 15" xfId="56"/>
    <cellStyle name="20% - Ênfase1 16" xfId="58"/>
    <cellStyle name="20% - Ênfase1 17" xfId="59"/>
    <cellStyle name="20% - Ênfase1 18" xfId="45"/>
    <cellStyle name="20% - Ênfase1 19" xfId="61"/>
    <cellStyle name="20% - Ênfase1 2" xfId="19"/>
    <cellStyle name="20% - Ênfase1 2 2" xfId="65"/>
    <cellStyle name="20% - Ênfase1 20" xfId="55"/>
    <cellStyle name="20% - Ênfase1 21" xfId="57"/>
    <cellStyle name="20% - Ênfase1 22" xfId="60"/>
    <cellStyle name="20% - Ênfase1 23" xfId="46"/>
    <cellStyle name="20% - Ênfase1 3" xfId="66"/>
    <cellStyle name="20% - Ênfase1 3 2" xfId="68"/>
    <cellStyle name="20% - Ênfase1 4" xfId="69"/>
    <cellStyle name="20% - Ênfase1 4 2" xfId="70"/>
    <cellStyle name="20% - Ênfase1 5" xfId="71"/>
    <cellStyle name="20% - Ênfase1 5 2" xfId="72"/>
    <cellStyle name="20% - Ênfase1 6" xfId="75"/>
    <cellStyle name="20% - Ênfase1 6 2" xfId="77"/>
    <cellStyle name="20% - Ênfase1 7" xfId="80"/>
    <cellStyle name="20% - Ênfase1 7 2" xfId="84"/>
    <cellStyle name="20% - Ênfase1 8" xfId="44"/>
    <cellStyle name="20% - Ênfase1 8 2" xfId="86"/>
    <cellStyle name="20% - Ênfase1 9" xfId="88"/>
    <cellStyle name="20% - Ênfase1 9 2" xfId="89"/>
    <cellStyle name="20% - Ênfase2 10" xfId="92"/>
    <cellStyle name="20% - Ênfase2 10 2" xfId="95"/>
    <cellStyle name="20% - Ênfase2 11" xfId="101"/>
    <cellStyle name="20% - Ênfase2 12" xfId="102"/>
    <cellStyle name="20% - Ênfase2 13" xfId="103"/>
    <cellStyle name="20% - Ênfase2 14" xfId="104"/>
    <cellStyle name="20% - Ênfase2 15" xfId="105"/>
    <cellStyle name="20% - Ênfase2 16" xfId="107"/>
    <cellStyle name="20% - Ênfase2 17" xfId="109"/>
    <cellStyle name="20% - Ênfase2 18" xfId="111"/>
    <cellStyle name="20% - Ênfase2 19" xfId="112"/>
    <cellStyle name="20% - Ênfase2 2" xfId="113"/>
    <cellStyle name="20% - Ênfase2 2 2" xfId="119"/>
    <cellStyle name="20% - Ênfase2 20" xfId="106"/>
    <cellStyle name="20% - Ênfase2 21" xfId="108"/>
    <cellStyle name="20% - Ênfase2 22" xfId="110"/>
    <cellStyle name="20% - Ênfase2 3" xfId="122"/>
    <cellStyle name="20% - Ênfase2 3 2" xfId="126"/>
    <cellStyle name="20% - Ênfase2 4" xfId="127"/>
    <cellStyle name="20% - Ênfase2 4 2" xfId="79"/>
    <cellStyle name="20% - Ênfase2 5" xfId="130"/>
    <cellStyle name="20% - Ênfase2 5 2" xfId="135"/>
    <cellStyle name="20% - Ênfase2 6" xfId="139"/>
    <cellStyle name="20% - Ênfase2 6 2" xfId="144"/>
    <cellStyle name="20% - Ênfase2 7" xfId="134"/>
    <cellStyle name="20% - Ênfase2 7 2" xfId="150"/>
    <cellStyle name="20% - Ênfase2 8" xfId="152"/>
    <cellStyle name="20% - Ênfase2 8 2" xfId="156"/>
    <cellStyle name="20% - Ênfase2 9" xfId="158"/>
    <cellStyle name="20% - Ênfase2 9 2" xfId="161"/>
    <cellStyle name="20% - Ênfase3 10" xfId="162"/>
    <cellStyle name="20% - Ênfase3 10 2" xfId="164"/>
    <cellStyle name="20% - Ênfase3 11" xfId="167"/>
    <cellStyle name="20% - Ênfase3 12" xfId="170"/>
    <cellStyle name="20% - Ênfase3 13" xfId="171"/>
    <cellStyle name="20% - Ênfase3 14" xfId="172"/>
    <cellStyle name="20% - Ênfase3 15" xfId="174"/>
    <cellStyle name="20% - Ênfase3 16" xfId="176"/>
    <cellStyle name="20% - Ênfase3 17" xfId="178"/>
    <cellStyle name="20% - Ênfase3 18" xfId="180"/>
    <cellStyle name="20% - Ênfase3 19" xfId="181"/>
    <cellStyle name="20% - Ênfase3 2" xfId="182"/>
    <cellStyle name="20% - Ênfase3 2 2" xfId="52"/>
    <cellStyle name="20% - Ênfase3 20" xfId="175"/>
    <cellStyle name="20% - Ênfase3 21" xfId="177"/>
    <cellStyle name="20% - Ênfase3 22" xfId="179"/>
    <cellStyle name="20% - Ênfase3 3" xfId="184"/>
    <cellStyle name="20% - Ênfase3 3 2" xfId="185"/>
    <cellStyle name="20% - Ênfase3 4" xfId="188"/>
    <cellStyle name="20% - Ênfase3 4 2" xfId="189"/>
    <cellStyle name="20% - Ênfase3 5" xfId="190"/>
    <cellStyle name="20% - Ênfase3 5 2" xfId="191"/>
    <cellStyle name="20% - Ênfase3 6" xfId="193"/>
    <cellStyle name="20% - Ênfase3 6 2" xfId="195"/>
    <cellStyle name="20% - Ênfase3 7" xfId="146"/>
    <cellStyle name="20% - Ênfase3 7 2" xfId="100"/>
    <cellStyle name="20% - Ênfase3 8" xfId="198"/>
    <cellStyle name="20% - Ênfase3 8 2" xfId="201"/>
    <cellStyle name="20% - Ênfase3 9" xfId="206"/>
    <cellStyle name="20% - Ênfase3 9 2" xfId="28"/>
    <cellStyle name="20% - Ênfase4 10" xfId="207"/>
    <cellStyle name="20% - Ênfase4 10 2" xfId="209"/>
    <cellStyle name="20% - Ênfase4 11" xfId="210"/>
    <cellStyle name="20% - Ênfase4 12" xfId="213"/>
    <cellStyle name="20% - Ênfase4 13" xfId="215"/>
    <cellStyle name="20% - Ênfase4 14" xfId="218"/>
    <cellStyle name="20% - Ênfase4 15" xfId="221"/>
    <cellStyle name="20% - Ênfase4 16" xfId="225"/>
    <cellStyle name="20% - Ênfase4 17" xfId="229"/>
    <cellStyle name="20% - Ênfase4 18" xfId="232"/>
    <cellStyle name="20% - Ênfase4 19" xfId="234"/>
    <cellStyle name="20% - Ênfase4 2" xfId="47"/>
    <cellStyle name="20% - Ênfase4 2 2" xfId="236"/>
    <cellStyle name="20% - Ênfase4 20" xfId="222"/>
    <cellStyle name="20% - Ênfase4 21" xfId="226"/>
    <cellStyle name="20% - Ênfase4 22" xfId="230"/>
    <cellStyle name="20% - Ênfase4 3" xfId="62"/>
    <cellStyle name="20% - Ênfase4 3 2" xfId="33"/>
    <cellStyle name="20% - Ênfase4 4" xfId="237"/>
    <cellStyle name="20% - Ênfase4 4 2" xfId="238"/>
    <cellStyle name="20% - Ênfase4 5" xfId="239"/>
    <cellStyle name="20% - Ênfase4 5 2" xfId="240"/>
    <cellStyle name="20% - Ênfase4 6" xfId="242"/>
    <cellStyle name="20% - Ênfase4 6 2" xfId="244"/>
    <cellStyle name="20% - Ênfase4 7" xfId="149"/>
    <cellStyle name="20% - Ênfase4 7 2" xfId="246"/>
    <cellStyle name="20% - Ênfase4 8" xfId="248"/>
    <cellStyle name="20% - Ênfase4 8 2" xfId="250"/>
    <cellStyle name="20% - Ênfase4 9" xfId="252"/>
    <cellStyle name="20% - Ênfase4 9 2" xfId="256"/>
    <cellStyle name="20% - Ênfase5 10" xfId="145"/>
    <cellStyle name="20% - Ênfase5 10 2" xfId="99"/>
    <cellStyle name="20% - Ênfase5 11" xfId="197"/>
    <cellStyle name="20% - Ênfase5 12" xfId="205"/>
    <cellStyle name="20% - Ênfase5 13" xfId="258"/>
    <cellStyle name="20% - Ênfase5 14" xfId="260"/>
    <cellStyle name="20% - Ênfase5 15" xfId="262"/>
    <cellStyle name="20% - Ênfase5 16" xfId="265"/>
    <cellStyle name="20% - Ênfase5 17" xfId="31"/>
    <cellStyle name="20% - Ênfase5 18" xfId="35"/>
    <cellStyle name="20% - Ênfase5 19" xfId="17"/>
    <cellStyle name="20% - Ênfase5 2" xfId="268"/>
    <cellStyle name="20% - Ênfase5 2 2" xfId="270"/>
    <cellStyle name="20% - Ênfase5 20" xfId="263"/>
    <cellStyle name="20% - Ênfase5 21" xfId="266"/>
    <cellStyle name="20% - Ênfase5 22" xfId="32"/>
    <cellStyle name="20% - Ênfase5 3" xfId="272"/>
    <cellStyle name="20% - Ênfase5 3 2" xfId="169"/>
    <cellStyle name="20% - Ênfase5 4" xfId="274"/>
    <cellStyle name="20% - Ênfase5 4 2" xfId="278"/>
    <cellStyle name="20% - Ênfase5 5" xfId="280"/>
    <cellStyle name="20% - Ênfase5 5 2" xfId="282"/>
    <cellStyle name="20% - Ênfase5 6" xfId="284"/>
    <cellStyle name="20% - Ênfase5 6 2" xfId="286"/>
    <cellStyle name="20% - Ênfase5 7" xfId="155"/>
    <cellStyle name="20% - Ênfase5 7 2" xfId="288"/>
    <cellStyle name="20% - Ênfase5 8" xfId="290"/>
    <cellStyle name="20% - Ênfase5 8 2" xfId="212"/>
    <cellStyle name="20% - Ênfase5 9" xfId="291"/>
    <cellStyle name="20% - Ênfase5 9 2" xfId="295"/>
    <cellStyle name="20% - Ênfase6 10" xfId="297"/>
    <cellStyle name="20% - Ênfase6 10 2" xfId="298"/>
    <cellStyle name="20% - Ênfase6 11" xfId="235"/>
    <cellStyle name="20% - Ênfase6 12" xfId="299"/>
    <cellStyle name="20% - Ênfase6 13" xfId="300"/>
    <cellStyle name="20% - Ênfase6 14" xfId="301"/>
    <cellStyle name="20% - Ênfase6 15" xfId="302"/>
    <cellStyle name="20% - Ênfase6 16" xfId="304"/>
    <cellStyle name="20% - Ênfase6 17" xfId="306"/>
    <cellStyle name="20% - Ênfase6 18" xfId="308"/>
    <cellStyle name="20% - Ênfase6 19" xfId="309"/>
    <cellStyle name="20% - Ênfase6 2" xfId="36"/>
    <cellStyle name="20% - Ênfase6 2 2" xfId="310"/>
    <cellStyle name="20% - Ênfase6 20" xfId="303"/>
    <cellStyle name="20% - Ênfase6 21" xfId="305"/>
    <cellStyle name="20% - Ênfase6 22" xfId="307"/>
    <cellStyle name="20% - Ênfase6 3" xfId="30"/>
    <cellStyle name="20% - Ênfase6 3 2" xfId="311"/>
    <cellStyle name="20% - Ênfase6 4" xfId="34"/>
    <cellStyle name="20% - Ênfase6 4 2" xfId="312"/>
    <cellStyle name="20% - Ênfase6 5" xfId="314"/>
    <cellStyle name="20% - Ênfase6 5 2" xfId="316"/>
    <cellStyle name="20% - Ênfase6 6" xfId="317"/>
    <cellStyle name="20% - Ênfase6 6 2" xfId="318"/>
    <cellStyle name="20% - Ênfase6 7" xfId="160"/>
    <cellStyle name="20% - Ênfase6 7 2" xfId="23"/>
    <cellStyle name="20% - Ênfase6 8" xfId="319"/>
    <cellStyle name="20% - Ênfase6 8 2" xfId="321"/>
    <cellStyle name="20% - Ênfase6 9" xfId="322"/>
    <cellStyle name="20% - Ênfase6 9 2" xfId="39"/>
    <cellStyle name="40% - Ênfase1 10" xfId="324"/>
    <cellStyle name="40% - Ênfase1 10 2" xfId="325"/>
    <cellStyle name="40% - Ênfase1 11" xfId="326"/>
    <cellStyle name="40% - Ênfase1 11 2" xfId="327"/>
    <cellStyle name="40% - Ênfase1 12" xfId="5"/>
    <cellStyle name="40% - Ênfase1 13" xfId="328"/>
    <cellStyle name="40% - Ênfase1 14" xfId="331"/>
    <cellStyle name="40% - Ênfase1 15" xfId="63"/>
    <cellStyle name="40% - Ênfase1 16" xfId="332"/>
    <cellStyle name="40% - Ênfase1 17" xfId="254"/>
    <cellStyle name="40% - Ênfase1 18" xfId="334"/>
    <cellStyle name="40% - Ênfase1 19" xfId="336"/>
    <cellStyle name="40% - Ênfase1 2" xfId="340"/>
    <cellStyle name="40% - Ênfase1 2 2" xfId="341"/>
    <cellStyle name="40% - Ênfase1 20" xfId="64"/>
    <cellStyle name="40% - Ênfase1 21" xfId="333"/>
    <cellStyle name="40% - Ênfase1 22" xfId="255"/>
    <cellStyle name="40% - Ênfase1 23" xfId="335"/>
    <cellStyle name="40% - Ênfase1 3" xfId="118"/>
    <cellStyle name="40% - Ênfase1 3 2" xfId="342"/>
    <cellStyle name="40% - Ênfase1 4" xfId="345"/>
    <cellStyle name="40% - Ênfase1 4 2" xfId="346"/>
    <cellStyle name="40% - Ênfase1 5" xfId="294"/>
    <cellStyle name="40% - Ênfase1 5 2" xfId="347"/>
    <cellStyle name="40% - Ênfase1 6" xfId="350"/>
    <cellStyle name="40% - Ênfase1 6 2" xfId="351"/>
    <cellStyle name="40% - Ênfase1 7" xfId="354"/>
    <cellStyle name="40% - Ênfase1 7 2" xfId="330"/>
    <cellStyle name="40% - Ênfase1 8" xfId="355"/>
    <cellStyle name="40% - Ênfase1 8 2" xfId="356"/>
    <cellStyle name="40% - Ênfase1 9" xfId="357"/>
    <cellStyle name="40% - Ênfase1 9 2" xfId="358"/>
    <cellStyle name="40% - Ênfase2 10" xfId="359"/>
    <cellStyle name="40% - Ênfase2 10 2" xfId="9"/>
    <cellStyle name="40% - Ênfase2 11" xfId="360"/>
    <cellStyle name="40% - Ênfase2 12" xfId="361"/>
    <cellStyle name="40% - Ênfase2 13" xfId="362"/>
    <cellStyle name="40% - Ênfase2 14" xfId="363"/>
    <cellStyle name="40% - Ênfase2 15" xfId="81"/>
    <cellStyle name="40% - Ênfase2 16" xfId="364"/>
    <cellStyle name="40% - Ênfase2 17" xfId="366"/>
    <cellStyle name="40% - Ênfase2 18" xfId="315"/>
    <cellStyle name="40% - Ênfase2 19" xfId="369"/>
    <cellStyle name="40% - Ênfase2 2" xfId="371"/>
    <cellStyle name="40% - Ênfase2 2 2" xfId="373"/>
    <cellStyle name="40% - Ênfase2 20" xfId="82"/>
    <cellStyle name="40% - Ênfase2 21" xfId="365"/>
    <cellStyle name="40% - Ênfase2 22" xfId="367"/>
    <cellStyle name="40% - Ênfase2 3" xfId="125"/>
    <cellStyle name="40% - Ênfase2 3 2" xfId="374"/>
    <cellStyle name="40% - Ênfase2 4" xfId="51"/>
    <cellStyle name="40% - Ênfase2 4 2" xfId="2"/>
    <cellStyle name="40% - Ênfase2 5" xfId="375"/>
    <cellStyle name="40% - Ênfase2 5 2" xfId="376"/>
    <cellStyle name="40% - Ênfase2 6" xfId="378"/>
    <cellStyle name="40% - Ênfase2 6 2" xfId="379"/>
    <cellStyle name="40% - Ênfase2 7" xfId="381"/>
    <cellStyle name="40% - Ênfase2 7 2" xfId="339"/>
    <cellStyle name="40% - Ênfase2 8" xfId="382"/>
    <cellStyle name="40% - Ênfase2 8 2" xfId="370"/>
    <cellStyle name="40% - Ênfase2 9" xfId="383"/>
    <cellStyle name="40% - Ênfase2 9 2" xfId="74"/>
    <cellStyle name="40% - Ênfase3 10" xfId="165"/>
    <cellStyle name="40% - Ênfase3 10 2" xfId="368"/>
    <cellStyle name="40% - Ênfase3 11" xfId="384"/>
    <cellStyle name="40% - Ênfase3 12" xfId="385"/>
    <cellStyle name="40% - Ênfase3 13" xfId="386"/>
    <cellStyle name="40% - Ênfase3 14" xfId="387"/>
    <cellStyle name="40% - Ênfase3 15" xfId="388"/>
    <cellStyle name="40% - Ênfase3 16" xfId="186"/>
    <cellStyle name="40% - Ênfase3 17" xfId="391"/>
    <cellStyle name="40% - Ênfase3 18" xfId="393"/>
    <cellStyle name="40% - Ênfase3 19" xfId="396"/>
    <cellStyle name="40% - Ênfase3 2" xfId="73"/>
    <cellStyle name="40% - Ênfase3 2 2" xfId="76"/>
    <cellStyle name="40% - Ênfase3 20" xfId="389"/>
    <cellStyle name="40% - Ênfase3 21" xfId="187"/>
    <cellStyle name="40% - Ênfase3 22" xfId="392"/>
    <cellStyle name="40% - Ênfase3 3" xfId="78"/>
    <cellStyle name="40% - Ênfase3 3 2" xfId="83"/>
    <cellStyle name="40% - Ênfase3 4" xfId="43"/>
    <cellStyle name="40% - Ênfase3 4 2" xfId="85"/>
    <cellStyle name="40% - Ênfase3 5" xfId="87"/>
    <cellStyle name="40% - Ênfase3 5 2" xfId="91"/>
    <cellStyle name="40% - Ênfase3 6" xfId="398"/>
    <cellStyle name="40% - Ênfase3 6 2" xfId="400"/>
    <cellStyle name="40% - Ênfase3 7" xfId="402"/>
    <cellStyle name="40% - Ênfase3 7 2" xfId="21"/>
    <cellStyle name="40% - Ênfase3 8" xfId="403"/>
    <cellStyle name="40% - Ênfase3 8 2" xfId="390"/>
    <cellStyle name="40% - Ênfase3 9" xfId="26"/>
    <cellStyle name="40% - Ênfase3 9 2" xfId="404"/>
    <cellStyle name="40% - Ênfase4 10" xfId="405"/>
    <cellStyle name="40% - Ênfase4 10 2" xfId="407"/>
    <cellStyle name="40% - Ênfase4 11" xfId="410"/>
    <cellStyle name="40% - Ênfase4 12" xfId="412"/>
    <cellStyle name="40% - Ênfase4 13" xfId="413"/>
    <cellStyle name="40% - Ênfase4 14" xfId="414"/>
    <cellStyle name="40% - Ênfase4 15" xfId="415"/>
    <cellStyle name="40% - Ênfase4 16" xfId="202"/>
    <cellStyle name="40% - Ênfase4 17" xfId="418"/>
    <cellStyle name="40% - Ênfase4 18" xfId="421"/>
    <cellStyle name="40% - Ênfase4 19" xfId="423"/>
    <cellStyle name="40% - Ênfase4 2" xfId="138"/>
    <cellStyle name="40% - Ênfase4 2 2" xfId="143"/>
    <cellStyle name="40% - Ênfase4 20" xfId="416"/>
    <cellStyle name="40% - Ênfase4 21" xfId="203"/>
    <cellStyle name="40% - Ênfase4 22" xfId="419"/>
    <cellStyle name="40% - Ênfase4 3" xfId="133"/>
    <cellStyle name="40% - Ênfase4 3 2" xfId="148"/>
    <cellStyle name="40% - Ênfase4 4" xfId="151"/>
    <cellStyle name="40% - Ênfase4 4 2" xfId="154"/>
    <cellStyle name="40% - Ênfase4 5" xfId="157"/>
    <cellStyle name="40% - Ênfase4 5 2" xfId="159"/>
    <cellStyle name="40% - Ênfase4 6" xfId="425"/>
    <cellStyle name="40% - Ênfase4 6 2" xfId="426"/>
    <cellStyle name="40% - Ênfase4 7" xfId="97"/>
    <cellStyle name="40% - Ênfase4 7 2" xfId="296"/>
    <cellStyle name="40% - Ênfase4 8" xfId="427"/>
    <cellStyle name="40% - Ênfase4 8 2" xfId="428"/>
    <cellStyle name="40% - Ênfase4 9" xfId="429"/>
    <cellStyle name="40% - Ênfase4 9 2" xfId="430"/>
    <cellStyle name="40% - Ênfase5 10" xfId="431"/>
    <cellStyle name="40% - Ênfase5 10 2" xfId="48"/>
    <cellStyle name="40% - Ênfase5 11" xfId="433"/>
    <cellStyle name="40% - Ênfase5 12" xfId="435"/>
    <cellStyle name="40% - Ênfase5 13" xfId="436"/>
    <cellStyle name="40% - Ênfase5 14" xfId="372"/>
    <cellStyle name="40% - Ênfase5 15" xfId="438"/>
    <cellStyle name="40% - Ênfase5 16" xfId="443"/>
    <cellStyle name="40% - Ênfase5 17" xfId="276"/>
    <cellStyle name="40% - Ênfase5 18" xfId="445"/>
    <cellStyle name="40% - Ênfase5 19" xfId="446"/>
    <cellStyle name="40% - Ênfase5 2" xfId="192"/>
    <cellStyle name="40% - Ênfase5 2 2" xfId="194"/>
    <cellStyle name="40% - Ênfase5 20" xfId="439"/>
    <cellStyle name="40% - Ênfase5 21" xfId="444"/>
    <cellStyle name="40% - Ênfase5 22" xfId="277"/>
    <cellStyle name="40% - Ênfase5 3" xfId="142"/>
    <cellStyle name="40% - Ênfase5 3 2" xfId="98"/>
    <cellStyle name="40% - Ênfase5 4" xfId="196"/>
    <cellStyle name="40% - Ênfase5 4 2" xfId="200"/>
    <cellStyle name="40% - Ênfase5 5" xfId="204"/>
    <cellStyle name="40% - Ênfase5 5 2" xfId="27"/>
    <cellStyle name="40% - Ênfase5 6" xfId="257"/>
    <cellStyle name="40% - Ênfase5 6 2" xfId="447"/>
    <cellStyle name="40% - Ênfase5 7" xfId="259"/>
    <cellStyle name="40% - Ênfase5 7 2" xfId="448"/>
    <cellStyle name="40% - Ênfase5 8" xfId="261"/>
    <cellStyle name="40% - Ênfase5 8 2" xfId="166"/>
    <cellStyle name="40% - Ênfase5 9" xfId="264"/>
    <cellStyle name="40% - Ênfase5 9 2" xfId="442"/>
    <cellStyle name="40% - Ênfase6 10" xfId="449"/>
    <cellStyle name="40% - Ênfase6 10 2" xfId="313"/>
    <cellStyle name="40% - Ênfase6 11" xfId="450"/>
    <cellStyle name="40% - Ênfase6 12" xfId="451"/>
    <cellStyle name="40% - Ênfase6 13" xfId="452"/>
    <cellStyle name="40% - Ênfase6 14" xfId="338"/>
    <cellStyle name="40% - Ênfase6 15" xfId="116"/>
    <cellStyle name="40% - Ênfase6 16" xfId="343"/>
    <cellStyle name="40% - Ênfase6 17" xfId="292"/>
    <cellStyle name="40% - Ênfase6 18" xfId="349"/>
    <cellStyle name="40% - Ênfase6 19" xfId="353"/>
    <cellStyle name="40% - Ênfase6 2" xfId="241"/>
    <cellStyle name="40% - Ênfase6 2 2" xfId="243"/>
    <cellStyle name="40% - Ênfase6 20" xfId="117"/>
    <cellStyle name="40% - Ênfase6 21" xfId="344"/>
    <cellStyle name="40% - Ênfase6 22" xfId="293"/>
    <cellStyle name="40% - Ênfase6 3" xfId="147"/>
    <cellStyle name="40% - Ênfase6 3 2" xfId="245"/>
    <cellStyle name="40% - Ênfase6 4" xfId="247"/>
    <cellStyle name="40% - Ênfase6 4 2" xfId="249"/>
    <cellStyle name="40% - Ênfase6 5" xfId="251"/>
    <cellStyle name="40% - Ênfase6 5 2" xfId="253"/>
    <cellStyle name="40% - Ênfase6 6" xfId="453"/>
    <cellStyle name="40% - Ênfase6 6 2" xfId="454"/>
    <cellStyle name="40% - Ênfase6 7" xfId="455"/>
    <cellStyle name="40% - Ênfase6 7 2" xfId="456"/>
    <cellStyle name="40% - Ênfase6 8" xfId="457"/>
    <cellStyle name="40% - Ênfase6 8 2" xfId="458"/>
    <cellStyle name="40% - Ênfase6 9" xfId="459"/>
    <cellStyle name="40% - Ênfase6 9 2" xfId="460"/>
    <cellStyle name="60% - Ênfase1 2" xfId="24"/>
    <cellStyle name="60% - Ênfase1 3" xfId="14"/>
    <cellStyle name="60% - Ênfase2 2" xfId="216"/>
    <cellStyle name="60% - Ênfase2 3" xfId="219"/>
    <cellStyle name="60% - Ênfase3 2" xfId="348"/>
    <cellStyle name="60% - Ênfase3 3" xfId="352"/>
    <cellStyle name="60% - Ênfase4 2" xfId="377"/>
    <cellStyle name="60% - Ênfase4 3" xfId="380"/>
    <cellStyle name="60% - Ênfase5 2" xfId="397"/>
    <cellStyle name="60% - Ênfase5 3" xfId="401"/>
    <cellStyle name="60% - Ênfase6 2" xfId="424"/>
    <cellStyle name="60% - Ênfase6 3" xfId="96"/>
    <cellStyle name="Bom 2" xfId="337"/>
    <cellStyle name="Bom 3" xfId="461"/>
    <cellStyle name="Cálculo 2" xfId="6"/>
    <cellStyle name="Cálculo 3" xfId="329"/>
    <cellStyle name="Célula de Verificação 2" xfId="15"/>
    <cellStyle name="Célula de Verificação 3" xfId="462"/>
    <cellStyle name="Célula Vinculada 2" xfId="464"/>
    <cellStyle name="Célula Vinculada 3" xfId="466"/>
    <cellStyle name="Ênfase1 2" xfId="406"/>
    <cellStyle name="Ênfase1 3" xfId="411"/>
    <cellStyle name="Ênfase2 2" xfId="467"/>
    <cellStyle name="Ênfase2 3" xfId="468"/>
    <cellStyle name="Ênfase3 2" xfId="470"/>
    <cellStyle name="Ênfase3 3" xfId="1"/>
    <cellStyle name="Ênfase4 2" xfId="471"/>
    <cellStyle name="Ênfase4 3" xfId="472"/>
    <cellStyle name="Ênfase5 2" xfId="473"/>
    <cellStyle name="Ênfase5 3" xfId="474"/>
    <cellStyle name="Ênfase6 2" xfId="432"/>
    <cellStyle name="Ênfase6 3" xfId="434"/>
    <cellStyle name="Entrada 2" xfId="475"/>
    <cellStyle name="Entrada 3" xfId="476"/>
    <cellStyle name="Excel Built-in Normal" xfId="477"/>
    <cellStyle name="Excel_BuiltIn_Texto Explicativo 1" xfId="478"/>
    <cellStyle name="Hiperlink" xfId="13" builtinId="8"/>
    <cellStyle name="Incorreto 2" xfId="479"/>
    <cellStyle name="Incorreto 3" xfId="469"/>
    <cellStyle name="Moeda" xfId="10" builtinId="4"/>
    <cellStyle name="Moeda [0] 2" xfId="482"/>
    <cellStyle name="Moeda 2" xfId="483"/>
    <cellStyle name="Moeda 3" xfId="484"/>
    <cellStyle name="Moeda 4" xfId="18"/>
    <cellStyle name="Moeda 5" xfId="67"/>
    <cellStyle name="Neutra 2" xfId="223"/>
    <cellStyle name="Neutra 3" xfId="227"/>
    <cellStyle name="Normal" xfId="0" builtinId="0"/>
    <cellStyle name="Normal 10" xfId="485"/>
    <cellStyle name="Normal 10 2" xfId="486"/>
    <cellStyle name="Normal 10 3" xfId="29"/>
    <cellStyle name="Normal 11" xfId="90"/>
    <cellStyle name="Normal 11 2" xfId="487"/>
    <cellStyle name="Normal 12" xfId="488"/>
    <cellStyle name="Normal 12 2" xfId="489"/>
    <cellStyle name="Normal 13" xfId="490"/>
    <cellStyle name="Normal 13 2" xfId="163"/>
    <cellStyle name="Normal 14" xfId="22"/>
    <cellStyle name="Normal 14 2" xfId="440"/>
    <cellStyle name="Normal 15" xfId="492"/>
    <cellStyle name="Normal 15 2" xfId="493"/>
    <cellStyle name="Normal 16" xfId="408"/>
    <cellStyle name="Normal 16 2" xfId="494"/>
    <cellStyle name="Normal 17" xfId="496"/>
    <cellStyle name="Normal 17 2" xfId="497"/>
    <cellStyle name="Normal 18" xfId="499"/>
    <cellStyle name="Normal 18 2" xfId="208"/>
    <cellStyle name="Normal 19" xfId="114"/>
    <cellStyle name="Normal 19 2" xfId="121"/>
    <cellStyle name="Normal 2" xfId="465"/>
    <cellStyle name="Normal 2 2" xfId="500"/>
    <cellStyle name="Normal 2 2 2" xfId="501"/>
    <cellStyle name="Normal 2 3" xfId="267"/>
    <cellStyle name="Normal 2 3 2" xfId="269"/>
    <cellStyle name="Normal 2 4" xfId="271"/>
    <cellStyle name="Normal 2 4 2" xfId="168"/>
    <cellStyle name="Normal 2 5" xfId="273"/>
    <cellStyle name="Normal 2 5 2" xfId="275"/>
    <cellStyle name="Normal 2 6" xfId="279"/>
    <cellStyle name="Normal 2 6 2" xfId="281"/>
    <cellStyle name="Normal 2 7" xfId="283"/>
    <cellStyle name="Normal 2 7 2" xfId="285"/>
    <cellStyle name="Normal 2 8" xfId="153"/>
    <cellStyle name="Normal 2 8 2" xfId="287"/>
    <cellStyle name="Normal 2 9" xfId="289"/>
    <cellStyle name="Normal 2 9 2" xfId="211"/>
    <cellStyle name="Normal 2 9 3" xfId="214"/>
    <cellStyle name="Normal 2 9 4" xfId="217"/>
    <cellStyle name="Normal 2 9 5" xfId="220"/>
    <cellStyle name="Normal 2 9 6" xfId="224"/>
    <cellStyle name="Normal 2 9 7" xfId="228"/>
    <cellStyle name="Normal 2 9 8" xfId="231"/>
    <cellStyle name="Normal 2 9 9" xfId="233"/>
    <cellStyle name="Normal 20" xfId="491"/>
    <cellStyle name="Normal 21" xfId="409"/>
    <cellStyle name="Normal 22" xfId="495"/>
    <cellStyle name="Normal 23" xfId="498"/>
    <cellStyle name="Normal 24" xfId="115"/>
    <cellStyle name="Normal 25" xfId="124"/>
    <cellStyle name="Normal 26" xfId="129"/>
    <cellStyle name="Normal 27" xfId="132"/>
    <cellStyle name="Normal 28" xfId="141"/>
    <cellStyle name="Normal 29" xfId="137"/>
    <cellStyle name="Normal 3" xfId="502"/>
    <cellStyle name="Normal 30" xfId="123"/>
    <cellStyle name="Normal 31" xfId="128"/>
    <cellStyle name="Normal 32" xfId="131"/>
    <cellStyle name="Normal 33" xfId="140"/>
    <cellStyle name="Normal 34" xfId="136"/>
    <cellStyle name="Normal 35" xfId="503"/>
    <cellStyle name="Normal 35 2" xfId="594"/>
    <cellStyle name="Normal 36" xfId="505"/>
    <cellStyle name="Normal 37" xfId="507"/>
    <cellStyle name="Normal 38" xfId="93"/>
    <cellStyle name="Normal 39" xfId="509"/>
    <cellStyle name="Normal 4" xfId="511"/>
    <cellStyle name="Normal 40" xfId="504"/>
    <cellStyle name="Normal 41" xfId="506"/>
    <cellStyle name="Normal 42" xfId="508"/>
    <cellStyle name="Normal 43" xfId="94"/>
    <cellStyle name="Normal 44" xfId="510"/>
    <cellStyle name="Normal 5" xfId="512"/>
    <cellStyle name="Normal 5 2" xfId="16"/>
    <cellStyle name="Normal 5 2 2" xfId="395"/>
    <cellStyle name="Normal 5 3" xfId="513"/>
    <cellStyle name="Normal 6" xfId="514"/>
    <cellStyle name="Normal 6 2" xfId="515"/>
    <cellStyle name="Normal 7" xfId="480"/>
    <cellStyle name="Normal 7 2" xfId="12"/>
    <cellStyle name="Normal 8" xfId="518"/>
    <cellStyle name="Normal 8 2" xfId="521"/>
    <cellStyle name="Normal 9" xfId="524"/>
    <cellStyle name="Normal 9 2" xfId="526"/>
    <cellStyle name="Normal 9 2 2" xfId="597"/>
    <cellStyle name="Normal 9 3" xfId="527"/>
    <cellStyle name="Normal_Modelo Planilha Financeira" xfId="528"/>
    <cellStyle name="Nota 10" xfId="529"/>
    <cellStyle name="Nota 10 2" xfId="530"/>
    <cellStyle name="Nota 11" xfId="399"/>
    <cellStyle name="Nota 11 2" xfId="531"/>
    <cellStyle name="Nota 12" xfId="532"/>
    <cellStyle name="Nota 13" xfId="534"/>
    <cellStyle name="Nota 14" xfId="320"/>
    <cellStyle name="Nota 15" xfId="535"/>
    <cellStyle name="Nota 16" xfId="537"/>
    <cellStyle name="Nota 17" xfId="539"/>
    <cellStyle name="Nota 18" xfId="541"/>
    <cellStyle name="Nota 19" xfId="543"/>
    <cellStyle name="Nota 2" xfId="481"/>
    <cellStyle name="Nota 2 2" xfId="11"/>
    <cellStyle name="Nota 2 2 2" xfId="173"/>
    <cellStyle name="Nota 2 3" xfId="544"/>
    <cellStyle name="Nota 20" xfId="536"/>
    <cellStyle name="Nota 21" xfId="538"/>
    <cellStyle name="Nota 22" xfId="540"/>
    <cellStyle name="Nota 23" xfId="542"/>
    <cellStyle name="Nota 3" xfId="516"/>
    <cellStyle name="Nota 3 2" xfId="519"/>
    <cellStyle name="Nota 4" xfId="522"/>
    <cellStyle name="Nota 4 2" xfId="525"/>
    <cellStyle name="Nota 5" xfId="545"/>
    <cellStyle name="Nota 5 2" xfId="546"/>
    <cellStyle name="Nota 6" xfId="547"/>
    <cellStyle name="Nota 6 2" xfId="548"/>
    <cellStyle name="Nota 7" xfId="549"/>
    <cellStyle name="Nota 7 2" xfId="323"/>
    <cellStyle name="Nota 8" xfId="550"/>
    <cellStyle name="Nota 8 2" xfId="551"/>
    <cellStyle name="Nota 9" xfId="552"/>
    <cellStyle name="Nota 9 2" xfId="553"/>
    <cellStyle name="Porcentagem 2" xfId="554"/>
    <cellStyle name="Saída 2" xfId="437"/>
    <cellStyle name="Saída 3" xfId="441"/>
    <cellStyle name="Separador de milhares [0] 2" xfId="183"/>
    <cellStyle name="Separador de milhares 2" xfId="120"/>
    <cellStyle name="Separador de milhares 2 2" xfId="555"/>
    <cellStyle name="Separador de milhares 2 3" xfId="556"/>
    <cellStyle name="Separador de milhares 3" xfId="558"/>
    <cellStyle name="Separador de milhares 3 10" xfId="559"/>
    <cellStyle name="Separador de milhares 3 10 2" xfId="596"/>
    <cellStyle name="Separador de milhares 3 2" xfId="560"/>
    <cellStyle name="Separador de milhares 4" xfId="562"/>
    <cellStyle name="Separador de milhares 4 2" xfId="517"/>
    <cellStyle name="Separador de milhares 4 2 2" xfId="520"/>
    <cellStyle name="Separador de milhares 4 3" xfId="523"/>
    <cellStyle name="TableStyleLight1" xfId="533"/>
    <cellStyle name="Texto de Aviso 2" xfId="563"/>
    <cellStyle name="Texto de Aviso 3" xfId="25"/>
    <cellStyle name="Texto Explicativo 2" xfId="394"/>
    <cellStyle name="Texto Explicativo 3" xfId="564"/>
    <cellStyle name="Título 1 2" xfId="565"/>
    <cellStyle name="Título 1 3" xfId="566"/>
    <cellStyle name="Título 2 2" xfId="567"/>
    <cellStyle name="Título 2 3" xfId="568"/>
    <cellStyle name="Título 3 2" xfId="557"/>
    <cellStyle name="Título 3 3" xfId="561"/>
    <cellStyle name="Título 4 2" xfId="49"/>
    <cellStyle name="Título 4 3" xfId="569"/>
    <cellStyle name="Título 5" xfId="53"/>
    <cellStyle name="Título 6" xfId="37"/>
    <cellStyle name="Título 7" xfId="40"/>
    <cellStyle name="Total 2" xfId="570"/>
    <cellStyle name="Total 3" xfId="571"/>
    <cellStyle name="Vírgula" xfId="3" builtinId="3"/>
    <cellStyle name="Vírgula 10" xfId="572"/>
    <cellStyle name="Vírgula 11" xfId="573"/>
    <cellStyle name="Vírgula 12" xfId="574"/>
    <cellStyle name="Vírgula 13" xfId="575"/>
    <cellStyle name="Vírgula 14" xfId="576"/>
    <cellStyle name="Vírgula 15" xfId="577"/>
    <cellStyle name="Vírgula 16" xfId="579"/>
    <cellStyle name="Vírgula 17" xfId="581"/>
    <cellStyle name="Vírgula 18" xfId="582"/>
    <cellStyle name="Vírgula 19" xfId="583"/>
    <cellStyle name="Vírgula 2" xfId="199"/>
    <cellStyle name="Vírgula 2 2" xfId="584"/>
    <cellStyle name="Vírgula 20" xfId="578"/>
    <cellStyle name="Vírgula 21" xfId="580"/>
    <cellStyle name="Vírgula 21 2" xfId="585"/>
    <cellStyle name="Vírgula 3" xfId="417"/>
    <cellStyle name="Vírgula 3 2" xfId="586"/>
    <cellStyle name="Vírgula 4" xfId="420"/>
    <cellStyle name="Vírgula 4 2" xfId="587"/>
    <cellStyle name="Vírgula 4 2 2" xfId="595"/>
    <cellStyle name="Vírgula 4 3" xfId="7"/>
    <cellStyle name="Vírgula 5" xfId="422"/>
    <cellStyle name="Vírgula 5 2" xfId="588"/>
    <cellStyle name="Vírgula 6" xfId="589"/>
    <cellStyle name="Vírgula 6 2" xfId="590"/>
    <cellStyle name="Vírgula 7" xfId="8"/>
    <cellStyle name="Vírgula 7 2" xfId="463"/>
    <cellStyle name="Vírgula 8" xfId="591"/>
    <cellStyle name="Vírgula 8 2" xfId="592"/>
    <cellStyle name="Vírgula 9" xfId="5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9.png"/><Relationship Id="rId1" Type="http://schemas.openxmlformats.org/officeDocument/2006/relationships/image" Target="../media/image1.jpeg"/><Relationship Id="rId4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9.png"/><Relationship Id="rId1" Type="http://schemas.openxmlformats.org/officeDocument/2006/relationships/image" Target="../media/image1.jpeg"/><Relationship Id="rId4" Type="http://schemas.openxmlformats.org/officeDocument/2006/relationships/image" Target="../media/image1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9.png"/><Relationship Id="rId1" Type="http://schemas.openxmlformats.org/officeDocument/2006/relationships/image" Target="../media/image1.jpeg"/><Relationship Id="rId4" Type="http://schemas.openxmlformats.org/officeDocument/2006/relationships/image" Target="../media/image1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9.png"/><Relationship Id="rId1" Type="http://schemas.openxmlformats.org/officeDocument/2006/relationships/image" Target="../media/image1.jpeg"/><Relationship Id="rId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7.png"/><Relationship Id="rId1" Type="http://schemas.openxmlformats.org/officeDocument/2006/relationships/image" Target="../media/image6.jpeg"/><Relationship Id="rId4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7.png"/><Relationship Id="rId1" Type="http://schemas.openxmlformats.org/officeDocument/2006/relationships/image" Target="../media/image6.jpe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jpeg"/><Relationship Id="rId1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9.png"/><Relationship Id="rId1" Type="http://schemas.openxmlformats.org/officeDocument/2006/relationships/image" Target="../media/image1.jpe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5" name="Imagem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66</xdr:row>
      <xdr:rowOff>76200</xdr:rowOff>
    </xdr:from>
    <xdr:to>
      <xdr:col>0</xdr:col>
      <xdr:colOff>1134745</xdr:colOff>
      <xdr:row>70</xdr:row>
      <xdr:rowOff>123825</xdr:rowOff>
    </xdr:to>
    <xdr:pic>
      <xdr:nvPicPr>
        <xdr:cNvPr id="6" name="Imagem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973425"/>
          <a:ext cx="93472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119</xdr:row>
      <xdr:rowOff>57150</xdr:rowOff>
    </xdr:from>
    <xdr:to>
      <xdr:col>0</xdr:col>
      <xdr:colOff>1106170</xdr:colOff>
      <xdr:row>124</xdr:row>
      <xdr:rowOff>73660</xdr:rowOff>
    </xdr:to>
    <xdr:pic>
      <xdr:nvPicPr>
        <xdr:cNvPr id="7" name="Imagem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813125"/>
          <a:ext cx="934720" cy="10166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8" name="Imagem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9" name="Imagem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66</xdr:row>
      <xdr:rowOff>76200</xdr:rowOff>
    </xdr:from>
    <xdr:to>
      <xdr:col>0</xdr:col>
      <xdr:colOff>1134745</xdr:colOff>
      <xdr:row>70</xdr:row>
      <xdr:rowOff>123825</xdr:rowOff>
    </xdr:to>
    <xdr:pic>
      <xdr:nvPicPr>
        <xdr:cNvPr id="10" name="Imagem 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973425"/>
          <a:ext cx="93472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119</xdr:row>
      <xdr:rowOff>57150</xdr:rowOff>
    </xdr:from>
    <xdr:to>
      <xdr:col>0</xdr:col>
      <xdr:colOff>1106170</xdr:colOff>
      <xdr:row>124</xdr:row>
      <xdr:rowOff>73660</xdr:rowOff>
    </xdr:to>
    <xdr:pic>
      <xdr:nvPicPr>
        <xdr:cNvPr id="11" name="Imagem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813125"/>
          <a:ext cx="934720" cy="101663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66</xdr:row>
      <xdr:rowOff>95250</xdr:rowOff>
    </xdr:from>
    <xdr:to>
      <xdr:col>0</xdr:col>
      <xdr:colOff>1134745</xdr:colOff>
      <xdr:row>70</xdr:row>
      <xdr:rowOff>142875</xdr:rowOff>
    </xdr:to>
    <xdr:pic>
      <xdr:nvPicPr>
        <xdr:cNvPr id="12" name="Imagem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992475"/>
          <a:ext cx="934720" cy="847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2878905</xdr:colOff>
      <xdr:row>0</xdr:row>
      <xdr:rowOff>181938</xdr:rowOff>
    </xdr:from>
    <xdr:to>
      <xdr:col>2</xdr:col>
      <xdr:colOff>535113</xdr:colOff>
      <xdr:row>3</xdr:row>
      <xdr:rowOff>171235</xdr:rowOff>
    </xdr:to>
    <xdr:pic>
      <xdr:nvPicPr>
        <xdr:cNvPr id="5" name="Imagem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6205" y="181610"/>
          <a:ext cx="1028065" cy="789305"/>
        </a:xfrm>
        <a:prstGeom prst="rect">
          <a:avLst/>
        </a:prstGeom>
      </xdr:spPr>
    </xdr:pic>
    <xdr:clientData/>
  </xdr:twoCellAnchor>
  <xdr:twoCellAnchor editAs="oneCell">
    <xdr:from>
      <xdr:col>3</xdr:col>
      <xdr:colOff>224748</xdr:colOff>
      <xdr:row>0</xdr:row>
      <xdr:rowOff>192640</xdr:rowOff>
    </xdr:from>
    <xdr:to>
      <xdr:col>5</xdr:col>
      <xdr:colOff>460198</xdr:colOff>
      <xdr:row>3</xdr:row>
      <xdr:rowOff>128426</xdr:rowOff>
    </xdr:to>
    <xdr:pic>
      <xdr:nvPicPr>
        <xdr:cNvPr id="10" name="Imagem 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96255" y="192405"/>
          <a:ext cx="1321435" cy="735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738455</xdr:colOff>
      <xdr:row>0</xdr:row>
      <xdr:rowOff>256854</xdr:rowOff>
    </xdr:from>
    <xdr:to>
      <xdr:col>1</xdr:col>
      <xdr:colOff>2365197</xdr:colOff>
      <xdr:row>3</xdr:row>
      <xdr:rowOff>107022</xdr:rowOff>
    </xdr:to>
    <xdr:pic>
      <xdr:nvPicPr>
        <xdr:cNvPr id="4" name="Imagem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85620" y="256540"/>
          <a:ext cx="1626870" cy="650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235450</xdr:colOff>
      <xdr:row>0</xdr:row>
      <xdr:rowOff>246152</xdr:rowOff>
    </xdr:from>
    <xdr:to>
      <xdr:col>8</xdr:col>
      <xdr:colOff>103384</xdr:colOff>
      <xdr:row>3</xdr:row>
      <xdr:rowOff>179448</xdr:rowOff>
    </xdr:to>
    <xdr:pic>
      <xdr:nvPicPr>
        <xdr:cNvPr id="6" name="Imagem 5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302500" y="245745"/>
          <a:ext cx="896620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0</xdr:row>
      <xdr:rowOff>28575</xdr:rowOff>
    </xdr:from>
    <xdr:to>
      <xdr:col>5</xdr:col>
      <xdr:colOff>267970</xdr:colOff>
      <xdr:row>4</xdr:row>
      <xdr:rowOff>168910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2857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0</xdr:row>
      <xdr:rowOff>180975</xdr:rowOff>
    </xdr:from>
    <xdr:to>
      <xdr:col>6</xdr:col>
      <xdr:colOff>992527</xdr:colOff>
      <xdr:row>4</xdr:row>
      <xdr:rowOff>33605</xdr:rowOff>
    </xdr:to>
    <xdr:pic>
      <xdr:nvPicPr>
        <xdr:cNvPr id="4" name="Imagem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77075" y="180975"/>
          <a:ext cx="1316355" cy="6140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514349</xdr:colOff>
      <xdr:row>0</xdr:row>
      <xdr:rowOff>171450</xdr:rowOff>
    </xdr:from>
    <xdr:to>
      <xdr:col>3</xdr:col>
      <xdr:colOff>933449</xdr:colOff>
      <xdr:row>3</xdr:row>
      <xdr:rowOff>152400</xdr:rowOff>
    </xdr:to>
    <xdr:pic>
      <xdr:nvPicPr>
        <xdr:cNvPr id="5" name="Imagem 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85540" y="171450"/>
          <a:ext cx="1476375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428624</xdr:colOff>
      <xdr:row>0</xdr:row>
      <xdr:rowOff>95250</xdr:rowOff>
    </xdr:from>
    <xdr:to>
      <xdr:col>8</xdr:col>
      <xdr:colOff>352424</xdr:colOff>
      <xdr:row>4</xdr:row>
      <xdr:rowOff>104775</xdr:rowOff>
    </xdr:to>
    <xdr:pic>
      <xdr:nvPicPr>
        <xdr:cNvPr id="6" name="Imagem 5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86190" y="95250"/>
          <a:ext cx="981075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1899241</xdr:colOff>
      <xdr:row>0</xdr:row>
      <xdr:rowOff>83954</xdr:rowOff>
    </xdr:from>
    <xdr:to>
      <xdr:col>4</xdr:col>
      <xdr:colOff>96801</xdr:colOff>
      <xdr:row>4</xdr:row>
      <xdr:rowOff>134902</xdr:rowOff>
    </xdr:to>
    <xdr:pic>
      <xdr:nvPicPr>
        <xdr:cNvPr id="5" name="Imagem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4050" y="83820"/>
          <a:ext cx="864870" cy="850900"/>
        </a:xfrm>
        <a:prstGeom prst="rect">
          <a:avLst/>
        </a:prstGeom>
      </xdr:spPr>
    </xdr:pic>
    <xdr:clientData/>
  </xdr:twoCellAnchor>
  <xdr:twoCellAnchor editAs="oneCell">
    <xdr:from>
      <xdr:col>4</xdr:col>
      <xdr:colOff>608493</xdr:colOff>
      <xdr:row>0</xdr:row>
      <xdr:rowOff>175882</xdr:rowOff>
    </xdr:from>
    <xdr:to>
      <xdr:col>4</xdr:col>
      <xdr:colOff>1924870</xdr:colOff>
      <xdr:row>4</xdr:row>
      <xdr:rowOff>108035</xdr:rowOff>
    </xdr:to>
    <xdr:pic>
      <xdr:nvPicPr>
        <xdr:cNvPr id="7" name="Imagem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380730" y="175260"/>
          <a:ext cx="1316355" cy="7327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66452</xdr:colOff>
      <xdr:row>1</xdr:row>
      <xdr:rowOff>110757</xdr:rowOff>
    </xdr:from>
    <xdr:to>
      <xdr:col>3</xdr:col>
      <xdr:colOff>1583807</xdr:colOff>
      <xdr:row>4</xdr:row>
      <xdr:rowOff>22151</xdr:rowOff>
    </xdr:to>
    <xdr:pic>
      <xdr:nvPicPr>
        <xdr:cNvPr id="4" name="Imagem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71440" y="310515"/>
          <a:ext cx="1517650" cy="511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310115</xdr:colOff>
      <xdr:row>0</xdr:row>
      <xdr:rowOff>132908</xdr:rowOff>
    </xdr:from>
    <xdr:to>
      <xdr:col>5</xdr:col>
      <xdr:colOff>1295842</xdr:colOff>
      <xdr:row>4</xdr:row>
      <xdr:rowOff>160036</xdr:rowOff>
    </xdr:to>
    <xdr:pic>
      <xdr:nvPicPr>
        <xdr:cNvPr id="6" name="Imagem 5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44430" y="132715"/>
          <a:ext cx="985520" cy="827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352424</xdr:colOff>
      <xdr:row>0</xdr:row>
      <xdr:rowOff>57151</xdr:rowOff>
    </xdr:from>
    <xdr:to>
      <xdr:col>3</xdr:col>
      <xdr:colOff>247649</xdr:colOff>
      <xdr:row>4</xdr:row>
      <xdr:rowOff>152401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165" y="57150"/>
          <a:ext cx="847725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257175</xdr:colOff>
      <xdr:row>1</xdr:row>
      <xdr:rowOff>38100</xdr:rowOff>
    </xdr:from>
    <xdr:to>
      <xdr:col>5</xdr:col>
      <xdr:colOff>609600</xdr:colOff>
      <xdr:row>4</xdr:row>
      <xdr:rowOff>33606</xdr:rowOff>
    </xdr:to>
    <xdr:pic>
      <xdr:nvPicPr>
        <xdr:cNvPr id="4" name="Imagem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34075" y="228600"/>
          <a:ext cx="1190625" cy="5664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1495425</xdr:colOff>
      <xdr:row>0</xdr:row>
      <xdr:rowOff>161925</xdr:rowOff>
    </xdr:from>
    <xdr:to>
      <xdr:col>1</xdr:col>
      <xdr:colOff>2828925</xdr:colOff>
      <xdr:row>3</xdr:row>
      <xdr:rowOff>152400</xdr:rowOff>
    </xdr:to>
    <xdr:pic>
      <xdr:nvPicPr>
        <xdr:cNvPr id="5" name="Imagem 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0" y="161925"/>
          <a:ext cx="1333500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1019175</xdr:colOff>
      <xdr:row>0</xdr:row>
      <xdr:rowOff>95250</xdr:rowOff>
    </xdr:from>
    <xdr:to>
      <xdr:col>5</xdr:col>
      <xdr:colOff>1914525</xdr:colOff>
      <xdr:row>4</xdr:row>
      <xdr:rowOff>69215</xdr:rowOff>
    </xdr:to>
    <xdr:pic>
      <xdr:nvPicPr>
        <xdr:cNvPr id="6" name="Imagem 5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34275" y="95250"/>
          <a:ext cx="895350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0</xdr:row>
      <xdr:rowOff>66676</xdr:rowOff>
    </xdr:from>
    <xdr:to>
      <xdr:col>2</xdr:col>
      <xdr:colOff>1019175</xdr:colOff>
      <xdr:row>4</xdr:row>
      <xdr:rowOff>180975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0740" y="66675"/>
          <a:ext cx="953135" cy="923925"/>
        </a:xfrm>
        <a:prstGeom prst="rect">
          <a:avLst/>
        </a:prstGeom>
      </xdr:spPr>
    </xdr:pic>
    <xdr:clientData/>
  </xdr:twoCellAnchor>
  <xdr:twoCellAnchor editAs="oneCell">
    <xdr:from>
      <xdr:col>4</xdr:col>
      <xdr:colOff>3009899</xdr:colOff>
      <xdr:row>1</xdr:row>
      <xdr:rowOff>38100</xdr:rowOff>
    </xdr:from>
    <xdr:to>
      <xdr:col>5</xdr:col>
      <xdr:colOff>581025</xdr:colOff>
      <xdr:row>4</xdr:row>
      <xdr:rowOff>9524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162665" y="228600"/>
          <a:ext cx="1381760" cy="5899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590550</xdr:colOff>
      <xdr:row>1</xdr:row>
      <xdr:rowOff>38100</xdr:rowOff>
    </xdr:from>
    <xdr:to>
      <xdr:col>1</xdr:col>
      <xdr:colOff>485775</xdr:colOff>
      <xdr:row>4</xdr:row>
      <xdr:rowOff>38100</xdr:rowOff>
    </xdr:to>
    <xdr:pic>
      <xdr:nvPicPr>
        <xdr:cNvPr id="4" name="Imagem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0550" y="228600"/>
          <a:ext cx="1628775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1438275</xdr:colOff>
      <xdr:row>0</xdr:row>
      <xdr:rowOff>104775</xdr:rowOff>
    </xdr:from>
    <xdr:to>
      <xdr:col>6</xdr:col>
      <xdr:colOff>813435</xdr:colOff>
      <xdr:row>5</xdr:row>
      <xdr:rowOff>31115</xdr:rowOff>
    </xdr:to>
    <xdr:pic>
      <xdr:nvPicPr>
        <xdr:cNvPr id="5" name="Imagem 4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401675" y="104775"/>
          <a:ext cx="1232535" cy="926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180976</xdr:rowOff>
    </xdr:from>
    <xdr:to>
      <xdr:col>1</xdr:col>
      <xdr:colOff>657225</xdr:colOff>
      <xdr:row>4</xdr:row>
      <xdr:rowOff>180976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180975"/>
          <a:ext cx="809625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1285876</xdr:colOff>
      <xdr:row>1</xdr:row>
      <xdr:rowOff>123826</xdr:rowOff>
    </xdr:from>
    <xdr:to>
      <xdr:col>4</xdr:col>
      <xdr:colOff>447675</xdr:colOff>
      <xdr:row>4</xdr:row>
      <xdr:rowOff>66676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77050" y="314325"/>
          <a:ext cx="110490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104776</xdr:colOff>
      <xdr:row>1</xdr:row>
      <xdr:rowOff>123825</xdr:rowOff>
    </xdr:from>
    <xdr:to>
      <xdr:col>0</xdr:col>
      <xdr:colOff>1381126</xdr:colOff>
      <xdr:row>3</xdr:row>
      <xdr:rowOff>180975</xdr:rowOff>
    </xdr:to>
    <xdr:pic>
      <xdr:nvPicPr>
        <xdr:cNvPr id="4" name="Imagem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4775" y="314325"/>
          <a:ext cx="1276350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552451</xdr:colOff>
      <xdr:row>1</xdr:row>
      <xdr:rowOff>76200</xdr:rowOff>
    </xdr:from>
    <xdr:to>
      <xdr:col>4</xdr:col>
      <xdr:colOff>1447801</xdr:colOff>
      <xdr:row>5</xdr:row>
      <xdr:rowOff>21590</xdr:rowOff>
    </xdr:to>
    <xdr:pic>
      <xdr:nvPicPr>
        <xdr:cNvPr id="5" name="Imagem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86725" y="266700"/>
          <a:ext cx="895350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1466849</xdr:colOff>
      <xdr:row>1</xdr:row>
      <xdr:rowOff>1</xdr:rowOff>
    </xdr:from>
    <xdr:to>
      <xdr:col>1</xdr:col>
      <xdr:colOff>609599</xdr:colOff>
      <xdr:row>4</xdr:row>
      <xdr:rowOff>190501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215" y="190500"/>
          <a:ext cx="847725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1457325</xdr:colOff>
      <xdr:row>1</xdr:row>
      <xdr:rowOff>123826</xdr:rowOff>
    </xdr:from>
    <xdr:to>
      <xdr:col>4</xdr:col>
      <xdr:colOff>514350</xdr:colOff>
      <xdr:row>4</xdr:row>
      <xdr:rowOff>57150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48500" y="314325"/>
          <a:ext cx="1000125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1</xdr:row>
      <xdr:rowOff>171450</xdr:rowOff>
    </xdr:from>
    <xdr:to>
      <xdr:col>0</xdr:col>
      <xdr:colOff>1371600</xdr:colOff>
      <xdr:row>4</xdr:row>
      <xdr:rowOff>28575</xdr:rowOff>
    </xdr:to>
    <xdr:pic>
      <xdr:nvPicPr>
        <xdr:cNvPr id="4" name="Imagem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0" y="361950"/>
          <a:ext cx="1276350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638175</xdr:colOff>
      <xdr:row>1</xdr:row>
      <xdr:rowOff>76200</xdr:rowOff>
    </xdr:from>
    <xdr:to>
      <xdr:col>4</xdr:col>
      <xdr:colOff>1533525</xdr:colOff>
      <xdr:row>5</xdr:row>
      <xdr:rowOff>21590</xdr:rowOff>
    </xdr:to>
    <xdr:pic>
      <xdr:nvPicPr>
        <xdr:cNvPr id="5" name="Imagem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172450" y="266700"/>
          <a:ext cx="895350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2276475</xdr:colOff>
      <xdr:row>0</xdr:row>
      <xdr:rowOff>123825</xdr:rowOff>
    </xdr:from>
    <xdr:to>
      <xdr:col>1</xdr:col>
      <xdr:colOff>3429000</xdr:colOff>
      <xdr:row>4</xdr:row>
      <xdr:rowOff>38100</xdr:rowOff>
    </xdr:to>
    <xdr:pic>
      <xdr:nvPicPr>
        <xdr:cNvPr id="9" name="Imagem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81325" y="123825"/>
          <a:ext cx="1152525" cy="676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933450</xdr:colOff>
      <xdr:row>0</xdr:row>
      <xdr:rowOff>95250</xdr:rowOff>
    </xdr:from>
    <xdr:to>
      <xdr:col>1</xdr:col>
      <xdr:colOff>1790699</xdr:colOff>
      <xdr:row>4</xdr:row>
      <xdr:rowOff>76199</xdr:rowOff>
    </xdr:to>
    <xdr:pic>
      <xdr:nvPicPr>
        <xdr:cNvPr id="10" name="Imagem 9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" y="95250"/>
          <a:ext cx="856615" cy="7423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47625</xdr:rowOff>
    </xdr:from>
    <xdr:to>
      <xdr:col>1</xdr:col>
      <xdr:colOff>571500</xdr:colOff>
      <xdr:row>3</xdr:row>
      <xdr:rowOff>114300</xdr:rowOff>
    </xdr:to>
    <xdr:pic>
      <xdr:nvPicPr>
        <xdr:cNvPr id="4" name="Imagem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38125"/>
          <a:ext cx="1276350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133350</xdr:colOff>
      <xdr:row>0</xdr:row>
      <xdr:rowOff>133350</xdr:rowOff>
    </xdr:from>
    <xdr:to>
      <xdr:col>2</xdr:col>
      <xdr:colOff>1028700</xdr:colOff>
      <xdr:row>4</xdr:row>
      <xdr:rowOff>107315</xdr:rowOff>
    </xdr:to>
    <xdr:pic>
      <xdr:nvPicPr>
        <xdr:cNvPr id="5" name="Imagem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505325" y="133350"/>
          <a:ext cx="895350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2886075</xdr:colOff>
      <xdr:row>0</xdr:row>
      <xdr:rowOff>161925</xdr:rowOff>
    </xdr:from>
    <xdr:to>
      <xdr:col>0</xdr:col>
      <xdr:colOff>3762375</xdr:colOff>
      <xdr:row>5</xdr:row>
      <xdr:rowOff>57150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61925"/>
          <a:ext cx="876300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1438276</xdr:colOff>
      <xdr:row>1</xdr:row>
      <xdr:rowOff>28574</xdr:rowOff>
    </xdr:from>
    <xdr:to>
      <xdr:col>5</xdr:col>
      <xdr:colOff>1123950</xdr:colOff>
      <xdr:row>4</xdr:row>
      <xdr:rowOff>53339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10775" y="218440"/>
          <a:ext cx="1209675" cy="615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981075</xdr:colOff>
      <xdr:row>1</xdr:row>
      <xdr:rowOff>133350</xdr:rowOff>
    </xdr:from>
    <xdr:to>
      <xdr:col>0</xdr:col>
      <xdr:colOff>2466975</xdr:colOff>
      <xdr:row>4</xdr:row>
      <xdr:rowOff>66675</xdr:rowOff>
    </xdr:to>
    <xdr:pic>
      <xdr:nvPicPr>
        <xdr:cNvPr id="4" name="Imagem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1075" y="323850"/>
          <a:ext cx="1485900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1485900</xdr:colOff>
      <xdr:row>0</xdr:row>
      <xdr:rowOff>161925</xdr:rowOff>
    </xdr:from>
    <xdr:to>
      <xdr:col>6</xdr:col>
      <xdr:colOff>933450</xdr:colOff>
      <xdr:row>5</xdr:row>
      <xdr:rowOff>19050</xdr:rowOff>
    </xdr:to>
    <xdr:pic>
      <xdr:nvPicPr>
        <xdr:cNvPr id="5" name="Imagem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582400" y="161925"/>
          <a:ext cx="9715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3</xdr:row>
      <xdr:rowOff>133350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0"/>
          <a:ext cx="0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1316377</xdr:colOff>
      <xdr:row>3</xdr:row>
      <xdr:rowOff>14555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449300" y="0"/>
          <a:ext cx="1905" cy="737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0</xdr:rowOff>
    </xdr:to>
    <xdr:pic>
      <xdr:nvPicPr>
        <xdr:cNvPr id="6" name="Imagem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55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2</xdr:row>
      <xdr:rowOff>71705</xdr:rowOff>
    </xdr:to>
    <xdr:pic>
      <xdr:nvPicPr>
        <xdr:cNvPr id="7" name="Imagem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410700" y="0"/>
          <a:ext cx="1905" cy="604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161925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2</xdr:row>
      <xdr:rowOff>43130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6051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186005</xdr:rowOff>
    </xdr:to>
    <xdr:pic>
      <xdr:nvPicPr>
        <xdr:cNvPr id="5" name="Imagem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557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171450</xdr:rowOff>
    </xdr:to>
    <xdr:pic>
      <xdr:nvPicPr>
        <xdr:cNvPr id="6" name="Imagem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52655</xdr:rowOff>
    </xdr:to>
    <xdr:pic>
      <xdr:nvPicPr>
        <xdr:cNvPr id="7" name="Imagem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171450</xdr:rowOff>
    </xdr:to>
    <xdr:pic>
      <xdr:nvPicPr>
        <xdr:cNvPr id="8" name="Imagem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52655</xdr:rowOff>
    </xdr:to>
    <xdr:pic>
      <xdr:nvPicPr>
        <xdr:cNvPr id="9" name="Imagem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161925</xdr:rowOff>
    </xdr:to>
    <xdr:pic>
      <xdr:nvPicPr>
        <xdr:cNvPr id="10" name="Imagem 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2</xdr:row>
      <xdr:rowOff>43130</xdr:rowOff>
    </xdr:to>
    <xdr:pic>
      <xdr:nvPicPr>
        <xdr:cNvPr id="11" name="Imagem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6051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0</xdr:rowOff>
    </xdr:to>
    <xdr:pic>
      <xdr:nvPicPr>
        <xdr:cNvPr id="12" name="Imagem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186005</xdr:rowOff>
    </xdr:to>
    <xdr:pic>
      <xdr:nvPicPr>
        <xdr:cNvPr id="13" name="Imagem 1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557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171450</xdr:rowOff>
    </xdr:to>
    <xdr:pic>
      <xdr:nvPicPr>
        <xdr:cNvPr id="14" name="Imagem 1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52655</xdr:rowOff>
    </xdr:to>
    <xdr:pic>
      <xdr:nvPicPr>
        <xdr:cNvPr id="15" name="Imagem 1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171450</xdr:rowOff>
    </xdr:to>
    <xdr:pic>
      <xdr:nvPicPr>
        <xdr:cNvPr id="16" name="Imagem 1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52655</xdr:rowOff>
    </xdr:to>
    <xdr:pic>
      <xdr:nvPicPr>
        <xdr:cNvPr id="17" name="Imagem 1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43130</xdr:rowOff>
    </xdr:to>
    <xdr:pic>
      <xdr:nvPicPr>
        <xdr:cNvPr id="11" name="Imagem 1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43130</xdr:rowOff>
    </xdr:to>
    <xdr:pic>
      <xdr:nvPicPr>
        <xdr:cNvPr id="12" name="Imagem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43130</xdr:rowOff>
    </xdr:to>
    <xdr:pic>
      <xdr:nvPicPr>
        <xdr:cNvPr id="13" name="Imagem 1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43130</xdr:rowOff>
    </xdr:to>
    <xdr:pic>
      <xdr:nvPicPr>
        <xdr:cNvPr id="14" name="Imagem 1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43130</xdr:rowOff>
    </xdr:to>
    <xdr:pic>
      <xdr:nvPicPr>
        <xdr:cNvPr id="15" name="Imagem 1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43130</xdr:rowOff>
    </xdr:to>
    <xdr:pic>
      <xdr:nvPicPr>
        <xdr:cNvPr id="16" name="Imagem 1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UuSOchquqxD8YeJfA3ai-DuSkYOYje0" TargetMode="External"/><Relationship Id="rId13" Type="http://schemas.openxmlformats.org/officeDocument/2006/relationships/hyperlink" Target="https://drive.google.com/file/d/1BIVsNgjrTzV0e-zcKhHonea6HOuU1gOH" TargetMode="External"/><Relationship Id="rId18" Type="http://schemas.openxmlformats.org/officeDocument/2006/relationships/hyperlink" Target="https://drive.google.com/file/d/1VBk06H4VEQkxF5hgQTyvQD4KLB8Tnp5d" TargetMode="External"/><Relationship Id="rId26" Type="http://schemas.openxmlformats.org/officeDocument/2006/relationships/hyperlink" Target="https://drive.google.com/file/d/1zEyj_jBmylR0tHDrheLVoqQrUbDhdall" TargetMode="External"/><Relationship Id="rId39" Type="http://schemas.openxmlformats.org/officeDocument/2006/relationships/hyperlink" Target="https://drive.google.com/file/d/1YTN1908Z2w0icimk9Ax_xdc8bWxX4nh-" TargetMode="External"/><Relationship Id="rId3" Type="http://schemas.openxmlformats.org/officeDocument/2006/relationships/hyperlink" Target="https://drive.google.com/open?id=1N9EEoN6emPhfiUSEFUR3BXUimJRkJ31S" TargetMode="External"/><Relationship Id="rId21" Type="http://schemas.openxmlformats.org/officeDocument/2006/relationships/hyperlink" Target="https://drive.google.com/file/d/1wdxdhtVOp-UTf9ow3gsAurFYgCldJapj" TargetMode="External"/><Relationship Id="rId34" Type="http://schemas.openxmlformats.org/officeDocument/2006/relationships/hyperlink" Target="https://drive.google.com/file/d/1tpRXXVCAPPciFUSuyEvVSz6sdmNRUqWW" TargetMode="External"/><Relationship Id="rId42" Type="http://schemas.openxmlformats.org/officeDocument/2006/relationships/hyperlink" Target="https://drive.google.com/file/d/1xEObsAMd1WycjOMiuD29rE92AvsHAoRv" TargetMode="External"/><Relationship Id="rId47" Type="http://schemas.openxmlformats.org/officeDocument/2006/relationships/drawing" Target="../drawings/drawing8.xml"/><Relationship Id="rId7" Type="http://schemas.openxmlformats.org/officeDocument/2006/relationships/hyperlink" Target="https://drive.google.com/open?id=1HhSdbSmBs70pIv9e4cFrzua_1B6JZPMo" TargetMode="External"/><Relationship Id="rId12" Type="http://schemas.openxmlformats.org/officeDocument/2006/relationships/hyperlink" Target="https://drive.google.com/file/d/1UVwPG4vTuNCe-VABNCf4amUUvnASoXT4" TargetMode="External"/><Relationship Id="rId17" Type="http://schemas.openxmlformats.org/officeDocument/2006/relationships/hyperlink" Target="https://drive.google.com/file/d/18FaGhlrodYfmS6GUjqLuDxBi-yFwqIff" TargetMode="External"/><Relationship Id="rId25" Type="http://schemas.openxmlformats.org/officeDocument/2006/relationships/hyperlink" Target="https://drive.google.com/file/d/1VsQpG2wAvjSYwjVV2WTt_DZNJ8k08tAC" TargetMode="External"/><Relationship Id="rId33" Type="http://schemas.openxmlformats.org/officeDocument/2006/relationships/hyperlink" Target="https://drive.google.com/file/d/1p_eVicCz926-MsWEiuCG80sfEKX5HuFa" TargetMode="External"/><Relationship Id="rId38" Type="http://schemas.openxmlformats.org/officeDocument/2006/relationships/hyperlink" Target="https://drive.google.com/file/d/15-wxDoYRw9Gl7Ev-35jlMbUFoI2SQwtB" TargetMode="External"/><Relationship Id="rId46" Type="http://schemas.openxmlformats.org/officeDocument/2006/relationships/printerSettings" Target="../printerSettings/printerSettings10.bin"/><Relationship Id="rId2" Type="http://schemas.openxmlformats.org/officeDocument/2006/relationships/hyperlink" Target="https://drive.google.com/open?id=13mloGLQbyoAsI9tG633YodVJhHUyhizU" TargetMode="External"/><Relationship Id="rId16" Type="http://schemas.openxmlformats.org/officeDocument/2006/relationships/hyperlink" Target="https://drive.google.com/file/d/1ci6EbY-nRjZzgrVU-huMBiGL4U70aH3b" TargetMode="External"/><Relationship Id="rId20" Type="http://schemas.openxmlformats.org/officeDocument/2006/relationships/hyperlink" Target="https://drive.google.com/file/d/1SeHzFEUQrQgnQNYeAt2X1NUOwoH599qD" TargetMode="External"/><Relationship Id="rId29" Type="http://schemas.openxmlformats.org/officeDocument/2006/relationships/hyperlink" Target="https://drive.google.com/file/d/16do4CJpuCxgZWqClKC5mnnQ6d9lvJ4_b" TargetMode="External"/><Relationship Id="rId41" Type="http://schemas.openxmlformats.org/officeDocument/2006/relationships/hyperlink" Target="https://drive.google.com/file/d/14ZbIk4PMJF8swTVPBvBCCDWKYZBWyXh_" TargetMode="External"/><Relationship Id="rId1" Type="http://schemas.openxmlformats.org/officeDocument/2006/relationships/hyperlink" Target="https://drive.google.com/open?id=12W_7Pvbr8B-NqFiSxZi_yxqqyJBporJF" TargetMode="External"/><Relationship Id="rId6" Type="http://schemas.openxmlformats.org/officeDocument/2006/relationships/hyperlink" Target="https://drive.google.com/open?id=1ifMUPscZ4h18WRd9TftGWMIj0uMKk1X1" TargetMode="External"/><Relationship Id="rId11" Type="http://schemas.openxmlformats.org/officeDocument/2006/relationships/hyperlink" Target="https://drive.google.com/file/d/1TdKpMDqTl-WBevQa5h9flXhZSJSmn9qk" TargetMode="External"/><Relationship Id="rId24" Type="http://schemas.openxmlformats.org/officeDocument/2006/relationships/hyperlink" Target="https://drive.google.com/file/d/18VwroqnweZrccF_l_7EKmV1mYR17aU4G" TargetMode="External"/><Relationship Id="rId32" Type="http://schemas.openxmlformats.org/officeDocument/2006/relationships/hyperlink" Target="https://drive.google.com/file/d/1SzH3wP-I2wrYWaZG6M6YEaYcFa-ftbYd" TargetMode="External"/><Relationship Id="rId37" Type="http://schemas.openxmlformats.org/officeDocument/2006/relationships/hyperlink" Target="https://drive.google.com/file/d/1eNbg8fwtvZEZ3ByHihMuvFgqdEN3HsKe" TargetMode="External"/><Relationship Id="rId40" Type="http://schemas.openxmlformats.org/officeDocument/2006/relationships/hyperlink" Target="https://drive.google.com/file/d/1t3wW56-9AUbQ7LmkXmfflwDkjs4E_HJj" TargetMode="External"/><Relationship Id="rId45" Type="http://schemas.openxmlformats.org/officeDocument/2006/relationships/hyperlink" Target="https://drive.google.com/file/d/1qjbJivbKv47xC-U6CjfwS9qBVp3xebPB/view?usp=sharing" TargetMode="External"/><Relationship Id="rId5" Type="http://schemas.openxmlformats.org/officeDocument/2006/relationships/hyperlink" Target="https://drive.google.com/open?id=1B-sAMdPILXb0tQOQid0_vqXY1WRVvw8R" TargetMode="External"/><Relationship Id="rId15" Type="http://schemas.openxmlformats.org/officeDocument/2006/relationships/hyperlink" Target="https://drive.google.com/file/d/1kmIEeL_HYNP5kEi_fKWK944MKLskLxkE" TargetMode="External"/><Relationship Id="rId23" Type="http://schemas.openxmlformats.org/officeDocument/2006/relationships/hyperlink" Target="https://drive.google.com/file/d/1JRIgDuYSLQWPqmofHqDD5EcVOVAQxUWw" TargetMode="External"/><Relationship Id="rId28" Type="http://schemas.openxmlformats.org/officeDocument/2006/relationships/hyperlink" Target="https://drive.google.com/file/d/1IU9S8ZVV0NC9Miea7rdRW2d6GeY1b3Xn" TargetMode="External"/><Relationship Id="rId36" Type="http://schemas.openxmlformats.org/officeDocument/2006/relationships/hyperlink" Target="https://drive.google.com/file/d/1Y1h0mIwxlhQYz5fZ_jqLpu0ELMIIePtB" TargetMode="External"/><Relationship Id="rId10" Type="http://schemas.openxmlformats.org/officeDocument/2006/relationships/hyperlink" Target="https://drive.google.com/open?id=1iXRZrAd9g__HeCQpsb1X9Rgxm8DK0TN9" TargetMode="External"/><Relationship Id="rId19" Type="http://schemas.openxmlformats.org/officeDocument/2006/relationships/hyperlink" Target="https://drive.google.com/file/d/1PW4a2c9TUNn_4NpeqHivLCyMcd5oSpXk" TargetMode="External"/><Relationship Id="rId31" Type="http://schemas.openxmlformats.org/officeDocument/2006/relationships/hyperlink" Target="https://drive.google.com/file/d/1KzHfBLNa_TIRw01lThCCdPNvt8Z5DwIJ" TargetMode="External"/><Relationship Id="rId44" Type="http://schemas.openxmlformats.org/officeDocument/2006/relationships/hyperlink" Target="https://drive.google.com/file/d/1JXTTe1Zi-YmFzA24LTq1Rm-SERSgH1Hs" TargetMode="External"/><Relationship Id="rId4" Type="http://schemas.openxmlformats.org/officeDocument/2006/relationships/hyperlink" Target="https://drive.google.com/open?id=1z5iERD74HUScDR_XvYS57oj8IIzNW1io" TargetMode="External"/><Relationship Id="rId9" Type="http://schemas.openxmlformats.org/officeDocument/2006/relationships/hyperlink" Target="https://drive.google.com/open?id=1m-4Lh40CRV2WzygJWRkj5kHNk_-mW3sM" TargetMode="External"/><Relationship Id="rId14" Type="http://schemas.openxmlformats.org/officeDocument/2006/relationships/hyperlink" Target="https://drive.google.com/file/d/1_s_sd83q3ZjaTtzKCyDUq2SgktfGkflH" TargetMode="External"/><Relationship Id="rId22" Type="http://schemas.openxmlformats.org/officeDocument/2006/relationships/hyperlink" Target="https://drive.google.com/file/d/1zHPX0-EZ_-2eu-UG7ggz9T8sLI-229Tp" TargetMode="External"/><Relationship Id="rId27" Type="http://schemas.openxmlformats.org/officeDocument/2006/relationships/hyperlink" Target="https://drive.google.com/file/d/1JExqe6hMKGgXK2WI_qnCuMHla-pkpqlk" TargetMode="External"/><Relationship Id="rId30" Type="http://schemas.openxmlformats.org/officeDocument/2006/relationships/hyperlink" Target="https://drive.google.com/file/d/1Eb6oHk6fY-i5UqmEwRb8p4J2gUBO57bg" TargetMode="External"/><Relationship Id="rId35" Type="http://schemas.openxmlformats.org/officeDocument/2006/relationships/hyperlink" Target="https://drive.google.com/file/d/1T8y9HihNglpJuGB2XWqnu9sYCnnWsRPB" TargetMode="External"/><Relationship Id="rId43" Type="http://schemas.openxmlformats.org/officeDocument/2006/relationships/hyperlink" Target="https://drive.google.com/file/d/1sej-nPALHsSaZgRX5bv2v6T20SBmSAtQ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9.xml"/><Relationship Id="rId3" Type="http://schemas.openxmlformats.org/officeDocument/2006/relationships/hyperlink" Target="https://drive.google.com/file/d/1AYD6OWqmYybSfw9yA6NDTyyPDkrw5rUU" TargetMode="External"/><Relationship Id="rId7" Type="http://schemas.openxmlformats.org/officeDocument/2006/relationships/printerSettings" Target="../printerSettings/printerSettings11.bin"/><Relationship Id="rId2" Type="http://schemas.openxmlformats.org/officeDocument/2006/relationships/hyperlink" Target="https://drive.google.com/file/d/14jN0PtHx5FcPmmLVGzedo550UxhGZoKF" TargetMode="External"/><Relationship Id="rId1" Type="http://schemas.openxmlformats.org/officeDocument/2006/relationships/hyperlink" Target="https://drive.google.com/open?id=19BOPK9PmEWv_hZTbMxod7-nSc_rZmJZ0" TargetMode="External"/><Relationship Id="rId6" Type="http://schemas.openxmlformats.org/officeDocument/2006/relationships/hyperlink" Target="https://drive.google.com/file/d/1J3RhtvUZTT-UQw9opp4Rrs8hEPPIip2x/view?ts=5f19e1b0" TargetMode="External"/><Relationship Id="rId5" Type="http://schemas.openxmlformats.org/officeDocument/2006/relationships/hyperlink" Target="https://drive.google.com/file/d/1jc2a_aSAt8DQGQZppHWhCvLUivaxVgaj/view?ts=5f19e19b" TargetMode="External"/><Relationship Id="rId4" Type="http://schemas.openxmlformats.org/officeDocument/2006/relationships/hyperlink" Target="https://drive.google.com/file/d/1TfNoX4j9zVbr0QnFvMM6wu9EoHVB7-kh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92"/>
  <sheetViews>
    <sheetView topLeftCell="A25" zoomScaleNormal="100" workbookViewId="0">
      <selection activeCell="I29" sqref="I29"/>
    </sheetView>
  </sheetViews>
  <sheetFormatPr defaultColWidth="9.140625" defaultRowHeight="15"/>
  <cols>
    <col min="1" max="1" width="19.140625" style="1" customWidth="1"/>
    <col min="2" max="2" width="37.5703125" style="1" customWidth="1"/>
    <col min="3" max="3" width="62.28515625" style="1" customWidth="1"/>
    <col min="4" max="4" width="23.5703125" style="1" customWidth="1"/>
    <col min="5" max="5" width="15.140625" style="1" customWidth="1"/>
    <col min="6" max="6" width="13.42578125" style="1" customWidth="1"/>
    <col min="7" max="16384" width="9.140625" style="1"/>
  </cols>
  <sheetData>
    <row r="1" spans="1:8" ht="15.75">
      <c r="A1" s="553"/>
      <c r="B1" s="477" t="s">
        <v>0</v>
      </c>
      <c r="C1" s="477"/>
      <c r="D1" s="478" t="s">
        <v>1</v>
      </c>
      <c r="E1" s="478"/>
      <c r="F1" s="214"/>
      <c r="G1" s="214"/>
      <c r="H1" s="214"/>
    </row>
    <row r="2" spans="1:8" ht="15.75">
      <c r="A2" s="554"/>
      <c r="B2" s="479" t="s">
        <v>2</v>
      </c>
      <c r="C2" s="480"/>
      <c r="D2" s="528" t="s">
        <v>3</v>
      </c>
      <c r="E2" s="528" t="s">
        <v>4</v>
      </c>
      <c r="F2" s="214"/>
      <c r="G2" s="215"/>
      <c r="H2" s="215"/>
    </row>
    <row r="3" spans="1:8">
      <c r="A3" s="554"/>
      <c r="B3" s="481" t="s">
        <v>5</v>
      </c>
      <c r="C3" s="481"/>
      <c r="D3" s="528"/>
      <c r="E3" s="528"/>
      <c r="F3" s="214"/>
      <c r="G3" s="215"/>
      <c r="H3" s="215"/>
    </row>
    <row r="4" spans="1:8">
      <c r="A4" s="554"/>
      <c r="B4" s="216"/>
      <c r="C4" s="216"/>
      <c r="D4" s="556" t="s">
        <v>6</v>
      </c>
      <c r="E4" s="557">
        <v>3</v>
      </c>
      <c r="F4" s="214"/>
      <c r="G4" s="482"/>
      <c r="H4" s="482"/>
    </row>
    <row r="5" spans="1:8" ht="15.75" customHeight="1">
      <c r="A5" s="555"/>
      <c r="B5" s="483" t="s">
        <v>7</v>
      </c>
      <c r="C5" s="484"/>
      <c r="D5" s="556"/>
      <c r="E5" s="557"/>
      <c r="F5" s="214"/>
      <c r="G5" s="482"/>
      <c r="H5" s="482"/>
    </row>
    <row r="6" spans="1:8" ht="18.75">
      <c r="A6" s="485" t="s">
        <v>8</v>
      </c>
      <c r="B6" s="485"/>
      <c r="C6" s="217" t="s">
        <v>9</v>
      </c>
      <c r="D6" s="218" t="s">
        <v>10</v>
      </c>
      <c r="E6" s="219" t="s">
        <v>11</v>
      </c>
      <c r="F6" s="214"/>
      <c r="G6" s="220"/>
      <c r="H6" s="220"/>
    </row>
    <row r="7" spans="1:8" ht="33" customHeight="1">
      <c r="A7" s="486" t="s">
        <v>464</v>
      </c>
      <c r="B7" s="487"/>
      <c r="C7" s="265" t="s">
        <v>469</v>
      </c>
      <c r="D7" s="221"/>
      <c r="E7" s="222"/>
      <c r="F7" s="214"/>
      <c r="G7" s="223"/>
      <c r="H7" s="220"/>
    </row>
    <row r="8" spans="1:8" ht="15.75">
      <c r="A8" s="488" t="s">
        <v>12</v>
      </c>
      <c r="B8" s="488"/>
      <c r="C8" s="488"/>
      <c r="D8" s="543" t="s">
        <v>13</v>
      </c>
      <c r="E8" s="543"/>
      <c r="F8" s="220"/>
      <c r="G8" s="220"/>
      <c r="H8" s="220"/>
    </row>
    <row r="9" spans="1:8" ht="15.75">
      <c r="A9" s="489" t="s">
        <v>14</v>
      </c>
      <c r="B9" s="489"/>
      <c r="C9" s="489"/>
      <c r="D9" s="543"/>
      <c r="E9" s="543"/>
      <c r="F9" s="220"/>
      <c r="G9" s="220"/>
      <c r="H9" s="220"/>
    </row>
    <row r="10" spans="1:8" ht="18.75">
      <c r="A10" s="490" t="s">
        <v>15</v>
      </c>
      <c r="B10" s="490"/>
      <c r="C10" s="490"/>
      <c r="D10" s="491">
        <f>170000+891287.27</f>
        <v>1061287.27</v>
      </c>
      <c r="E10" s="492"/>
      <c r="F10" s="220"/>
      <c r="G10" s="220"/>
      <c r="H10" s="224"/>
    </row>
    <row r="11" spans="1:8" ht="18.75">
      <c r="A11" s="493" t="s">
        <v>16</v>
      </c>
      <c r="B11" s="493"/>
      <c r="C11" s="493"/>
      <c r="D11" s="494">
        <v>0</v>
      </c>
      <c r="E11" s="495"/>
      <c r="F11" s="220"/>
      <c r="G11" s="220"/>
      <c r="H11" s="224"/>
    </row>
    <row r="12" spans="1:8" ht="18.75">
      <c r="A12" s="493" t="s">
        <v>17</v>
      </c>
      <c r="B12" s="493"/>
      <c r="C12" s="493"/>
      <c r="D12" s="496">
        <v>0</v>
      </c>
      <c r="E12" s="496"/>
      <c r="F12" s="220"/>
      <c r="G12" s="220"/>
      <c r="H12" s="224"/>
    </row>
    <row r="13" spans="1:8" ht="18.75">
      <c r="A13" s="490" t="s">
        <v>18</v>
      </c>
      <c r="B13" s="490"/>
      <c r="C13" s="490"/>
      <c r="D13" s="497">
        <v>0</v>
      </c>
      <c r="E13" s="497"/>
      <c r="F13" s="220"/>
      <c r="G13" s="220"/>
      <c r="H13" s="224"/>
    </row>
    <row r="14" spans="1:8" ht="18.75">
      <c r="A14" s="498" t="s">
        <v>19</v>
      </c>
      <c r="B14" s="498"/>
      <c r="C14" s="498"/>
      <c r="D14" s="499">
        <v>0</v>
      </c>
      <c r="E14" s="499"/>
      <c r="F14" s="220"/>
      <c r="G14" s="220"/>
      <c r="H14" s="224"/>
    </row>
    <row r="15" spans="1:8" ht="18.75">
      <c r="A15" s="500" t="s">
        <v>20</v>
      </c>
      <c r="B15" s="500"/>
      <c r="C15" s="500"/>
      <c r="D15" s="501">
        <f>SUM(D10:E13)-D14</f>
        <v>1061287.27</v>
      </c>
      <c r="E15" s="502"/>
      <c r="F15" s="225"/>
      <c r="G15" s="220"/>
      <c r="H15" s="224"/>
    </row>
    <row r="16" spans="1:8" ht="18.75">
      <c r="A16" s="490" t="s">
        <v>21</v>
      </c>
      <c r="B16" s="490"/>
      <c r="C16" s="490"/>
      <c r="D16" s="497">
        <f>D152</f>
        <v>105.01</v>
      </c>
      <c r="E16" s="497"/>
      <c r="F16" s="225"/>
      <c r="G16" s="220"/>
      <c r="H16" s="224"/>
    </row>
    <row r="17" spans="1:8" ht="18.75">
      <c r="A17" s="490" t="s">
        <v>22</v>
      </c>
      <c r="B17" s="490"/>
      <c r="C17" s="490"/>
      <c r="D17" s="497">
        <v>0</v>
      </c>
      <c r="E17" s="497"/>
      <c r="F17" s="220"/>
      <c r="G17" s="220"/>
      <c r="H17" s="224"/>
    </row>
    <row r="18" spans="1:8" ht="18.75">
      <c r="A18" s="490" t="s">
        <v>23</v>
      </c>
      <c r="B18" s="490"/>
      <c r="C18" s="490"/>
      <c r="D18" s="497">
        <v>0</v>
      </c>
      <c r="E18" s="497"/>
      <c r="F18" s="220"/>
      <c r="G18" s="220"/>
      <c r="H18" s="224"/>
    </row>
    <row r="19" spans="1:8" ht="18.75">
      <c r="A19" s="503" t="s">
        <v>24</v>
      </c>
      <c r="B19" s="503"/>
      <c r="C19" s="503"/>
      <c r="D19" s="504">
        <f>SUM(D16:E18)</f>
        <v>105.01</v>
      </c>
      <c r="E19" s="504"/>
      <c r="F19" s="225"/>
      <c r="G19" s="220"/>
      <c r="H19" s="224"/>
    </row>
    <row r="20" spans="1:8" ht="18.75">
      <c r="A20" s="505" t="s">
        <v>25</v>
      </c>
      <c r="B20" s="505"/>
      <c r="C20" s="505"/>
      <c r="D20" s="506">
        <f>D15+D19</f>
        <v>1061392.28</v>
      </c>
      <c r="E20" s="506"/>
      <c r="F20" s="225"/>
      <c r="G20" s="220"/>
      <c r="H20" s="224"/>
    </row>
    <row r="21" spans="1:8" ht="18.75">
      <c r="A21" s="507"/>
      <c r="B21" s="507"/>
      <c r="C21" s="507"/>
      <c r="D21" s="226"/>
      <c r="E21" s="227"/>
      <c r="F21" s="220"/>
      <c r="G21" s="220"/>
      <c r="H21" s="224"/>
    </row>
    <row r="22" spans="1:8" ht="18.75">
      <c r="A22" s="489" t="s">
        <v>26</v>
      </c>
      <c r="B22" s="489"/>
      <c r="C22" s="489"/>
      <c r="D22" s="508" t="s">
        <v>13</v>
      </c>
      <c r="E22" s="508"/>
      <c r="F22" s="220"/>
      <c r="G22" s="220"/>
      <c r="H22" s="224"/>
    </row>
    <row r="23" spans="1:8" ht="18.75">
      <c r="A23" s="509" t="s">
        <v>27</v>
      </c>
      <c r="B23" s="509"/>
      <c r="C23" s="509"/>
      <c r="D23" s="510">
        <f>D24+SUM(D30:E33)</f>
        <v>428431.36354279995</v>
      </c>
      <c r="E23" s="510"/>
      <c r="F23" s="225"/>
      <c r="G23" s="220"/>
      <c r="H23" s="224"/>
    </row>
    <row r="24" spans="1:8" ht="18.75">
      <c r="A24" s="511" t="s">
        <v>28</v>
      </c>
      <c r="B24" s="511"/>
      <c r="C24" s="511"/>
      <c r="D24" s="512">
        <f>D25+D28+D29</f>
        <v>277711.46999999997</v>
      </c>
      <c r="E24" s="512"/>
      <c r="F24" s="225"/>
      <c r="G24" s="220"/>
      <c r="H24" s="224"/>
    </row>
    <row r="25" spans="1:8" ht="18.75">
      <c r="A25" s="513" t="s">
        <v>29</v>
      </c>
      <c r="B25" s="513"/>
      <c r="C25" s="513"/>
      <c r="D25" s="514">
        <f>D26+D27</f>
        <v>0</v>
      </c>
      <c r="E25" s="514"/>
      <c r="F25" s="225"/>
      <c r="G25" s="220"/>
      <c r="H25" s="224"/>
    </row>
    <row r="26" spans="1:8" ht="18.75">
      <c r="A26" s="515" t="s">
        <v>30</v>
      </c>
      <c r="B26" s="515"/>
      <c r="C26" s="515"/>
      <c r="D26" s="497">
        <v>0</v>
      </c>
      <c r="E26" s="497"/>
      <c r="F26" s="225"/>
      <c r="G26" s="220"/>
      <c r="H26" s="224"/>
    </row>
    <row r="27" spans="1:8" ht="18.75">
      <c r="A27" s="515" t="s">
        <v>31</v>
      </c>
      <c r="B27" s="515"/>
      <c r="C27" s="515"/>
      <c r="D27" s="497">
        <v>0</v>
      </c>
      <c r="E27" s="497"/>
      <c r="F27" s="220"/>
      <c r="G27" s="220"/>
      <c r="H27" s="224"/>
    </row>
    <row r="28" spans="1:8" ht="18.75">
      <c r="A28" s="515" t="s">
        <v>32</v>
      </c>
      <c r="B28" s="515"/>
      <c r="C28" s="515"/>
      <c r="D28" s="497">
        <v>0</v>
      </c>
      <c r="E28" s="497"/>
      <c r="F28" s="220"/>
      <c r="G28" s="220"/>
      <c r="H28" s="224"/>
    </row>
    <row r="29" spans="1:8" ht="18.75">
      <c r="A29" s="515" t="s">
        <v>33</v>
      </c>
      <c r="B29" s="515"/>
      <c r="C29" s="515"/>
      <c r="D29" s="497">
        <v>277711.46999999997</v>
      </c>
      <c r="E29" s="497"/>
      <c r="F29" s="220"/>
      <c r="G29" s="220"/>
      <c r="H29" s="224"/>
    </row>
    <row r="30" spans="1:8" ht="18.75">
      <c r="A30" s="515" t="s">
        <v>34</v>
      </c>
      <c r="B30" s="515"/>
      <c r="C30" s="515"/>
      <c r="D30" s="516">
        <f>'CÁLCULO FOLHA DE PAGAMENTO'!G59</f>
        <v>22523.515599999999</v>
      </c>
      <c r="E30" s="516"/>
      <c r="F30" s="225"/>
      <c r="G30" s="220"/>
      <c r="H30" s="224"/>
    </row>
    <row r="31" spans="1:8" ht="18.75">
      <c r="A31" s="515" t="s">
        <v>35</v>
      </c>
      <c r="B31" s="515"/>
      <c r="C31" s="515"/>
      <c r="D31" s="516">
        <f>'CÁLCULO FOLHA DE PAGAMENTO'!G60</f>
        <v>0</v>
      </c>
      <c r="E31" s="516"/>
      <c r="F31" s="225"/>
      <c r="G31" s="220"/>
      <c r="H31" s="224"/>
    </row>
    <row r="32" spans="1:8" ht="18.75">
      <c r="A32" s="515" t="s">
        <v>36</v>
      </c>
      <c r="B32" s="515"/>
      <c r="C32" s="515"/>
      <c r="D32" s="516">
        <f>'CÁLCULO FOLHA DE PAGAMENTO'!G63</f>
        <v>51203.650000000009</v>
      </c>
      <c r="E32" s="516"/>
      <c r="F32" s="225"/>
      <c r="G32" s="220"/>
      <c r="H32" s="224"/>
    </row>
    <row r="33" spans="1:8" ht="18.75">
      <c r="A33" s="515" t="s">
        <v>37</v>
      </c>
      <c r="B33" s="515"/>
      <c r="C33" s="515"/>
      <c r="D33" s="516">
        <f>IF(E6="NÃO",(IF($E$4&gt;1,(8.333+11.111+1.56+0.194+4+2+$D$116)*$D$24/100,(8.333+11.111+1.56+0.194+4+9.08)*$D$24/100)),IF(E6="SIM",(IF($E$4&gt;1,(8.333+11.111+1.56+4+2+$D$116)*$D$24/100,(8.333+11.111+1.56+4+9.08)*$D$24/100))))</f>
        <v>76992.727942799989</v>
      </c>
      <c r="E33" s="516"/>
      <c r="F33" s="225"/>
      <c r="G33" s="220"/>
      <c r="H33" s="224"/>
    </row>
    <row r="34" spans="1:8" ht="18.75">
      <c r="A34" s="509" t="s">
        <v>38</v>
      </c>
      <c r="B34" s="509"/>
      <c r="C34" s="509"/>
      <c r="D34" s="510">
        <f>SUM(D35:E41)</f>
        <v>231738.67</v>
      </c>
      <c r="E34" s="510"/>
      <c r="F34" s="225"/>
      <c r="G34" s="220"/>
      <c r="H34" s="224"/>
    </row>
    <row r="35" spans="1:8" ht="18.75">
      <c r="A35" s="515" t="s">
        <v>39</v>
      </c>
      <c r="B35" s="515"/>
      <c r="C35" s="515"/>
      <c r="D35" s="497">
        <v>184334.5</v>
      </c>
      <c r="E35" s="497"/>
      <c r="F35" s="225"/>
      <c r="G35" s="220"/>
      <c r="H35" s="224"/>
    </row>
    <row r="36" spans="1:8" ht="18.75">
      <c r="A36" s="515" t="s">
        <v>40</v>
      </c>
      <c r="B36" s="515"/>
      <c r="C36" s="515"/>
      <c r="D36" s="497">
        <v>23302.29</v>
      </c>
      <c r="E36" s="497"/>
      <c r="F36" s="220"/>
      <c r="G36" s="220"/>
      <c r="H36" s="224"/>
    </row>
    <row r="37" spans="1:8" ht="18.75">
      <c r="A37" s="515" t="s">
        <v>41</v>
      </c>
      <c r="B37" s="515"/>
      <c r="C37" s="515"/>
      <c r="D37" s="497">
        <v>41.57</v>
      </c>
      <c r="E37" s="497"/>
      <c r="F37" s="220"/>
      <c r="G37" s="220"/>
      <c r="H37" s="224"/>
    </row>
    <row r="38" spans="1:8" ht="18.75">
      <c r="A38" s="515" t="s">
        <v>42</v>
      </c>
      <c r="B38" s="515"/>
      <c r="C38" s="515"/>
      <c r="D38" s="497">
        <v>24060.31</v>
      </c>
      <c r="E38" s="497"/>
      <c r="F38" s="220"/>
      <c r="G38" s="220"/>
      <c r="H38" s="224"/>
    </row>
    <row r="39" spans="1:8" ht="18.75">
      <c r="A39" s="515" t="s">
        <v>43</v>
      </c>
      <c r="B39" s="515"/>
      <c r="C39" s="515"/>
      <c r="D39" s="497">
        <v>0</v>
      </c>
      <c r="E39" s="497"/>
      <c r="F39" s="220"/>
      <c r="G39" s="220"/>
      <c r="H39" s="224"/>
    </row>
    <row r="40" spans="1:8" ht="18.75">
      <c r="A40" s="515" t="s">
        <v>44</v>
      </c>
      <c r="B40" s="515"/>
      <c r="C40" s="515"/>
      <c r="D40" s="497">
        <v>0</v>
      </c>
      <c r="E40" s="497"/>
      <c r="F40" s="220"/>
      <c r="G40" s="220"/>
      <c r="H40" s="224"/>
    </row>
    <row r="41" spans="1:8" ht="18.75">
      <c r="A41" s="515" t="s">
        <v>45</v>
      </c>
      <c r="B41" s="515"/>
      <c r="C41" s="515"/>
      <c r="D41" s="497">
        <v>0</v>
      </c>
      <c r="E41" s="497"/>
      <c r="F41" s="220"/>
      <c r="G41" s="220"/>
      <c r="H41" s="224"/>
    </row>
    <row r="42" spans="1:8" ht="18.75">
      <c r="A42" s="509" t="s">
        <v>46</v>
      </c>
      <c r="B42" s="509"/>
      <c r="C42" s="509"/>
      <c r="D42" s="510">
        <f>SUM(D43:E47)+D48+D54+D55</f>
        <v>21175.21</v>
      </c>
      <c r="E42" s="510"/>
      <c r="F42" s="225"/>
      <c r="G42" s="220"/>
      <c r="H42" s="224"/>
    </row>
    <row r="43" spans="1:8" ht="18.75">
      <c r="A43" s="515" t="s">
        <v>47</v>
      </c>
      <c r="B43" s="515"/>
      <c r="C43" s="515"/>
      <c r="D43" s="497">
        <v>4827.04</v>
      </c>
      <c r="E43" s="497"/>
      <c r="F43" s="225"/>
      <c r="G43" s="220"/>
      <c r="H43" s="224"/>
    </row>
    <row r="44" spans="1:8" ht="18.75">
      <c r="A44" s="515" t="s">
        <v>48</v>
      </c>
      <c r="B44" s="515"/>
      <c r="C44" s="515"/>
      <c r="D44" s="497">
        <v>297.58</v>
      </c>
      <c r="E44" s="497"/>
      <c r="F44" s="220"/>
      <c r="G44" s="220"/>
      <c r="H44" s="224"/>
    </row>
    <row r="45" spans="1:8" ht="18.75">
      <c r="A45" s="515" t="s">
        <v>49</v>
      </c>
      <c r="B45" s="515"/>
      <c r="C45" s="515"/>
      <c r="D45" s="497">
        <v>2799.15</v>
      </c>
      <c r="E45" s="497"/>
      <c r="F45" s="220"/>
      <c r="G45" s="220"/>
      <c r="H45" s="224"/>
    </row>
    <row r="46" spans="1:8" ht="18.75">
      <c r="A46" s="515" t="s">
        <v>50</v>
      </c>
      <c r="B46" s="515"/>
      <c r="C46" s="515"/>
      <c r="D46" s="497">
        <v>3403.31</v>
      </c>
      <c r="E46" s="497"/>
      <c r="F46" s="220"/>
      <c r="G46" s="220"/>
      <c r="H46" s="224"/>
    </row>
    <row r="47" spans="1:8" ht="18.75">
      <c r="A47" s="515" t="s">
        <v>51</v>
      </c>
      <c r="B47" s="515"/>
      <c r="C47" s="515"/>
      <c r="D47" s="497">
        <v>0</v>
      </c>
      <c r="E47" s="497"/>
      <c r="F47" s="220"/>
      <c r="G47" s="220"/>
      <c r="H47" s="224"/>
    </row>
    <row r="48" spans="1:8" ht="18.75">
      <c r="A48" s="513" t="s">
        <v>52</v>
      </c>
      <c r="B48" s="513"/>
      <c r="C48" s="513"/>
      <c r="D48" s="514">
        <f>SUM(D49:E53)</f>
        <v>995.14</v>
      </c>
      <c r="E48" s="514"/>
      <c r="F48" s="225"/>
      <c r="G48" s="220"/>
      <c r="H48" s="224"/>
    </row>
    <row r="49" spans="1:8" ht="18.75">
      <c r="A49" s="515" t="s">
        <v>53</v>
      </c>
      <c r="B49" s="515"/>
      <c r="C49" s="515"/>
      <c r="D49" s="497">
        <v>995.14</v>
      </c>
      <c r="E49" s="497"/>
      <c r="F49" s="225"/>
      <c r="G49" s="220"/>
      <c r="H49" s="224"/>
    </row>
    <row r="50" spans="1:8" ht="18.75">
      <c r="A50" s="515" t="s">
        <v>54</v>
      </c>
      <c r="B50" s="515"/>
      <c r="C50" s="515"/>
      <c r="D50" s="497">
        <v>0</v>
      </c>
      <c r="E50" s="497"/>
      <c r="F50" s="220"/>
      <c r="G50" s="220"/>
      <c r="H50" s="224"/>
    </row>
    <row r="51" spans="1:8" ht="18.75">
      <c r="A51" s="515" t="s">
        <v>55</v>
      </c>
      <c r="B51" s="515"/>
      <c r="C51" s="515"/>
      <c r="D51" s="497">
        <v>0</v>
      </c>
      <c r="E51" s="497"/>
      <c r="F51" s="220"/>
      <c r="G51" s="220"/>
      <c r="H51" s="224"/>
    </row>
    <row r="52" spans="1:8" ht="18.75">
      <c r="A52" s="515" t="s">
        <v>56</v>
      </c>
      <c r="B52" s="515"/>
      <c r="C52" s="515"/>
      <c r="D52" s="517">
        <v>0</v>
      </c>
      <c r="E52" s="517"/>
      <c r="F52" s="220"/>
      <c r="G52" s="220"/>
      <c r="H52" s="224"/>
    </row>
    <row r="53" spans="1:8" ht="18.75">
      <c r="A53" s="515" t="s">
        <v>57</v>
      </c>
      <c r="B53" s="515"/>
      <c r="C53" s="515"/>
      <c r="D53" s="497">
        <v>0</v>
      </c>
      <c r="E53" s="497"/>
      <c r="F53" s="220"/>
      <c r="G53" s="220"/>
      <c r="H53" s="224"/>
    </row>
    <row r="54" spans="1:8" ht="18.75">
      <c r="A54" s="518" t="s">
        <v>58</v>
      </c>
      <c r="B54" s="518"/>
      <c r="C54" s="518"/>
      <c r="D54" s="497">
        <f>3162.05+292.01</f>
        <v>3454.0600000000004</v>
      </c>
      <c r="E54" s="497"/>
      <c r="F54" s="228"/>
      <c r="G54" s="228"/>
      <c r="H54" s="229"/>
    </row>
    <row r="55" spans="1:8" ht="18.75">
      <c r="A55" s="515" t="s">
        <v>59</v>
      </c>
      <c r="B55" s="515"/>
      <c r="C55" s="515"/>
      <c r="D55" s="497">
        <v>5398.93</v>
      </c>
      <c r="E55" s="497"/>
      <c r="F55" s="220"/>
      <c r="G55" s="220"/>
      <c r="H55" s="224"/>
    </row>
    <row r="56" spans="1:8" ht="18.75">
      <c r="A56" s="509" t="s">
        <v>60</v>
      </c>
      <c r="B56" s="509"/>
      <c r="C56" s="509"/>
      <c r="D56" s="510">
        <f>D57+D58+D61</f>
        <v>0</v>
      </c>
      <c r="E56" s="510"/>
      <c r="F56" s="225"/>
      <c r="G56" s="220"/>
      <c r="H56" s="224"/>
    </row>
    <row r="57" spans="1:8" ht="18.75">
      <c r="A57" s="515" t="s">
        <v>61</v>
      </c>
      <c r="B57" s="515"/>
      <c r="C57" s="515"/>
      <c r="D57" s="497">
        <v>0</v>
      </c>
      <c r="E57" s="497"/>
      <c r="F57" s="225"/>
      <c r="G57" s="220"/>
      <c r="H57" s="224"/>
    </row>
    <row r="58" spans="1:8" ht="18.75">
      <c r="A58" s="519" t="s">
        <v>62</v>
      </c>
      <c r="B58" s="519"/>
      <c r="C58" s="519"/>
      <c r="D58" s="520">
        <f>SUM(D59:E60)</f>
        <v>0</v>
      </c>
      <c r="E58" s="520"/>
      <c r="F58" s="225"/>
      <c r="G58" s="220"/>
      <c r="H58" s="224"/>
    </row>
    <row r="59" spans="1:8" ht="18.75">
      <c r="A59" s="515" t="s">
        <v>63</v>
      </c>
      <c r="B59" s="515"/>
      <c r="C59" s="515"/>
      <c r="D59" s="497">
        <v>0</v>
      </c>
      <c r="E59" s="497"/>
      <c r="F59" s="225"/>
      <c r="G59" s="220"/>
      <c r="H59" s="224"/>
    </row>
    <row r="60" spans="1:8" ht="18.75">
      <c r="A60" s="515" t="s">
        <v>64</v>
      </c>
      <c r="B60" s="515"/>
      <c r="C60" s="515"/>
      <c r="D60" s="497">
        <v>0</v>
      </c>
      <c r="E60" s="497"/>
      <c r="F60" s="220"/>
      <c r="G60" s="220"/>
      <c r="H60" s="224"/>
    </row>
    <row r="61" spans="1:8" ht="18.75">
      <c r="A61" s="519" t="s">
        <v>65</v>
      </c>
      <c r="B61" s="519"/>
      <c r="C61" s="519"/>
      <c r="D61" s="520">
        <f>SUM(D62:E63)</f>
        <v>0</v>
      </c>
      <c r="E61" s="520"/>
      <c r="F61" s="225"/>
      <c r="G61" s="220"/>
      <c r="H61" s="224"/>
    </row>
    <row r="62" spans="1:8" ht="18.75">
      <c r="A62" s="515" t="s">
        <v>66</v>
      </c>
      <c r="B62" s="515"/>
      <c r="C62" s="515"/>
      <c r="D62" s="497">
        <v>0</v>
      </c>
      <c r="E62" s="497"/>
      <c r="F62" s="225"/>
      <c r="G62" s="220"/>
      <c r="H62" s="224"/>
    </row>
    <row r="63" spans="1:8" ht="18.75">
      <c r="A63" s="521" t="s">
        <v>67</v>
      </c>
      <c r="B63" s="521"/>
      <c r="C63" s="521"/>
      <c r="D63" s="497">
        <v>0</v>
      </c>
      <c r="E63" s="497"/>
      <c r="F63" s="220"/>
      <c r="G63" s="220"/>
      <c r="H63" s="224"/>
    </row>
    <row r="64" spans="1:8" ht="15.75">
      <c r="A64" s="230"/>
      <c r="B64" s="230"/>
      <c r="C64" s="231"/>
      <c r="D64" s="522"/>
      <c r="E64" s="522"/>
      <c r="F64" s="224"/>
      <c r="G64" s="220"/>
      <c r="H64" s="224"/>
    </row>
    <row r="65" spans="1:8" ht="24" customHeight="1">
      <c r="A65" s="523" t="s">
        <v>68</v>
      </c>
      <c r="B65" s="523"/>
      <c r="C65" s="232" t="s">
        <v>69</v>
      </c>
      <c r="D65" s="524" t="s">
        <v>68</v>
      </c>
      <c r="E65" s="524"/>
      <c r="F65" s="233"/>
      <c r="G65" s="220"/>
      <c r="H65" s="224"/>
    </row>
    <row r="66" spans="1:8" ht="39" customHeight="1">
      <c r="A66" s="525" t="s">
        <v>70</v>
      </c>
      <c r="B66" s="525"/>
      <c r="C66" s="234" t="s">
        <v>71</v>
      </c>
      <c r="D66" s="526" t="s">
        <v>72</v>
      </c>
      <c r="E66" s="527"/>
      <c r="F66" s="220"/>
      <c r="G66" s="220"/>
      <c r="H66" s="224"/>
    </row>
    <row r="67" spans="1:8" ht="15.75">
      <c r="A67" s="553"/>
      <c r="B67" s="477" t="s">
        <v>0</v>
      </c>
      <c r="C67" s="477"/>
      <c r="D67" s="478" t="s">
        <v>1</v>
      </c>
      <c r="E67" s="478"/>
      <c r="F67" s="220"/>
      <c r="G67" s="220"/>
      <c r="H67" s="224"/>
    </row>
    <row r="68" spans="1:8" ht="15.75" customHeight="1">
      <c r="A68" s="554"/>
      <c r="B68" s="479" t="s">
        <v>2</v>
      </c>
      <c r="C68" s="480"/>
      <c r="D68" s="528" t="s">
        <v>3</v>
      </c>
      <c r="E68" s="528" t="s">
        <v>4</v>
      </c>
      <c r="F68" s="220"/>
      <c r="G68" s="220"/>
      <c r="H68" s="224"/>
    </row>
    <row r="69" spans="1:8" ht="15.75">
      <c r="A69" s="554"/>
      <c r="B69" s="481" t="s">
        <v>5</v>
      </c>
      <c r="C69" s="481"/>
      <c r="D69" s="528"/>
      <c r="E69" s="528"/>
      <c r="F69" s="220"/>
      <c r="G69" s="220"/>
      <c r="H69" s="224"/>
    </row>
    <row r="70" spans="1:8" ht="15.75" customHeight="1">
      <c r="A70" s="554"/>
      <c r="B70" s="216"/>
      <c r="C70" s="216"/>
      <c r="D70" s="556" t="s">
        <v>6</v>
      </c>
      <c r="E70" s="557">
        <f>E4</f>
        <v>3</v>
      </c>
      <c r="F70" s="220"/>
      <c r="G70" s="220"/>
      <c r="H70" s="224"/>
    </row>
    <row r="71" spans="1:8" ht="15.75" customHeight="1">
      <c r="A71" s="555"/>
      <c r="B71" s="483" t="s">
        <v>7</v>
      </c>
      <c r="C71" s="484"/>
      <c r="D71" s="556"/>
      <c r="E71" s="557"/>
      <c r="F71" s="220"/>
      <c r="G71" s="220"/>
      <c r="H71" s="224"/>
    </row>
    <row r="72" spans="1:8" ht="15.75">
      <c r="A72" s="485" t="s">
        <v>8</v>
      </c>
      <c r="B72" s="485"/>
      <c r="C72" s="528" t="s">
        <v>9</v>
      </c>
      <c r="D72" s="528"/>
      <c r="E72" s="528"/>
      <c r="F72" s="220"/>
      <c r="G72" s="220"/>
      <c r="H72" s="224"/>
    </row>
    <row r="73" spans="1:8" ht="33" customHeight="1">
      <c r="A73" s="486" t="s">
        <v>464</v>
      </c>
      <c r="B73" s="487"/>
      <c r="C73" s="529" t="s">
        <v>469</v>
      </c>
      <c r="D73" s="529"/>
      <c r="E73" s="529"/>
      <c r="F73" s="220"/>
      <c r="G73" s="220"/>
      <c r="H73" s="224"/>
    </row>
    <row r="74" spans="1:8" ht="15.75">
      <c r="A74" s="489" t="s">
        <v>73</v>
      </c>
      <c r="B74" s="489"/>
      <c r="C74" s="489"/>
      <c r="D74" s="530" t="s">
        <v>13</v>
      </c>
      <c r="E74" s="530"/>
      <c r="F74" s="220"/>
      <c r="G74" s="220"/>
      <c r="H74" s="224"/>
    </row>
    <row r="75" spans="1:8" ht="18.75">
      <c r="A75" s="509" t="s">
        <v>74</v>
      </c>
      <c r="B75" s="509"/>
      <c r="C75" s="509"/>
      <c r="D75" s="510">
        <f>SUM(D76:E80)</f>
        <v>28242.48</v>
      </c>
      <c r="E75" s="510"/>
      <c r="F75" s="225"/>
      <c r="G75" s="220"/>
      <c r="H75" s="224"/>
    </row>
    <row r="76" spans="1:8" ht="18.75">
      <c r="A76" s="515" t="s">
        <v>75</v>
      </c>
      <c r="B76" s="515"/>
      <c r="C76" s="515"/>
      <c r="D76" s="497">
        <f>97.34+129.32+310+190</f>
        <v>726.66</v>
      </c>
      <c r="E76" s="497"/>
      <c r="F76" s="225"/>
      <c r="G76" s="220"/>
      <c r="H76" s="224"/>
    </row>
    <row r="77" spans="1:8" ht="18.75">
      <c r="A77" s="515" t="s">
        <v>76</v>
      </c>
      <c r="B77" s="515"/>
      <c r="C77" s="515"/>
      <c r="D77" s="497">
        <v>2438.29</v>
      </c>
      <c r="E77" s="497"/>
      <c r="F77" s="220"/>
      <c r="G77" s="220"/>
      <c r="H77" s="224"/>
    </row>
    <row r="78" spans="1:8" ht="18.75">
      <c r="A78" s="515" t="s">
        <v>77</v>
      </c>
      <c r="B78" s="515"/>
      <c r="C78" s="515"/>
      <c r="D78" s="497">
        <v>16464.150000000001</v>
      </c>
      <c r="E78" s="497"/>
      <c r="F78" s="220"/>
      <c r="G78" s="220"/>
      <c r="H78" s="224"/>
    </row>
    <row r="79" spans="1:8" ht="18.75">
      <c r="A79" s="515" t="s">
        <v>78</v>
      </c>
      <c r="B79" s="515"/>
      <c r="C79" s="515"/>
      <c r="D79" s="497">
        <f>3289.51+1500+480+2388.9+896.99</f>
        <v>8555.4</v>
      </c>
      <c r="E79" s="497"/>
      <c r="F79" s="220"/>
      <c r="G79" s="220"/>
      <c r="H79" s="224"/>
    </row>
    <row r="80" spans="1:8" ht="18.75">
      <c r="A80" s="515" t="s">
        <v>79</v>
      </c>
      <c r="B80" s="515"/>
      <c r="C80" s="515"/>
      <c r="D80" s="497">
        <f>15.05+15.99+12.94+14</f>
        <v>57.98</v>
      </c>
      <c r="E80" s="497"/>
      <c r="F80" s="220"/>
      <c r="G80" s="220"/>
      <c r="H80" s="224"/>
    </row>
    <row r="81" spans="1:8" ht="18.75">
      <c r="A81" s="531" t="s">
        <v>80</v>
      </c>
      <c r="B81" s="531"/>
      <c r="C81" s="531"/>
      <c r="D81" s="532">
        <f>D82+D89+D91</f>
        <v>493786.43000000005</v>
      </c>
      <c r="E81" s="532"/>
      <c r="F81" s="225"/>
      <c r="G81" s="220"/>
      <c r="H81" s="224"/>
    </row>
    <row r="82" spans="1:8" ht="18.75">
      <c r="A82" s="511" t="s">
        <v>81</v>
      </c>
      <c r="B82" s="511"/>
      <c r="C82" s="511"/>
      <c r="D82" s="512">
        <f>SUM(D83:E88)</f>
        <v>282542.95000000007</v>
      </c>
      <c r="E82" s="512"/>
      <c r="F82" s="225"/>
      <c r="G82" s="220"/>
      <c r="H82" s="224"/>
    </row>
    <row r="83" spans="1:8" ht="18.75">
      <c r="A83" s="515" t="s">
        <v>82</v>
      </c>
      <c r="B83" s="515"/>
      <c r="C83" s="515"/>
      <c r="D83" s="497">
        <f>5199.84+12372+4512+49491.6+5136+23931.6+9024+8364+31483.68+31351.92+8364+23087.76+11715.6+15567.6</f>
        <v>239601.60000000003</v>
      </c>
      <c r="E83" s="497"/>
      <c r="F83" s="225"/>
      <c r="G83" s="220"/>
      <c r="H83" s="224"/>
    </row>
    <row r="84" spans="1:8" ht="18.75">
      <c r="A84" s="515" t="s">
        <v>83</v>
      </c>
      <c r="B84" s="515"/>
      <c r="C84" s="515"/>
      <c r="D84" s="497">
        <v>0</v>
      </c>
      <c r="E84" s="497"/>
      <c r="F84" s="220"/>
      <c r="G84" s="220"/>
      <c r="H84" s="224"/>
    </row>
    <row r="85" spans="1:8" ht="18.75">
      <c r="A85" s="515" t="s">
        <v>84</v>
      </c>
      <c r="B85" s="515"/>
      <c r="C85" s="515"/>
      <c r="D85" s="497">
        <v>17748.07</v>
      </c>
      <c r="E85" s="497"/>
      <c r="F85" s="220"/>
      <c r="G85" s="220"/>
      <c r="H85" s="224"/>
    </row>
    <row r="86" spans="1:8" ht="18.75">
      <c r="A86" s="515" t="s">
        <v>85</v>
      </c>
      <c r="B86" s="515"/>
      <c r="C86" s="515"/>
      <c r="D86" s="497">
        <v>3193.28</v>
      </c>
      <c r="E86" s="497"/>
      <c r="F86" s="220"/>
      <c r="G86" s="220"/>
      <c r="H86" s="224"/>
    </row>
    <row r="87" spans="1:8" ht="18.75">
      <c r="A87" s="518" t="s">
        <v>86</v>
      </c>
      <c r="B87" s="518"/>
      <c r="C87" s="518"/>
      <c r="D87" s="497">
        <v>22000</v>
      </c>
      <c r="E87" s="497"/>
      <c r="F87" s="220"/>
      <c r="G87" s="220"/>
      <c r="H87" s="224"/>
    </row>
    <row r="88" spans="1:8" ht="18.75">
      <c r="A88" s="515" t="s">
        <v>87</v>
      </c>
      <c r="B88" s="515"/>
      <c r="C88" s="515"/>
      <c r="D88" s="497">
        <v>0</v>
      </c>
      <c r="E88" s="497"/>
      <c r="F88" s="220"/>
      <c r="G88" s="220"/>
      <c r="H88" s="224"/>
    </row>
    <row r="89" spans="1:8" ht="18.75">
      <c r="A89" s="511" t="s">
        <v>88</v>
      </c>
      <c r="B89" s="511"/>
      <c r="C89" s="511"/>
      <c r="D89" s="512">
        <f>D90</f>
        <v>0</v>
      </c>
      <c r="E89" s="512"/>
      <c r="F89" s="225"/>
      <c r="G89" s="220"/>
      <c r="H89" s="224"/>
    </row>
    <row r="90" spans="1:8" ht="18.75">
      <c r="A90" s="515" t="s">
        <v>89</v>
      </c>
      <c r="B90" s="515"/>
      <c r="C90" s="515"/>
      <c r="D90" s="497">
        <v>0</v>
      </c>
      <c r="E90" s="497"/>
      <c r="F90" s="225"/>
      <c r="G90" s="220"/>
      <c r="H90" s="224"/>
    </row>
    <row r="91" spans="1:8" ht="18.75">
      <c r="A91" s="511" t="s">
        <v>90</v>
      </c>
      <c r="B91" s="511"/>
      <c r="C91" s="511"/>
      <c r="D91" s="512">
        <f>SUM(D92:E97)</f>
        <v>211243.47999999998</v>
      </c>
      <c r="E91" s="512"/>
      <c r="F91" s="225"/>
      <c r="G91" s="220"/>
      <c r="H91" s="224"/>
    </row>
    <row r="92" spans="1:8" ht="18.75">
      <c r="A92" s="515" t="s">
        <v>91</v>
      </c>
      <c r="B92" s="515"/>
      <c r="C92" s="515"/>
      <c r="D92" s="497">
        <v>3000</v>
      </c>
      <c r="E92" s="497"/>
      <c r="F92" s="225"/>
      <c r="G92" s="220"/>
      <c r="H92" s="224"/>
    </row>
    <row r="93" spans="1:8" ht="18.75">
      <c r="A93" s="515" t="s">
        <v>92</v>
      </c>
      <c r="B93" s="515"/>
      <c r="C93" s="515"/>
      <c r="D93" s="497">
        <v>2232</v>
      </c>
      <c r="E93" s="497"/>
      <c r="F93" s="220"/>
      <c r="G93" s="220"/>
      <c r="H93" s="224"/>
    </row>
    <row r="94" spans="1:8" ht="18.75">
      <c r="A94" s="515" t="s">
        <v>93</v>
      </c>
      <c r="B94" s="515"/>
      <c r="C94" s="515"/>
      <c r="D94" s="497">
        <f>12092.9+820+998</f>
        <v>13910.9</v>
      </c>
      <c r="E94" s="497"/>
      <c r="F94" s="220"/>
      <c r="G94" s="220"/>
      <c r="H94" s="224"/>
    </row>
    <row r="95" spans="1:8" ht="18.75">
      <c r="A95" s="533" t="s">
        <v>94</v>
      </c>
      <c r="B95" s="533"/>
      <c r="C95" s="533"/>
      <c r="D95" s="497">
        <v>0</v>
      </c>
      <c r="E95" s="497"/>
      <c r="F95" s="220"/>
      <c r="G95" s="220"/>
      <c r="H95" s="224"/>
    </row>
    <row r="96" spans="1:8" ht="18.75">
      <c r="A96" s="515" t="s">
        <v>95</v>
      </c>
      <c r="B96" s="515"/>
      <c r="C96" s="515"/>
      <c r="D96" s="497">
        <f>20000+140000+13000+14000+3450</f>
        <v>190450</v>
      </c>
      <c r="E96" s="497"/>
      <c r="F96" s="220"/>
      <c r="G96" s="220"/>
      <c r="H96" s="224"/>
    </row>
    <row r="97" spans="1:8" ht="18.75">
      <c r="A97" s="515" t="s">
        <v>96</v>
      </c>
      <c r="B97" s="515"/>
      <c r="C97" s="515"/>
      <c r="D97" s="497">
        <f>1650.58</f>
        <v>1650.58</v>
      </c>
      <c r="E97" s="497"/>
      <c r="F97" s="220"/>
      <c r="G97" s="220"/>
      <c r="H97" s="224"/>
    </row>
    <row r="98" spans="1:8" ht="18.75">
      <c r="A98" s="531" t="s">
        <v>97</v>
      </c>
      <c r="B98" s="531"/>
      <c r="C98" s="531"/>
      <c r="D98" s="532">
        <f>SUM(D99:E104)</f>
        <v>22358</v>
      </c>
      <c r="E98" s="532"/>
      <c r="F98" s="225"/>
      <c r="G98" s="220"/>
      <c r="H98" s="224"/>
    </row>
    <row r="99" spans="1:8" ht="18.75">
      <c r="A99" s="518" t="s">
        <v>98</v>
      </c>
      <c r="B99" s="518"/>
      <c r="C99" s="518"/>
      <c r="D99" s="497">
        <f>1600+500</f>
        <v>2100</v>
      </c>
      <c r="E99" s="497"/>
      <c r="F99" s="225"/>
      <c r="G99" s="220"/>
      <c r="H99" s="224"/>
    </row>
    <row r="100" spans="1:8" ht="18.75">
      <c r="A100" s="518" t="s">
        <v>99</v>
      </c>
      <c r="B100" s="518"/>
      <c r="C100" s="518"/>
      <c r="D100" s="497">
        <v>0</v>
      </c>
      <c r="E100" s="497"/>
      <c r="F100" s="220"/>
      <c r="G100" s="220"/>
      <c r="H100" s="224"/>
    </row>
    <row r="101" spans="1:8" ht="18.75">
      <c r="A101" s="518" t="s">
        <v>100</v>
      </c>
      <c r="B101" s="518"/>
      <c r="C101" s="518"/>
      <c r="D101" s="497">
        <f>5458+14000+500</f>
        <v>19958</v>
      </c>
      <c r="E101" s="497"/>
      <c r="F101" s="220"/>
      <c r="G101" s="220"/>
      <c r="H101" s="224"/>
    </row>
    <row r="102" spans="1:8" ht="18.75">
      <c r="A102" s="518" t="s">
        <v>101</v>
      </c>
      <c r="B102" s="518"/>
      <c r="C102" s="518"/>
      <c r="D102" s="497">
        <v>0</v>
      </c>
      <c r="E102" s="497"/>
      <c r="F102" s="220"/>
      <c r="G102" s="220"/>
      <c r="H102" s="224"/>
    </row>
    <row r="103" spans="1:8" ht="18.75">
      <c r="A103" s="518" t="s">
        <v>102</v>
      </c>
      <c r="B103" s="518"/>
      <c r="C103" s="518"/>
      <c r="D103" s="497">
        <f>300</f>
        <v>300</v>
      </c>
      <c r="E103" s="497"/>
      <c r="F103" s="220"/>
      <c r="G103" s="220"/>
      <c r="H103" s="224"/>
    </row>
    <row r="104" spans="1:8" ht="18.75">
      <c r="A104" s="518" t="s">
        <v>103</v>
      </c>
      <c r="B104" s="518"/>
      <c r="C104" s="518"/>
      <c r="D104" s="497">
        <v>0</v>
      </c>
      <c r="E104" s="497"/>
      <c r="F104" s="220"/>
      <c r="G104" s="220"/>
      <c r="H104" s="224"/>
    </row>
    <row r="105" spans="1:8" ht="18.75">
      <c r="A105" s="531" t="s">
        <v>104</v>
      </c>
      <c r="B105" s="531"/>
      <c r="C105" s="531"/>
      <c r="D105" s="532">
        <f>SUM(D106:E109)</f>
        <v>0</v>
      </c>
      <c r="E105" s="532"/>
      <c r="F105" s="225"/>
      <c r="G105" s="220"/>
      <c r="H105" s="224"/>
    </row>
    <row r="106" spans="1:8" ht="18.75">
      <c r="A106" s="534" t="s">
        <v>105</v>
      </c>
      <c r="B106" s="534"/>
      <c r="C106" s="534"/>
      <c r="D106" s="496">
        <v>0</v>
      </c>
      <c r="E106" s="496"/>
      <c r="F106" s="225"/>
      <c r="G106" s="214"/>
      <c r="H106" s="214"/>
    </row>
    <row r="107" spans="1:8" ht="18.75">
      <c r="A107" s="534" t="s">
        <v>106</v>
      </c>
      <c r="B107" s="534"/>
      <c r="C107" s="534"/>
      <c r="D107" s="496">
        <v>0</v>
      </c>
      <c r="E107" s="496"/>
      <c r="F107" s="214"/>
      <c r="G107" s="214"/>
      <c r="H107" s="214"/>
    </row>
    <row r="108" spans="1:8" ht="18.75">
      <c r="A108" s="534" t="s">
        <v>107</v>
      </c>
      <c r="B108" s="534"/>
      <c r="C108" s="534"/>
      <c r="D108" s="496">
        <v>0</v>
      </c>
      <c r="E108" s="496"/>
      <c r="F108" s="214"/>
      <c r="G108" s="214"/>
      <c r="H108" s="214"/>
    </row>
    <row r="109" spans="1:8" ht="18.75">
      <c r="A109" s="534" t="s">
        <v>108</v>
      </c>
      <c r="B109" s="534"/>
      <c r="C109" s="534"/>
      <c r="D109" s="496">
        <v>0</v>
      </c>
      <c r="E109" s="496"/>
      <c r="F109" s="214"/>
      <c r="G109" s="214"/>
      <c r="H109" s="214"/>
    </row>
    <row r="110" spans="1:8" ht="18.75">
      <c r="A110" s="535" t="s">
        <v>109</v>
      </c>
      <c r="B110" s="535"/>
      <c r="C110" s="535"/>
      <c r="D110" s="536">
        <f>D12</f>
        <v>0</v>
      </c>
      <c r="E110" s="536"/>
      <c r="F110" s="225"/>
      <c r="G110" s="235"/>
      <c r="H110" s="214"/>
    </row>
    <row r="111" spans="1:8" ht="18.75">
      <c r="A111" s="509" t="s">
        <v>110</v>
      </c>
      <c r="B111" s="509"/>
      <c r="C111" s="509"/>
      <c r="D111" s="537">
        <v>0</v>
      </c>
      <c r="E111" s="537"/>
      <c r="F111" s="225"/>
      <c r="G111" s="220"/>
      <c r="H111" s="224"/>
    </row>
    <row r="112" spans="1:8" ht="18.75">
      <c r="A112" s="489" t="s">
        <v>111</v>
      </c>
      <c r="B112" s="489"/>
      <c r="C112" s="489"/>
      <c r="D112" s="506">
        <f>D23+D34+D42+D56+D75+D81+D98+D105+D110+D111</f>
        <v>1225732.1535427999</v>
      </c>
      <c r="E112" s="506"/>
      <c r="F112" s="225"/>
      <c r="G112" s="220"/>
      <c r="H112" s="224"/>
    </row>
    <row r="113" spans="1:8" ht="18.75">
      <c r="A113" s="538" t="s">
        <v>112</v>
      </c>
      <c r="B113" s="538"/>
      <c r="C113" s="538"/>
      <c r="D113" s="504">
        <f>D20-D112</f>
        <v>-164339.87354279985</v>
      </c>
      <c r="E113" s="504"/>
      <c r="F113" s="225"/>
      <c r="G113" s="220"/>
      <c r="H113" s="224"/>
    </row>
    <row r="114" spans="1:8" ht="18.75">
      <c r="A114" s="539" t="s">
        <v>113</v>
      </c>
      <c r="B114" s="539"/>
      <c r="C114" s="539"/>
      <c r="D114" s="497">
        <v>0</v>
      </c>
      <c r="E114" s="497"/>
      <c r="F114" s="220"/>
      <c r="G114" s="220"/>
      <c r="H114" s="220"/>
    </row>
    <row r="115" spans="1:8" ht="18.75">
      <c r="A115" s="539" t="s">
        <v>114</v>
      </c>
      <c r="B115" s="539"/>
      <c r="C115" s="539"/>
      <c r="D115" s="497">
        <v>0</v>
      </c>
      <c r="E115" s="497"/>
      <c r="F115" s="214"/>
      <c r="G115" s="214"/>
      <c r="H115" s="214"/>
    </row>
    <row r="116" spans="1:8" ht="18.75">
      <c r="A116" s="489" t="s">
        <v>115</v>
      </c>
      <c r="B116" s="489"/>
      <c r="C116" s="489"/>
      <c r="D116" s="540">
        <v>0.72</v>
      </c>
      <c r="E116" s="540"/>
      <c r="F116" s="214"/>
      <c r="G116" s="214"/>
      <c r="H116" s="214"/>
    </row>
    <row r="117" spans="1:8" ht="15.75">
      <c r="A117" s="236"/>
      <c r="B117" s="237"/>
      <c r="C117" s="231"/>
      <c r="D117" s="522"/>
      <c r="E117" s="522"/>
      <c r="F117" s="238"/>
      <c r="G117" s="238"/>
      <c r="H117" s="238"/>
    </row>
    <row r="118" spans="1:8" ht="33.75" customHeight="1">
      <c r="A118" s="523" t="s">
        <v>68</v>
      </c>
      <c r="B118" s="523"/>
      <c r="C118" s="232" t="s">
        <v>69</v>
      </c>
      <c r="D118" s="524" t="s">
        <v>68</v>
      </c>
      <c r="E118" s="524"/>
      <c r="F118" s="238"/>
      <c r="G118" s="238"/>
      <c r="H118" s="238"/>
    </row>
    <row r="119" spans="1:8" ht="32.25" customHeight="1">
      <c r="A119" s="525" t="s">
        <v>70</v>
      </c>
      <c r="B119" s="525"/>
      <c r="C119" s="234" t="s">
        <v>71</v>
      </c>
      <c r="D119" s="526" t="s">
        <v>72</v>
      </c>
      <c r="E119" s="527"/>
      <c r="F119" s="238"/>
      <c r="G119" s="238"/>
      <c r="H119" s="238"/>
    </row>
    <row r="120" spans="1:8" ht="15.75">
      <c r="A120" s="553"/>
      <c r="B120" s="477" t="s">
        <v>0</v>
      </c>
      <c r="C120" s="477"/>
      <c r="D120" s="478" t="s">
        <v>1</v>
      </c>
      <c r="E120" s="478"/>
      <c r="F120" s="238"/>
      <c r="G120" s="238"/>
      <c r="H120" s="238"/>
    </row>
    <row r="121" spans="1:8" ht="15.75" customHeight="1">
      <c r="A121" s="554"/>
      <c r="B121" s="479" t="s">
        <v>2</v>
      </c>
      <c r="C121" s="480"/>
      <c r="D121" s="528" t="s">
        <v>3</v>
      </c>
      <c r="E121" s="528" t="s">
        <v>4</v>
      </c>
      <c r="F121" s="238"/>
      <c r="G121" s="238"/>
      <c r="H121" s="238"/>
    </row>
    <row r="122" spans="1:8" ht="15.75">
      <c r="A122" s="554"/>
      <c r="B122" s="481" t="s">
        <v>5</v>
      </c>
      <c r="C122" s="481"/>
      <c r="D122" s="528"/>
      <c r="E122" s="528"/>
      <c r="F122" s="238"/>
      <c r="G122" s="238"/>
      <c r="H122" s="238"/>
    </row>
    <row r="123" spans="1:8" ht="15.75" customHeight="1">
      <c r="A123" s="554"/>
      <c r="B123" s="541" t="s">
        <v>116</v>
      </c>
      <c r="C123" s="542"/>
      <c r="D123" s="556" t="s">
        <v>6</v>
      </c>
      <c r="E123" s="557">
        <f>E4</f>
        <v>3</v>
      </c>
      <c r="F123" s="238"/>
      <c r="G123" s="238"/>
      <c r="H123" s="238"/>
    </row>
    <row r="124" spans="1:8" ht="15.75" customHeight="1">
      <c r="A124" s="555"/>
      <c r="B124" s="483" t="s">
        <v>7</v>
      </c>
      <c r="C124" s="484"/>
      <c r="D124" s="556"/>
      <c r="E124" s="557"/>
      <c r="F124" s="238"/>
      <c r="G124" s="238"/>
      <c r="H124" s="238"/>
    </row>
    <row r="125" spans="1:8" ht="15.75">
      <c r="A125" s="485" t="s">
        <v>8</v>
      </c>
      <c r="B125" s="485"/>
      <c r="C125" s="528" t="s">
        <v>9</v>
      </c>
      <c r="D125" s="528"/>
      <c r="E125" s="528"/>
      <c r="F125" s="238"/>
      <c r="G125" s="238"/>
      <c r="H125" s="238"/>
    </row>
    <row r="126" spans="1:8" ht="36.75" customHeight="1">
      <c r="A126" s="486" t="s">
        <v>464</v>
      </c>
      <c r="B126" s="487"/>
      <c r="C126" s="529" t="s">
        <v>469</v>
      </c>
      <c r="D126" s="529"/>
      <c r="E126" s="529"/>
      <c r="F126" s="238"/>
      <c r="G126" s="238"/>
      <c r="H126" s="238"/>
    </row>
    <row r="127" spans="1:8" ht="21">
      <c r="A127" s="239" t="s">
        <v>117</v>
      </c>
      <c r="B127" s="215"/>
      <c r="C127" s="215"/>
      <c r="D127" s="215"/>
      <c r="E127" s="240"/>
      <c r="F127" s="214"/>
    </row>
    <row r="128" spans="1:8" ht="15.75">
      <c r="A128" s="530" t="s">
        <v>12</v>
      </c>
      <c r="B128" s="530"/>
      <c r="C128" s="530"/>
      <c r="D128" s="543" t="s">
        <v>13</v>
      </c>
      <c r="E128" s="543"/>
      <c r="F128" s="214"/>
    </row>
    <row r="129" spans="1:6" ht="18.75">
      <c r="A129" s="544" t="s">
        <v>118</v>
      </c>
      <c r="B129" s="544"/>
      <c r="C129" s="544"/>
      <c r="D129" s="516">
        <f>'FUNDO FIXO'!C44</f>
        <v>-13.35</v>
      </c>
      <c r="E129" s="516"/>
      <c r="F129" s="241"/>
    </row>
    <row r="130" spans="1:6" ht="18.75">
      <c r="A130" s="544" t="s">
        <v>119</v>
      </c>
      <c r="B130" s="544"/>
      <c r="C130" s="544"/>
      <c r="D130" s="516">
        <f>'FUNDO FIXO'!C45</f>
        <v>1987.52</v>
      </c>
      <c r="E130" s="516"/>
      <c r="F130" s="214"/>
    </row>
    <row r="131" spans="1:6" ht="18.75">
      <c r="A131" s="544" t="s">
        <v>120</v>
      </c>
      <c r="B131" s="544"/>
      <c r="C131" s="544"/>
      <c r="D131" s="516">
        <f>'FUNDO FIXO'!C46</f>
        <v>2000</v>
      </c>
      <c r="E131" s="516"/>
      <c r="F131" s="214"/>
    </row>
    <row r="132" spans="1:6" ht="18.75">
      <c r="A132" s="545" t="s">
        <v>121</v>
      </c>
      <c r="B132" s="545"/>
      <c r="C132" s="545"/>
      <c r="D132" s="506">
        <f>D129-D130+D131</f>
        <v>-0.86999999999989086</v>
      </c>
      <c r="E132" s="506"/>
      <c r="F132" s="225"/>
    </row>
    <row r="133" spans="1:6" ht="15.75">
      <c r="A133" s="242"/>
      <c r="B133" s="243"/>
      <c r="C133" s="243"/>
      <c r="D133" s="244"/>
      <c r="E133" s="245"/>
      <c r="F133" s="225"/>
    </row>
    <row r="134" spans="1:6" ht="21">
      <c r="A134" s="246" t="s">
        <v>122</v>
      </c>
      <c r="B134" s="243"/>
      <c r="C134" s="243"/>
      <c r="D134" s="244"/>
      <c r="E134" s="245"/>
      <c r="F134" s="214"/>
    </row>
    <row r="135" spans="1:6" ht="15.75">
      <c r="A135" s="530" t="s">
        <v>12</v>
      </c>
      <c r="B135" s="530"/>
      <c r="C135" s="530"/>
      <c r="D135" s="543" t="s">
        <v>13</v>
      </c>
      <c r="E135" s="543"/>
      <c r="F135" s="214"/>
    </row>
    <row r="136" spans="1:6" ht="18.75">
      <c r="A136" s="544" t="s">
        <v>118</v>
      </c>
      <c r="B136" s="544"/>
      <c r="C136" s="544"/>
      <c r="D136" s="516">
        <f>'1 CONTA CORRENTE (D E C)'!D13+'2 CONTA CORRENTE (D E C)'!D13</f>
        <v>0</v>
      </c>
      <c r="E136" s="516"/>
      <c r="F136" s="241"/>
    </row>
    <row r="137" spans="1:6" ht="18.75">
      <c r="A137" s="544" t="s">
        <v>119</v>
      </c>
      <c r="B137" s="544"/>
      <c r="C137" s="544"/>
      <c r="D137" s="516">
        <f>'1 CONTA CORRENTE (D E C)'!C249+'2 CONTA CORRENTE (D E C)'!C249</f>
        <v>1479357.74</v>
      </c>
      <c r="E137" s="516"/>
      <c r="F137" s="214"/>
    </row>
    <row r="138" spans="1:6" ht="18.75">
      <c r="A138" s="544" t="s">
        <v>120</v>
      </c>
      <c r="B138" s="544"/>
      <c r="C138" s="544"/>
      <c r="D138" s="516">
        <f>'1 CONTA CORRENTE (D E C)'!D249+'2 CONTA CORRENTE (D E C)'!D249</f>
        <v>1479357.74</v>
      </c>
      <c r="E138" s="516"/>
      <c r="F138" s="214"/>
    </row>
    <row r="139" spans="1:6" ht="18.75">
      <c r="A139" s="545" t="s">
        <v>121</v>
      </c>
      <c r="B139" s="545"/>
      <c r="C139" s="545"/>
      <c r="D139" s="506">
        <f>D136-D137+D138</f>
        <v>0</v>
      </c>
      <c r="E139" s="506"/>
      <c r="F139" s="225"/>
    </row>
    <row r="140" spans="1:6" ht="15.75">
      <c r="A140" s="242"/>
      <c r="B140" s="243"/>
      <c r="C140" s="243"/>
      <c r="D140" s="244"/>
      <c r="E140" s="245"/>
      <c r="F140" s="225"/>
    </row>
    <row r="141" spans="1:6" ht="21">
      <c r="A141" s="246" t="s">
        <v>123</v>
      </c>
      <c r="B141" s="243"/>
      <c r="C141" s="243"/>
      <c r="D141" s="244"/>
      <c r="E141" s="245"/>
      <c r="F141" s="214"/>
    </row>
    <row r="142" spans="1:6" ht="15.75">
      <c r="A142" s="530" t="s">
        <v>12</v>
      </c>
      <c r="B142" s="530"/>
      <c r="C142" s="530"/>
      <c r="D142" s="543" t="s">
        <v>13</v>
      </c>
      <c r="E142" s="543"/>
      <c r="F142" s="214"/>
    </row>
    <row r="143" spans="1:6" ht="18.75">
      <c r="A143" s="544" t="s">
        <v>124</v>
      </c>
      <c r="B143" s="544"/>
      <c r="C143" s="544"/>
      <c r="D143" s="516">
        <f>'SALDO DE ESTOQUE'!C20</f>
        <v>1303.1000000000004</v>
      </c>
      <c r="E143" s="516"/>
      <c r="F143" s="225"/>
    </row>
    <row r="144" spans="1:6" ht="18.75">
      <c r="A144" s="544" t="s">
        <v>125</v>
      </c>
      <c r="B144" s="544"/>
      <c r="C144" s="544"/>
      <c r="D144" s="516">
        <f>'SALDO DE ESTOQUE'!C36</f>
        <v>49971.360000000008</v>
      </c>
      <c r="E144" s="516"/>
      <c r="F144" s="225"/>
    </row>
    <row r="145" spans="1:8" ht="18.75">
      <c r="A145" s="545" t="s">
        <v>126</v>
      </c>
      <c r="B145" s="545"/>
      <c r="C145" s="545"/>
      <c r="D145" s="506">
        <f>SUM(D143:E144)</f>
        <v>51274.460000000006</v>
      </c>
      <c r="E145" s="506"/>
      <c r="F145" s="225"/>
    </row>
    <row r="146" spans="1:8" ht="18.75">
      <c r="A146" s="247"/>
      <c r="B146" s="248"/>
      <c r="C146" s="248"/>
      <c r="D146" s="249"/>
      <c r="E146" s="250"/>
      <c r="F146" s="225"/>
    </row>
    <row r="147" spans="1:8" ht="21">
      <c r="A147" s="246" t="s">
        <v>127</v>
      </c>
      <c r="B147" s="243"/>
      <c r="C147" s="243"/>
      <c r="D147" s="244"/>
      <c r="E147" s="245"/>
      <c r="F147" s="214"/>
    </row>
    <row r="148" spans="1:8" ht="15.75">
      <c r="A148" s="530" t="s">
        <v>12</v>
      </c>
      <c r="B148" s="530"/>
      <c r="C148" s="530"/>
      <c r="D148" s="543" t="s">
        <v>13</v>
      </c>
      <c r="E148" s="543"/>
      <c r="F148" s="214"/>
    </row>
    <row r="149" spans="1:8" ht="18.75">
      <c r="A149" s="544" t="s">
        <v>118</v>
      </c>
      <c r="B149" s="544"/>
      <c r="C149" s="544"/>
      <c r="D149" s="516">
        <f>'APLICAÇÃO FINANCEIRA'!B24</f>
        <v>284.47000000000003</v>
      </c>
      <c r="E149" s="516"/>
      <c r="F149" s="241"/>
    </row>
    <row r="150" spans="1:8" ht="18.75">
      <c r="A150" s="544" t="s">
        <v>128</v>
      </c>
      <c r="B150" s="544"/>
      <c r="C150" s="544"/>
      <c r="D150" s="516">
        <f>'APLICAÇÃO FINANCEIRA'!C24</f>
        <v>417553.56</v>
      </c>
      <c r="E150" s="516"/>
      <c r="F150" s="214"/>
    </row>
    <row r="151" spans="1:8" ht="18.75">
      <c r="A151" s="544" t="s">
        <v>129</v>
      </c>
      <c r="B151" s="544"/>
      <c r="C151" s="544"/>
      <c r="D151" s="516">
        <f>'APLICAÇÃO FINANCEIRA'!D24</f>
        <v>656445</v>
      </c>
      <c r="E151" s="516"/>
      <c r="F151" s="214"/>
    </row>
    <row r="152" spans="1:8" ht="18.75">
      <c r="A152" s="544" t="s">
        <v>130</v>
      </c>
      <c r="B152" s="544"/>
      <c r="C152" s="544"/>
      <c r="D152" s="516">
        <f>'APLICAÇÃO FINANCEIRA'!E24</f>
        <v>105.01</v>
      </c>
      <c r="E152" s="516"/>
      <c r="F152" s="214"/>
    </row>
    <row r="153" spans="1:8" ht="18.75">
      <c r="A153" s="544" t="s">
        <v>131</v>
      </c>
      <c r="B153" s="544"/>
      <c r="C153" s="544"/>
      <c r="D153" s="516">
        <f>'APLICAÇÃO FINANCEIRA'!F24</f>
        <v>18.149999999999999</v>
      </c>
      <c r="E153" s="516"/>
      <c r="F153" s="214"/>
    </row>
    <row r="154" spans="1:8" ht="18.75">
      <c r="A154" s="545" t="s">
        <v>132</v>
      </c>
      <c r="B154" s="545"/>
      <c r="C154" s="545"/>
      <c r="D154" s="506">
        <f>D149-D150+D151+D152-D153</f>
        <v>239262.77</v>
      </c>
      <c r="E154" s="506"/>
      <c r="F154" s="225"/>
    </row>
    <row r="155" spans="1:8" ht="15.75">
      <c r="A155" s="251"/>
      <c r="B155" s="243"/>
      <c r="C155" s="243"/>
      <c r="D155" s="244"/>
      <c r="E155" s="245"/>
      <c r="F155" s="225"/>
    </row>
    <row r="156" spans="1:8" ht="18.75">
      <c r="A156" s="530" t="s">
        <v>133</v>
      </c>
      <c r="B156" s="530"/>
      <c r="C156" s="530"/>
      <c r="D156" s="506">
        <f>D154+D139+D132+D145</f>
        <v>290536.36</v>
      </c>
      <c r="E156" s="506"/>
      <c r="F156" s="225"/>
    </row>
    <row r="157" spans="1:8" ht="15.75">
      <c r="A157" s="546"/>
      <c r="B157" s="546"/>
      <c r="C157" s="546"/>
      <c r="D157" s="244"/>
      <c r="E157" s="245"/>
      <c r="F157" s="225"/>
      <c r="G157" s="214"/>
      <c r="H157" s="214"/>
    </row>
    <row r="158" spans="1:8" ht="21">
      <c r="A158" s="252" t="s">
        <v>134</v>
      </c>
      <c r="B158" s="243"/>
      <c r="C158" s="243"/>
      <c r="D158" s="244"/>
      <c r="E158" s="253"/>
      <c r="F158" s="214"/>
      <c r="G158" s="214"/>
      <c r="H158" s="214"/>
    </row>
    <row r="159" spans="1:8" ht="15.75">
      <c r="A159" s="547" t="s">
        <v>12</v>
      </c>
      <c r="B159" s="547"/>
      <c r="C159" s="547"/>
      <c r="D159" s="548" t="s">
        <v>13</v>
      </c>
      <c r="E159" s="548"/>
      <c r="F159" s="214"/>
      <c r="G159" s="214"/>
      <c r="H159" s="214"/>
    </row>
    <row r="160" spans="1:8" ht="18.75">
      <c r="A160" s="549" t="s">
        <v>135</v>
      </c>
      <c r="B160" s="549"/>
      <c r="C160" s="549"/>
      <c r="D160" s="550">
        <v>446.55</v>
      </c>
      <c r="E160" s="550"/>
      <c r="F160" s="214"/>
      <c r="G160" s="214"/>
      <c r="H160" s="214"/>
    </row>
    <row r="161" spans="1:8" ht="18.75">
      <c r="A161" s="549" t="s">
        <v>136</v>
      </c>
      <c r="B161" s="549"/>
      <c r="C161" s="549"/>
      <c r="D161" s="550">
        <v>1974196.24</v>
      </c>
      <c r="E161" s="550"/>
      <c r="F161" s="214"/>
      <c r="G161" s="214"/>
      <c r="H161" s="214"/>
    </row>
    <row r="162" spans="1:8" ht="18.75">
      <c r="A162" s="549" t="s">
        <v>137</v>
      </c>
      <c r="B162" s="549"/>
      <c r="C162" s="549"/>
      <c r="D162" s="550">
        <v>459995.34</v>
      </c>
      <c r="E162" s="550"/>
      <c r="F162" s="214"/>
      <c r="G162" s="214"/>
      <c r="H162" s="214"/>
    </row>
    <row r="163" spans="1:8" ht="18.75">
      <c r="A163" s="549" t="s">
        <v>138</v>
      </c>
      <c r="B163" s="549"/>
      <c r="C163" s="549"/>
      <c r="D163" s="550">
        <v>23217.31</v>
      </c>
      <c r="E163" s="550"/>
      <c r="F163" s="254"/>
      <c r="G163" s="214"/>
      <c r="H163" s="214"/>
    </row>
    <row r="164" spans="1:8" ht="18.75">
      <c r="A164" s="530" t="s">
        <v>139</v>
      </c>
      <c r="B164" s="530"/>
      <c r="C164" s="530"/>
      <c r="D164" s="506">
        <f>SUM(D160:E163)</f>
        <v>2457855.44</v>
      </c>
      <c r="E164" s="506"/>
      <c r="F164" s="225"/>
      <c r="G164" s="214"/>
      <c r="H164" s="214"/>
    </row>
    <row r="165" spans="1:8" ht="15.75">
      <c r="A165" s="242"/>
      <c r="B165" s="243"/>
      <c r="C165" s="243"/>
      <c r="D165" s="244"/>
      <c r="E165" s="245"/>
      <c r="F165" s="225"/>
      <c r="G165" s="214"/>
      <c r="H165" s="253"/>
    </row>
    <row r="166" spans="1:8" ht="21">
      <c r="A166" s="252" t="s">
        <v>140</v>
      </c>
      <c r="B166" s="243"/>
      <c r="C166" s="243"/>
      <c r="D166" s="244"/>
      <c r="E166" s="253"/>
      <c r="F166" s="214"/>
      <c r="G166" s="214"/>
      <c r="H166" s="214"/>
    </row>
    <row r="167" spans="1:8" ht="15.75">
      <c r="A167" s="547" t="s">
        <v>12</v>
      </c>
      <c r="B167" s="547"/>
      <c r="C167" s="547"/>
      <c r="D167" s="548" t="s">
        <v>13</v>
      </c>
      <c r="E167" s="548"/>
      <c r="F167" s="214"/>
      <c r="G167" s="214"/>
      <c r="H167" s="214"/>
    </row>
    <row r="168" spans="1:8" ht="18.75">
      <c r="A168" s="551" t="s">
        <v>118</v>
      </c>
      <c r="B168" s="551"/>
      <c r="C168" s="551"/>
      <c r="D168" s="497">
        <v>170860.37</v>
      </c>
      <c r="E168" s="497"/>
      <c r="F168" s="241"/>
      <c r="G168" s="214"/>
      <c r="H168" s="214"/>
    </row>
    <row r="169" spans="1:8" ht="18.75">
      <c r="A169" s="551" t="s">
        <v>141</v>
      </c>
      <c r="B169" s="551"/>
      <c r="C169" s="551"/>
      <c r="D169" s="516">
        <f>D33</f>
        <v>76992.727942799989</v>
      </c>
      <c r="E169" s="516"/>
      <c r="F169" s="225"/>
      <c r="G169" s="214"/>
      <c r="H169" s="214"/>
    </row>
    <row r="170" spans="1:8" ht="18.75">
      <c r="A170" s="551" t="s">
        <v>142</v>
      </c>
      <c r="B170" s="551"/>
      <c r="C170" s="551"/>
      <c r="D170" s="516">
        <f>'CÁLCULO FOLHA DE PAGAMENTO'!H14</f>
        <v>9823.5828000000001</v>
      </c>
      <c r="E170" s="516"/>
      <c r="F170" s="225"/>
      <c r="G170" s="214"/>
      <c r="H170" s="214"/>
    </row>
    <row r="171" spans="1:8" ht="18.75">
      <c r="A171" s="551" t="s">
        <v>143</v>
      </c>
      <c r="B171" s="551"/>
      <c r="C171" s="551"/>
      <c r="D171" s="516">
        <f>'CÁLCULO FOLHA DE PAGAMENTO'!H16</f>
        <v>0</v>
      </c>
      <c r="E171" s="516"/>
      <c r="F171" s="225"/>
      <c r="G171" s="214"/>
      <c r="H171" s="214"/>
    </row>
    <row r="172" spans="1:8" ht="18.75">
      <c r="A172" s="551" t="s">
        <v>144</v>
      </c>
      <c r="B172" s="551"/>
      <c r="C172" s="551"/>
      <c r="D172" s="516">
        <f>'CÁLCULO FOLHA DE PAGAMENTO'!H18</f>
        <v>3977.1615999999999</v>
      </c>
      <c r="E172" s="516"/>
      <c r="F172" s="225"/>
      <c r="G172" s="214"/>
      <c r="H172" s="214"/>
    </row>
    <row r="173" spans="1:8" ht="18.75">
      <c r="A173" s="545" t="s">
        <v>145</v>
      </c>
      <c r="B173" s="545"/>
      <c r="C173" s="545"/>
      <c r="D173" s="506">
        <f>D168+D169-D170-D171-D172</f>
        <v>234052.35354279997</v>
      </c>
      <c r="E173" s="506"/>
      <c r="F173" s="225"/>
      <c r="G173" s="214"/>
      <c r="H173" s="214"/>
    </row>
    <row r="174" spans="1:8" ht="15.75">
      <c r="A174" s="242"/>
      <c r="B174" s="243"/>
      <c r="C174" s="243"/>
      <c r="D174" s="255"/>
      <c r="E174" s="256"/>
      <c r="F174" s="225"/>
      <c r="G174" s="214"/>
      <c r="H174" s="214"/>
    </row>
    <row r="175" spans="1:8" ht="21">
      <c r="A175" s="552" t="s">
        <v>146</v>
      </c>
      <c r="B175" s="552"/>
      <c r="C175" s="552"/>
      <c r="D175" s="244"/>
      <c r="E175" s="253"/>
      <c r="F175" s="214"/>
      <c r="G175" s="214"/>
      <c r="H175" s="214"/>
    </row>
    <row r="176" spans="1:8" ht="15.75">
      <c r="A176" s="547" t="s">
        <v>12</v>
      </c>
      <c r="B176" s="547"/>
      <c r="C176" s="547"/>
      <c r="D176" s="548" t="s">
        <v>13</v>
      </c>
      <c r="E176" s="548"/>
      <c r="F176" s="214"/>
      <c r="G176" s="214"/>
      <c r="H176" s="214"/>
    </row>
    <row r="177" spans="1:8" ht="18.75">
      <c r="A177" s="551" t="s">
        <v>147</v>
      </c>
      <c r="B177" s="551"/>
      <c r="C177" s="551"/>
      <c r="D177" s="497">
        <v>0</v>
      </c>
      <c r="E177" s="497"/>
      <c r="F177" s="214"/>
      <c r="G177" s="214"/>
      <c r="H177" s="214"/>
    </row>
    <row r="178" spans="1:8" ht="18.75">
      <c r="A178" s="551" t="s">
        <v>148</v>
      </c>
      <c r="B178" s="551"/>
      <c r="C178" s="551"/>
      <c r="D178" s="497">
        <v>0</v>
      </c>
      <c r="E178" s="497"/>
      <c r="F178" s="214"/>
      <c r="G178" s="214"/>
      <c r="H178" s="214"/>
    </row>
    <row r="179" spans="1:8" ht="18.75">
      <c r="A179" s="551" t="s">
        <v>149</v>
      </c>
      <c r="B179" s="551"/>
      <c r="C179" s="551"/>
      <c r="D179" s="497">
        <v>0</v>
      </c>
      <c r="E179" s="497"/>
      <c r="F179" s="214"/>
      <c r="G179" s="214"/>
      <c r="H179" s="214"/>
    </row>
    <row r="180" spans="1:8" ht="18.75">
      <c r="A180" s="551" t="s">
        <v>150</v>
      </c>
      <c r="B180" s="551"/>
      <c r="C180" s="551"/>
      <c r="D180" s="497">
        <v>0</v>
      </c>
      <c r="E180" s="497"/>
      <c r="F180" s="214"/>
      <c r="G180" s="214"/>
      <c r="H180" s="214"/>
    </row>
    <row r="181" spans="1:8" ht="18.75">
      <c r="A181" s="551" t="s">
        <v>151</v>
      </c>
      <c r="B181" s="551"/>
      <c r="C181" s="551"/>
      <c r="D181" s="497">
        <v>0</v>
      </c>
      <c r="E181" s="497"/>
      <c r="F181" s="214"/>
      <c r="G181" s="214"/>
      <c r="H181" s="214"/>
    </row>
    <row r="182" spans="1:8" ht="18.75">
      <c r="A182" s="530" t="s">
        <v>139</v>
      </c>
      <c r="B182" s="530"/>
      <c r="C182" s="530"/>
      <c r="D182" s="506">
        <f>SUM(D177:E181)</f>
        <v>0</v>
      </c>
      <c r="E182" s="506"/>
      <c r="F182" s="225"/>
      <c r="G182" s="214"/>
      <c r="H182" s="257"/>
    </row>
    <row r="183" spans="1:8" ht="18.75">
      <c r="A183" s="258"/>
      <c r="B183" s="258"/>
      <c r="C183" s="258"/>
      <c r="D183" s="259"/>
      <c r="E183" s="259"/>
      <c r="F183" s="225"/>
      <c r="G183" s="214"/>
      <c r="H183" s="214"/>
    </row>
    <row r="184" spans="1:8" ht="21">
      <c r="A184" s="552" t="s">
        <v>152</v>
      </c>
      <c r="B184" s="552"/>
      <c r="C184" s="552"/>
      <c r="D184" s="552"/>
      <c r="E184" s="552"/>
      <c r="F184" s="214"/>
      <c r="G184" s="214"/>
      <c r="H184" s="214"/>
    </row>
    <row r="185" spans="1:8" ht="15.75">
      <c r="A185" s="530" t="s">
        <v>12</v>
      </c>
      <c r="B185" s="530"/>
      <c r="C185" s="530"/>
      <c r="D185" s="548" t="s">
        <v>13</v>
      </c>
      <c r="E185" s="548"/>
      <c r="F185" s="214"/>
      <c r="G185" s="214"/>
      <c r="H185" s="214"/>
    </row>
    <row r="186" spans="1:8" ht="18.75">
      <c r="A186" s="551" t="s">
        <v>118</v>
      </c>
      <c r="B186" s="551"/>
      <c r="C186" s="551"/>
      <c r="D186" s="497">
        <v>0</v>
      </c>
      <c r="E186" s="497"/>
      <c r="F186" s="241"/>
      <c r="G186" s="214"/>
      <c r="H186" s="214"/>
    </row>
    <row r="187" spans="1:8" ht="18.75">
      <c r="A187" s="551" t="s">
        <v>153</v>
      </c>
      <c r="B187" s="551"/>
      <c r="C187" s="551"/>
      <c r="D187" s="497">
        <v>0</v>
      </c>
      <c r="E187" s="497"/>
      <c r="F187" s="214"/>
      <c r="G187" s="214"/>
      <c r="H187" s="214"/>
    </row>
    <row r="188" spans="1:8" ht="18.75">
      <c r="A188" s="551" t="s">
        <v>154</v>
      </c>
      <c r="B188" s="551"/>
      <c r="C188" s="551"/>
      <c r="D188" s="516">
        <f>D182</f>
        <v>0</v>
      </c>
      <c r="E188" s="516"/>
      <c r="F188" s="225"/>
      <c r="G188" s="214"/>
      <c r="H188" s="214"/>
    </row>
    <row r="189" spans="1:8" ht="18.75">
      <c r="A189" s="545" t="s">
        <v>155</v>
      </c>
      <c r="B189" s="545"/>
      <c r="C189" s="545"/>
      <c r="D189" s="506">
        <f>D186+D187-D188</f>
        <v>0</v>
      </c>
      <c r="E189" s="506"/>
      <c r="F189" s="225"/>
      <c r="G189" s="214"/>
      <c r="H189" s="214"/>
    </row>
    <row r="190" spans="1:8" ht="15.75">
      <c r="A190" s="260"/>
      <c r="B190" s="260"/>
      <c r="C190" s="261"/>
      <c r="D190" s="524"/>
      <c r="E190" s="524"/>
      <c r="F190" s="214"/>
      <c r="G190" s="214"/>
      <c r="H190" s="257"/>
    </row>
    <row r="191" spans="1:8" ht="15.75">
      <c r="A191" s="523" t="s">
        <v>68</v>
      </c>
      <c r="B191" s="523"/>
      <c r="C191" s="232" t="s">
        <v>69</v>
      </c>
      <c r="D191" s="524" t="s">
        <v>68</v>
      </c>
      <c r="E191" s="524"/>
      <c r="F191" s="214"/>
      <c r="G191" s="214"/>
      <c r="H191" s="257"/>
    </row>
    <row r="192" spans="1:8" ht="36.75" customHeight="1">
      <c r="A192" s="525" t="s">
        <v>70</v>
      </c>
      <c r="B192" s="525"/>
      <c r="C192" s="234" t="s">
        <v>71</v>
      </c>
      <c r="D192" s="526" t="s">
        <v>72</v>
      </c>
      <c r="E192" s="527"/>
      <c r="F192" s="214"/>
      <c r="G192" s="214"/>
      <c r="H192" s="257"/>
    </row>
  </sheetData>
  <sheetProtection password="B090" sheet="1" objects="1"/>
  <mergeCells count="351">
    <mergeCell ref="A191:B191"/>
    <mergeCell ref="D191:E191"/>
    <mergeCell ref="A192:B192"/>
    <mergeCell ref="D192:E192"/>
    <mergeCell ref="A1:A5"/>
    <mergeCell ref="A67:A71"/>
    <mergeCell ref="A120:A124"/>
    <mergeCell ref="D2:D3"/>
    <mergeCell ref="D4:D5"/>
    <mergeCell ref="D68:D69"/>
    <mergeCell ref="D70:D71"/>
    <mergeCell ref="D121:D122"/>
    <mergeCell ref="D123:D124"/>
    <mergeCell ref="E2:E3"/>
    <mergeCell ref="E4:E5"/>
    <mergeCell ref="E68:E69"/>
    <mergeCell ref="E70:E71"/>
    <mergeCell ref="E121:E122"/>
    <mergeCell ref="E123:E124"/>
    <mergeCell ref="D8:E9"/>
    <mergeCell ref="A186:C186"/>
    <mergeCell ref="D186:E186"/>
    <mergeCell ref="A187:C187"/>
    <mergeCell ref="D187:E187"/>
    <mergeCell ref="A188:C188"/>
    <mergeCell ref="D188:E188"/>
    <mergeCell ref="A189:C189"/>
    <mergeCell ref="D189:E189"/>
    <mergeCell ref="D190:E190"/>
    <mergeCell ref="A180:C180"/>
    <mergeCell ref="D180:E180"/>
    <mergeCell ref="A181:C181"/>
    <mergeCell ref="D181:E181"/>
    <mergeCell ref="A182:C182"/>
    <mergeCell ref="D182:E182"/>
    <mergeCell ref="A184:E184"/>
    <mergeCell ref="A185:C185"/>
    <mergeCell ref="D185:E185"/>
    <mergeCell ref="A175:C175"/>
    <mergeCell ref="A176:C176"/>
    <mergeCell ref="D176:E176"/>
    <mergeCell ref="A177:C177"/>
    <mergeCell ref="D177:E177"/>
    <mergeCell ref="A178:C178"/>
    <mergeCell ref="D178:E178"/>
    <mergeCell ref="A179:C179"/>
    <mergeCell ref="D179:E179"/>
    <mergeCell ref="A169:C169"/>
    <mergeCell ref="D169:E169"/>
    <mergeCell ref="A170:C170"/>
    <mergeCell ref="D170:E170"/>
    <mergeCell ref="A171:C171"/>
    <mergeCell ref="D171:E171"/>
    <mergeCell ref="A172:C172"/>
    <mergeCell ref="D172:E172"/>
    <mergeCell ref="A173:C173"/>
    <mergeCell ref="D173:E173"/>
    <mergeCell ref="A162:C162"/>
    <mergeCell ref="D162:E162"/>
    <mergeCell ref="A163:C163"/>
    <mergeCell ref="D163:E163"/>
    <mergeCell ref="A164:C164"/>
    <mergeCell ref="D164:E164"/>
    <mergeCell ref="A167:C167"/>
    <mergeCell ref="D167:E167"/>
    <mergeCell ref="A168:C168"/>
    <mergeCell ref="D168:E168"/>
    <mergeCell ref="A156:C156"/>
    <mergeCell ref="D156:E156"/>
    <mergeCell ref="A157:C157"/>
    <mergeCell ref="A159:C159"/>
    <mergeCell ref="D159:E159"/>
    <mergeCell ref="A160:C160"/>
    <mergeCell ref="D160:E160"/>
    <mergeCell ref="A161:C161"/>
    <mergeCell ref="D161:E161"/>
    <mergeCell ref="A150:C150"/>
    <mergeCell ref="D150:E150"/>
    <mergeCell ref="A151:C151"/>
    <mergeCell ref="D151:E151"/>
    <mergeCell ref="A152:C152"/>
    <mergeCell ref="D152:E152"/>
    <mergeCell ref="A153:C153"/>
    <mergeCell ref="D153:E153"/>
    <mergeCell ref="A154:C154"/>
    <mergeCell ref="D154:E154"/>
    <mergeCell ref="A143:C143"/>
    <mergeCell ref="D143:E143"/>
    <mergeCell ref="A144:C144"/>
    <mergeCell ref="D144:E144"/>
    <mergeCell ref="A145:C145"/>
    <mergeCell ref="D145:E145"/>
    <mergeCell ref="A148:C148"/>
    <mergeCell ref="D148:E148"/>
    <mergeCell ref="A149:C149"/>
    <mergeCell ref="D149:E149"/>
    <mergeCell ref="A136:C136"/>
    <mergeCell ref="D136:E136"/>
    <mergeCell ref="A137:C137"/>
    <mergeCell ref="D137:E137"/>
    <mergeCell ref="A138:C138"/>
    <mergeCell ref="D138:E138"/>
    <mergeCell ref="A139:C139"/>
    <mergeCell ref="D139:E139"/>
    <mergeCell ref="A142:C142"/>
    <mergeCell ref="D142:E142"/>
    <mergeCell ref="A129:C129"/>
    <mergeCell ref="D129:E129"/>
    <mergeCell ref="A130:C130"/>
    <mergeCell ref="D130:E130"/>
    <mergeCell ref="A131:C131"/>
    <mergeCell ref="D131:E131"/>
    <mergeCell ref="A132:C132"/>
    <mergeCell ref="D132:E132"/>
    <mergeCell ref="A135:C135"/>
    <mergeCell ref="D135:E135"/>
    <mergeCell ref="B121:C121"/>
    <mergeCell ref="B122:C122"/>
    <mergeCell ref="B123:C123"/>
    <mergeCell ref="B124:C124"/>
    <mergeCell ref="A125:B125"/>
    <mergeCell ref="C125:E125"/>
    <mergeCell ref="A126:B126"/>
    <mergeCell ref="C126:E126"/>
    <mergeCell ref="A128:C128"/>
    <mergeCell ref="D128:E128"/>
    <mergeCell ref="A116:C116"/>
    <mergeCell ref="D116:E116"/>
    <mergeCell ref="D117:E117"/>
    <mergeCell ref="A118:B118"/>
    <mergeCell ref="D118:E118"/>
    <mergeCell ref="A119:B119"/>
    <mergeCell ref="D119:E119"/>
    <mergeCell ref="B120:C120"/>
    <mergeCell ref="D120:E120"/>
    <mergeCell ref="A111:C111"/>
    <mergeCell ref="D111:E111"/>
    <mergeCell ref="A112:C112"/>
    <mergeCell ref="D112:E112"/>
    <mergeCell ref="A113:C113"/>
    <mergeCell ref="D113:E113"/>
    <mergeCell ref="A114:C114"/>
    <mergeCell ref="D114:E114"/>
    <mergeCell ref="A115:C115"/>
    <mergeCell ref="D115:E115"/>
    <mergeCell ref="A106:C106"/>
    <mergeCell ref="D106:E106"/>
    <mergeCell ref="A107:C107"/>
    <mergeCell ref="D107:E107"/>
    <mergeCell ref="A108:C108"/>
    <mergeCell ref="D108:E108"/>
    <mergeCell ref="A109:C109"/>
    <mergeCell ref="D109:E109"/>
    <mergeCell ref="A110:C110"/>
    <mergeCell ref="D110:E110"/>
    <mergeCell ref="A101:C101"/>
    <mergeCell ref="D101:E101"/>
    <mergeCell ref="A102:C102"/>
    <mergeCell ref="D102:E102"/>
    <mergeCell ref="A103:C103"/>
    <mergeCell ref="D103:E103"/>
    <mergeCell ref="A104:C104"/>
    <mergeCell ref="D104:E104"/>
    <mergeCell ref="A105:C105"/>
    <mergeCell ref="D105:E105"/>
    <mergeCell ref="A96:C96"/>
    <mergeCell ref="D96:E96"/>
    <mergeCell ref="A97:C97"/>
    <mergeCell ref="D97:E97"/>
    <mergeCell ref="A98:C98"/>
    <mergeCell ref="D98:E98"/>
    <mergeCell ref="A99:C99"/>
    <mergeCell ref="D99:E99"/>
    <mergeCell ref="A100:C100"/>
    <mergeCell ref="D100:E100"/>
    <mergeCell ref="A91:C91"/>
    <mergeCell ref="D91:E91"/>
    <mergeCell ref="A92:C92"/>
    <mergeCell ref="D92:E92"/>
    <mergeCell ref="A93:C93"/>
    <mergeCell ref="D93:E93"/>
    <mergeCell ref="A94:C94"/>
    <mergeCell ref="D94:E94"/>
    <mergeCell ref="A95:C95"/>
    <mergeCell ref="D95:E95"/>
    <mergeCell ref="A86:C86"/>
    <mergeCell ref="D86:E86"/>
    <mergeCell ref="A87:C87"/>
    <mergeCell ref="D87:E87"/>
    <mergeCell ref="A88:C88"/>
    <mergeCell ref="D88:E88"/>
    <mergeCell ref="A89:C89"/>
    <mergeCell ref="D89:E89"/>
    <mergeCell ref="A90:C90"/>
    <mergeCell ref="D90:E90"/>
    <mergeCell ref="A81:C81"/>
    <mergeCell ref="D81:E81"/>
    <mergeCell ref="A82:C82"/>
    <mergeCell ref="D82:E82"/>
    <mergeCell ref="A83:C83"/>
    <mergeCell ref="D83:E83"/>
    <mergeCell ref="A84:C84"/>
    <mergeCell ref="D84:E84"/>
    <mergeCell ref="A85:C85"/>
    <mergeCell ref="D85:E85"/>
    <mergeCell ref="A76:C76"/>
    <mergeCell ref="D76:E76"/>
    <mergeCell ref="A77:C77"/>
    <mergeCell ref="D77:E77"/>
    <mergeCell ref="A78:C78"/>
    <mergeCell ref="D78:E78"/>
    <mergeCell ref="A79:C79"/>
    <mergeCell ref="D79:E79"/>
    <mergeCell ref="A80:C80"/>
    <mergeCell ref="D80:E80"/>
    <mergeCell ref="B71:C71"/>
    <mergeCell ref="A72:B72"/>
    <mergeCell ref="C72:E72"/>
    <mergeCell ref="A73:B73"/>
    <mergeCell ref="C73:E73"/>
    <mergeCell ref="A74:C74"/>
    <mergeCell ref="D74:E74"/>
    <mergeCell ref="A75:C75"/>
    <mergeCell ref="D75:E75"/>
    <mergeCell ref="D64:E64"/>
    <mergeCell ref="A65:B65"/>
    <mergeCell ref="D65:E65"/>
    <mergeCell ref="A66:B66"/>
    <mergeCell ref="D66:E66"/>
    <mergeCell ref="B67:C67"/>
    <mergeCell ref="D67:E67"/>
    <mergeCell ref="B68:C68"/>
    <mergeCell ref="B69:C69"/>
    <mergeCell ref="A59:C59"/>
    <mergeCell ref="D59:E59"/>
    <mergeCell ref="A60:C60"/>
    <mergeCell ref="D60:E60"/>
    <mergeCell ref="A61:C61"/>
    <mergeCell ref="D61:E61"/>
    <mergeCell ref="A62:C62"/>
    <mergeCell ref="D62:E62"/>
    <mergeCell ref="A63:C63"/>
    <mergeCell ref="D63:E63"/>
    <mergeCell ref="A54:C54"/>
    <mergeCell ref="D54:E54"/>
    <mergeCell ref="A55:C55"/>
    <mergeCell ref="D55:E55"/>
    <mergeCell ref="A56:C56"/>
    <mergeCell ref="D56:E56"/>
    <mergeCell ref="A57:C57"/>
    <mergeCell ref="D57:E57"/>
    <mergeCell ref="A58:C58"/>
    <mergeCell ref="D58:E58"/>
    <mergeCell ref="A49:C49"/>
    <mergeCell ref="D49:E49"/>
    <mergeCell ref="A50:C50"/>
    <mergeCell ref="D50:E50"/>
    <mergeCell ref="A51:C51"/>
    <mergeCell ref="D51:E51"/>
    <mergeCell ref="A52:C52"/>
    <mergeCell ref="D52:E52"/>
    <mergeCell ref="A53:C53"/>
    <mergeCell ref="D53:E5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19:C19"/>
    <mergeCell ref="D19:E19"/>
    <mergeCell ref="A20:C20"/>
    <mergeCell ref="D20:E20"/>
    <mergeCell ref="A21:C21"/>
    <mergeCell ref="A22:C22"/>
    <mergeCell ref="D22:E22"/>
    <mergeCell ref="A23:C23"/>
    <mergeCell ref="D23:E2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8:C8"/>
    <mergeCell ref="A9:C9"/>
    <mergeCell ref="A10:C10"/>
    <mergeCell ref="D10:E10"/>
    <mergeCell ref="A11:C11"/>
    <mergeCell ref="D11:E11"/>
    <mergeCell ref="A12:C12"/>
    <mergeCell ref="D12:E12"/>
    <mergeCell ref="A13:C13"/>
    <mergeCell ref="D13:E13"/>
    <mergeCell ref="B1:C1"/>
    <mergeCell ref="D1:E1"/>
    <mergeCell ref="B2:C2"/>
    <mergeCell ref="B3:C3"/>
    <mergeCell ref="G4:H4"/>
    <mergeCell ref="B5:C5"/>
    <mergeCell ref="G5:H5"/>
    <mergeCell ref="A6:B6"/>
    <mergeCell ref="A7:B7"/>
  </mergeCells>
  <pageMargins left="0.511811024" right="0.511811024" top="0.78740157499999996" bottom="0.78740157499999996" header="0.31496062000000002" footer="0.31496062000000002"/>
  <pageSetup paperSize="9" scale="55" orientation="portrait" horizontalDpi="4294967294" verticalDpi="4294967294" r:id="rId1"/>
  <rowBreaks count="2" manualBreakCount="2">
    <brk id="66" max="16383" man="1"/>
    <brk id="119" max="16383" man="1"/>
  </rowBreaks>
  <colBreaks count="1" manualBreakCount="1">
    <brk id="5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zoomScaleNormal="100" workbookViewId="0">
      <selection activeCell="A9" sqref="A9"/>
    </sheetView>
  </sheetViews>
  <sheetFormatPr defaultColWidth="9" defaultRowHeight="15"/>
  <cols>
    <col min="1" max="1" width="35.5703125" style="2" customWidth="1"/>
    <col min="2" max="2" width="57.42578125" style="2" customWidth="1"/>
    <col min="3" max="3" width="26" style="2" customWidth="1"/>
    <col min="4" max="4" width="19" style="2" customWidth="1"/>
    <col min="5" max="5" width="28" style="2" customWidth="1"/>
    <col min="6" max="6" width="35" style="2" customWidth="1"/>
    <col min="7" max="7" width="23.42578125" style="2" customWidth="1"/>
    <col min="8" max="8" width="31.140625" style="2" customWidth="1"/>
    <col min="9" max="9" width="14.28515625" style="2" customWidth="1"/>
    <col min="10" max="10" width="28.5703125" style="2" customWidth="1"/>
    <col min="11" max="11" width="11.5703125" style="2" customWidth="1"/>
    <col min="12" max="259" width="9.140625" style="2"/>
    <col min="260" max="261" width="14.28515625" style="2" customWidth="1"/>
    <col min="262" max="262" width="20.7109375" style="2" customWidth="1"/>
    <col min="263" max="263" width="50.7109375" style="2" customWidth="1"/>
    <col min="264" max="264" width="18.42578125" style="2" customWidth="1"/>
    <col min="265" max="265" width="14.28515625" style="2" customWidth="1"/>
    <col min="266" max="266" width="28.5703125" style="2" customWidth="1"/>
    <col min="267" max="267" width="11.5703125" style="2" customWidth="1"/>
    <col min="268" max="515" width="9.140625" style="2"/>
    <col min="516" max="517" width="14.28515625" style="2" customWidth="1"/>
    <col min="518" max="518" width="20.7109375" style="2" customWidth="1"/>
    <col min="519" max="519" width="50.7109375" style="2" customWidth="1"/>
    <col min="520" max="520" width="18.42578125" style="2" customWidth="1"/>
    <col min="521" max="521" width="14.28515625" style="2" customWidth="1"/>
    <col min="522" max="522" width="28.5703125" style="2" customWidth="1"/>
    <col min="523" max="523" width="11.5703125" style="2" customWidth="1"/>
    <col min="524" max="771" width="9.140625" style="2"/>
    <col min="772" max="773" width="14.28515625" style="2" customWidth="1"/>
    <col min="774" max="774" width="20.7109375" style="2" customWidth="1"/>
    <col min="775" max="775" width="50.7109375" style="2" customWidth="1"/>
    <col min="776" max="776" width="18.42578125" style="2" customWidth="1"/>
    <col min="777" max="777" width="14.28515625" style="2" customWidth="1"/>
    <col min="778" max="778" width="28.5703125" style="2" customWidth="1"/>
    <col min="779" max="779" width="11.5703125" style="2" customWidth="1"/>
    <col min="780" max="1027" width="9.140625" style="2"/>
    <col min="1028" max="1029" width="14.28515625" style="2" customWidth="1"/>
    <col min="1030" max="1030" width="20.7109375" style="2" customWidth="1"/>
    <col min="1031" max="1031" width="50.7109375" style="2" customWidth="1"/>
    <col min="1032" max="1032" width="18.42578125" style="2" customWidth="1"/>
    <col min="1033" max="1033" width="14.28515625" style="2" customWidth="1"/>
    <col min="1034" max="1034" width="28.5703125" style="2" customWidth="1"/>
    <col min="1035" max="1035" width="11.5703125" style="2" customWidth="1"/>
    <col min="1036" max="1283" width="9.140625" style="2"/>
    <col min="1284" max="1285" width="14.28515625" style="2" customWidth="1"/>
    <col min="1286" max="1286" width="20.7109375" style="2" customWidth="1"/>
    <col min="1287" max="1287" width="50.7109375" style="2" customWidth="1"/>
    <col min="1288" max="1288" width="18.42578125" style="2" customWidth="1"/>
    <col min="1289" max="1289" width="14.28515625" style="2" customWidth="1"/>
    <col min="1290" max="1290" width="28.5703125" style="2" customWidth="1"/>
    <col min="1291" max="1291" width="11.5703125" style="2" customWidth="1"/>
    <col min="1292" max="1539" width="9.140625" style="2"/>
    <col min="1540" max="1541" width="14.28515625" style="2" customWidth="1"/>
    <col min="1542" max="1542" width="20.7109375" style="2" customWidth="1"/>
    <col min="1543" max="1543" width="50.7109375" style="2" customWidth="1"/>
    <col min="1544" max="1544" width="18.42578125" style="2" customWidth="1"/>
    <col min="1545" max="1545" width="14.28515625" style="2" customWidth="1"/>
    <col min="1546" max="1546" width="28.5703125" style="2" customWidth="1"/>
    <col min="1547" max="1547" width="11.5703125" style="2" customWidth="1"/>
    <col min="1548" max="1795" width="9.140625" style="2"/>
    <col min="1796" max="1797" width="14.28515625" style="2" customWidth="1"/>
    <col min="1798" max="1798" width="20.7109375" style="2" customWidth="1"/>
    <col min="1799" max="1799" width="50.7109375" style="2" customWidth="1"/>
    <col min="1800" max="1800" width="18.42578125" style="2" customWidth="1"/>
    <col min="1801" max="1801" width="14.28515625" style="2" customWidth="1"/>
    <col min="1802" max="1802" width="28.5703125" style="2" customWidth="1"/>
    <col min="1803" max="1803" width="11.5703125" style="2" customWidth="1"/>
    <col min="1804" max="2051" width="9.140625" style="2"/>
    <col min="2052" max="2053" width="14.28515625" style="2" customWidth="1"/>
    <col min="2054" max="2054" width="20.7109375" style="2" customWidth="1"/>
    <col min="2055" max="2055" width="50.7109375" style="2" customWidth="1"/>
    <col min="2056" max="2056" width="18.42578125" style="2" customWidth="1"/>
    <col min="2057" max="2057" width="14.28515625" style="2" customWidth="1"/>
    <col min="2058" max="2058" width="28.5703125" style="2" customWidth="1"/>
    <col min="2059" max="2059" width="11.5703125" style="2" customWidth="1"/>
    <col min="2060" max="2307" width="9.140625" style="2"/>
    <col min="2308" max="2309" width="14.28515625" style="2" customWidth="1"/>
    <col min="2310" max="2310" width="20.7109375" style="2" customWidth="1"/>
    <col min="2311" max="2311" width="50.7109375" style="2" customWidth="1"/>
    <col min="2312" max="2312" width="18.42578125" style="2" customWidth="1"/>
    <col min="2313" max="2313" width="14.28515625" style="2" customWidth="1"/>
    <col min="2314" max="2314" width="28.5703125" style="2" customWidth="1"/>
    <col min="2315" max="2315" width="11.5703125" style="2" customWidth="1"/>
    <col min="2316" max="2563" width="9.140625" style="2"/>
    <col min="2564" max="2565" width="14.28515625" style="2" customWidth="1"/>
    <col min="2566" max="2566" width="20.7109375" style="2" customWidth="1"/>
    <col min="2567" max="2567" width="50.7109375" style="2" customWidth="1"/>
    <col min="2568" max="2568" width="18.42578125" style="2" customWidth="1"/>
    <col min="2569" max="2569" width="14.28515625" style="2" customWidth="1"/>
    <col min="2570" max="2570" width="28.5703125" style="2" customWidth="1"/>
    <col min="2571" max="2571" width="11.5703125" style="2" customWidth="1"/>
    <col min="2572" max="2819" width="9.140625" style="2"/>
    <col min="2820" max="2821" width="14.28515625" style="2" customWidth="1"/>
    <col min="2822" max="2822" width="20.7109375" style="2" customWidth="1"/>
    <col min="2823" max="2823" width="50.7109375" style="2" customWidth="1"/>
    <col min="2824" max="2824" width="18.42578125" style="2" customWidth="1"/>
    <col min="2825" max="2825" width="14.28515625" style="2" customWidth="1"/>
    <col min="2826" max="2826" width="28.5703125" style="2" customWidth="1"/>
    <col min="2827" max="2827" width="11.5703125" style="2" customWidth="1"/>
    <col min="2828" max="3075" width="9.140625" style="2"/>
    <col min="3076" max="3077" width="14.28515625" style="2" customWidth="1"/>
    <col min="3078" max="3078" width="20.7109375" style="2" customWidth="1"/>
    <col min="3079" max="3079" width="50.7109375" style="2" customWidth="1"/>
    <col min="3080" max="3080" width="18.42578125" style="2" customWidth="1"/>
    <col min="3081" max="3081" width="14.28515625" style="2" customWidth="1"/>
    <col min="3082" max="3082" width="28.5703125" style="2" customWidth="1"/>
    <col min="3083" max="3083" width="11.5703125" style="2" customWidth="1"/>
    <col min="3084" max="3331" width="9.140625" style="2"/>
    <col min="3332" max="3333" width="14.28515625" style="2" customWidth="1"/>
    <col min="3334" max="3334" width="20.7109375" style="2" customWidth="1"/>
    <col min="3335" max="3335" width="50.7109375" style="2" customWidth="1"/>
    <col min="3336" max="3336" width="18.42578125" style="2" customWidth="1"/>
    <col min="3337" max="3337" width="14.28515625" style="2" customWidth="1"/>
    <col min="3338" max="3338" width="28.5703125" style="2" customWidth="1"/>
    <col min="3339" max="3339" width="11.5703125" style="2" customWidth="1"/>
    <col min="3340" max="3587" width="9.140625" style="2"/>
    <col min="3588" max="3589" width="14.28515625" style="2" customWidth="1"/>
    <col min="3590" max="3590" width="20.7109375" style="2" customWidth="1"/>
    <col min="3591" max="3591" width="50.7109375" style="2" customWidth="1"/>
    <col min="3592" max="3592" width="18.42578125" style="2" customWidth="1"/>
    <col min="3593" max="3593" width="14.28515625" style="2" customWidth="1"/>
    <col min="3594" max="3594" width="28.5703125" style="2" customWidth="1"/>
    <col min="3595" max="3595" width="11.5703125" style="2" customWidth="1"/>
    <col min="3596" max="3843" width="9.140625" style="2"/>
    <col min="3844" max="3845" width="14.28515625" style="2" customWidth="1"/>
    <col min="3846" max="3846" width="20.7109375" style="2" customWidth="1"/>
    <col min="3847" max="3847" width="50.7109375" style="2" customWidth="1"/>
    <col min="3848" max="3848" width="18.42578125" style="2" customWidth="1"/>
    <col min="3849" max="3849" width="14.28515625" style="2" customWidth="1"/>
    <col min="3850" max="3850" width="28.5703125" style="2" customWidth="1"/>
    <col min="3851" max="3851" width="11.5703125" style="2" customWidth="1"/>
    <col min="3852" max="4099" width="9.140625" style="2"/>
    <col min="4100" max="4101" width="14.28515625" style="2" customWidth="1"/>
    <col min="4102" max="4102" width="20.7109375" style="2" customWidth="1"/>
    <col min="4103" max="4103" width="50.7109375" style="2" customWidth="1"/>
    <col min="4104" max="4104" width="18.42578125" style="2" customWidth="1"/>
    <col min="4105" max="4105" width="14.28515625" style="2" customWidth="1"/>
    <col min="4106" max="4106" width="28.5703125" style="2" customWidth="1"/>
    <col min="4107" max="4107" width="11.5703125" style="2" customWidth="1"/>
    <col min="4108" max="4355" width="9.140625" style="2"/>
    <col min="4356" max="4357" width="14.28515625" style="2" customWidth="1"/>
    <col min="4358" max="4358" width="20.7109375" style="2" customWidth="1"/>
    <col min="4359" max="4359" width="50.7109375" style="2" customWidth="1"/>
    <col min="4360" max="4360" width="18.42578125" style="2" customWidth="1"/>
    <col min="4361" max="4361" width="14.28515625" style="2" customWidth="1"/>
    <col min="4362" max="4362" width="28.5703125" style="2" customWidth="1"/>
    <col min="4363" max="4363" width="11.5703125" style="2" customWidth="1"/>
    <col min="4364" max="4611" width="9.140625" style="2"/>
    <col min="4612" max="4613" width="14.28515625" style="2" customWidth="1"/>
    <col min="4614" max="4614" width="20.7109375" style="2" customWidth="1"/>
    <col min="4615" max="4615" width="50.7109375" style="2" customWidth="1"/>
    <col min="4616" max="4616" width="18.42578125" style="2" customWidth="1"/>
    <col min="4617" max="4617" width="14.28515625" style="2" customWidth="1"/>
    <col min="4618" max="4618" width="28.5703125" style="2" customWidth="1"/>
    <col min="4619" max="4619" width="11.5703125" style="2" customWidth="1"/>
    <col min="4620" max="4867" width="9.140625" style="2"/>
    <col min="4868" max="4869" width="14.28515625" style="2" customWidth="1"/>
    <col min="4870" max="4870" width="20.7109375" style="2" customWidth="1"/>
    <col min="4871" max="4871" width="50.7109375" style="2" customWidth="1"/>
    <col min="4872" max="4872" width="18.42578125" style="2" customWidth="1"/>
    <col min="4873" max="4873" width="14.28515625" style="2" customWidth="1"/>
    <col min="4874" max="4874" width="28.5703125" style="2" customWidth="1"/>
    <col min="4875" max="4875" width="11.5703125" style="2" customWidth="1"/>
    <col min="4876" max="5123" width="9.140625" style="2"/>
    <col min="5124" max="5125" width="14.28515625" style="2" customWidth="1"/>
    <col min="5126" max="5126" width="20.7109375" style="2" customWidth="1"/>
    <col min="5127" max="5127" width="50.7109375" style="2" customWidth="1"/>
    <col min="5128" max="5128" width="18.42578125" style="2" customWidth="1"/>
    <col min="5129" max="5129" width="14.28515625" style="2" customWidth="1"/>
    <col min="5130" max="5130" width="28.5703125" style="2" customWidth="1"/>
    <col min="5131" max="5131" width="11.5703125" style="2" customWidth="1"/>
    <col min="5132" max="5379" width="9.140625" style="2"/>
    <col min="5380" max="5381" width="14.28515625" style="2" customWidth="1"/>
    <col min="5382" max="5382" width="20.7109375" style="2" customWidth="1"/>
    <col min="5383" max="5383" width="50.7109375" style="2" customWidth="1"/>
    <col min="5384" max="5384" width="18.42578125" style="2" customWidth="1"/>
    <col min="5385" max="5385" width="14.28515625" style="2" customWidth="1"/>
    <col min="5386" max="5386" width="28.5703125" style="2" customWidth="1"/>
    <col min="5387" max="5387" width="11.5703125" style="2" customWidth="1"/>
    <col min="5388" max="5635" width="9.140625" style="2"/>
    <col min="5636" max="5637" width="14.28515625" style="2" customWidth="1"/>
    <col min="5638" max="5638" width="20.7109375" style="2" customWidth="1"/>
    <col min="5639" max="5639" width="50.7109375" style="2" customWidth="1"/>
    <col min="5640" max="5640" width="18.42578125" style="2" customWidth="1"/>
    <col min="5641" max="5641" width="14.28515625" style="2" customWidth="1"/>
    <col min="5642" max="5642" width="28.5703125" style="2" customWidth="1"/>
    <col min="5643" max="5643" width="11.5703125" style="2" customWidth="1"/>
    <col min="5644" max="5891" width="9.140625" style="2"/>
    <col min="5892" max="5893" width="14.28515625" style="2" customWidth="1"/>
    <col min="5894" max="5894" width="20.7109375" style="2" customWidth="1"/>
    <col min="5895" max="5895" width="50.7109375" style="2" customWidth="1"/>
    <col min="5896" max="5896" width="18.42578125" style="2" customWidth="1"/>
    <col min="5897" max="5897" width="14.28515625" style="2" customWidth="1"/>
    <col min="5898" max="5898" width="28.5703125" style="2" customWidth="1"/>
    <col min="5899" max="5899" width="11.5703125" style="2" customWidth="1"/>
    <col min="5900" max="6147" width="9.140625" style="2"/>
    <col min="6148" max="6149" width="14.28515625" style="2" customWidth="1"/>
    <col min="6150" max="6150" width="20.7109375" style="2" customWidth="1"/>
    <col min="6151" max="6151" width="50.7109375" style="2" customWidth="1"/>
    <col min="6152" max="6152" width="18.42578125" style="2" customWidth="1"/>
    <col min="6153" max="6153" width="14.28515625" style="2" customWidth="1"/>
    <col min="6154" max="6154" width="28.5703125" style="2" customWidth="1"/>
    <col min="6155" max="6155" width="11.5703125" style="2" customWidth="1"/>
    <col min="6156" max="6403" width="9.140625" style="2"/>
    <col min="6404" max="6405" width="14.28515625" style="2" customWidth="1"/>
    <col min="6406" max="6406" width="20.7109375" style="2" customWidth="1"/>
    <col min="6407" max="6407" width="50.7109375" style="2" customWidth="1"/>
    <col min="6408" max="6408" width="18.42578125" style="2" customWidth="1"/>
    <col min="6409" max="6409" width="14.28515625" style="2" customWidth="1"/>
    <col min="6410" max="6410" width="28.5703125" style="2" customWidth="1"/>
    <col min="6411" max="6411" width="11.5703125" style="2" customWidth="1"/>
    <col min="6412" max="6659" width="9.140625" style="2"/>
    <col min="6660" max="6661" width="14.28515625" style="2" customWidth="1"/>
    <col min="6662" max="6662" width="20.7109375" style="2" customWidth="1"/>
    <col min="6663" max="6663" width="50.7109375" style="2" customWidth="1"/>
    <col min="6664" max="6664" width="18.42578125" style="2" customWidth="1"/>
    <col min="6665" max="6665" width="14.28515625" style="2" customWidth="1"/>
    <col min="6666" max="6666" width="28.5703125" style="2" customWidth="1"/>
    <col min="6667" max="6667" width="11.5703125" style="2" customWidth="1"/>
    <col min="6668" max="6915" width="9.140625" style="2"/>
    <col min="6916" max="6917" width="14.28515625" style="2" customWidth="1"/>
    <col min="6918" max="6918" width="20.7109375" style="2" customWidth="1"/>
    <col min="6919" max="6919" width="50.7109375" style="2" customWidth="1"/>
    <col min="6920" max="6920" width="18.42578125" style="2" customWidth="1"/>
    <col min="6921" max="6921" width="14.28515625" style="2" customWidth="1"/>
    <col min="6922" max="6922" width="28.5703125" style="2" customWidth="1"/>
    <col min="6923" max="6923" width="11.5703125" style="2" customWidth="1"/>
    <col min="6924" max="7171" width="9.140625" style="2"/>
    <col min="7172" max="7173" width="14.28515625" style="2" customWidth="1"/>
    <col min="7174" max="7174" width="20.7109375" style="2" customWidth="1"/>
    <col min="7175" max="7175" width="50.7109375" style="2" customWidth="1"/>
    <col min="7176" max="7176" width="18.42578125" style="2" customWidth="1"/>
    <col min="7177" max="7177" width="14.28515625" style="2" customWidth="1"/>
    <col min="7178" max="7178" width="28.5703125" style="2" customWidth="1"/>
    <col min="7179" max="7179" width="11.5703125" style="2" customWidth="1"/>
    <col min="7180" max="7427" width="9.140625" style="2"/>
    <col min="7428" max="7429" width="14.28515625" style="2" customWidth="1"/>
    <col min="7430" max="7430" width="20.7109375" style="2" customWidth="1"/>
    <col min="7431" max="7431" width="50.7109375" style="2" customWidth="1"/>
    <col min="7432" max="7432" width="18.42578125" style="2" customWidth="1"/>
    <col min="7433" max="7433" width="14.28515625" style="2" customWidth="1"/>
    <col min="7434" max="7434" width="28.5703125" style="2" customWidth="1"/>
    <col min="7435" max="7435" width="11.5703125" style="2" customWidth="1"/>
    <col min="7436" max="7683" width="9.140625" style="2"/>
    <col min="7684" max="7685" width="14.28515625" style="2" customWidth="1"/>
    <col min="7686" max="7686" width="20.7109375" style="2" customWidth="1"/>
    <col min="7687" max="7687" width="50.7109375" style="2" customWidth="1"/>
    <col min="7688" max="7688" width="18.42578125" style="2" customWidth="1"/>
    <col min="7689" max="7689" width="14.28515625" style="2" customWidth="1"/>
    <col min="7690" max="7690" width="28.5703125" style="2" customWidth="1"/>
    <col min="7691" max="7691" width="11.5703125" style="2" customWidth="1"/>
    <col min="7692" max="7939" width="9.140625" style="2"/>
    <col min="7940" max="7941" width="14.28515625" style="2" customWidth="1"/>
    <col min="7942" max="7942" width="20.7109375" style="2" customWidth="1"/>
    <col min="7943" max="7943" width="50.7109375" style="2" customWidth="1"/>
    <col min="7944" max="7944" width="18.42578125" style="2" customWidth="1"/>
    <col min="7945" max="7945" width="14.28515625" style="2" customWidth="1"/>
    <col min="7946" max="7946" width="28.5703125" style="2" customWidth="1"/>
    <col min="7947" max="7947" width="11.5703125" style="2" customWidth="1"/>
    <col min="7948" max="8195" width="9.140625" style="2"/>
    <col min="8196" max="8197" width="14.28515625" style="2" customWidth="1"/>
    <col min="8198" max="8198" width="20.7109375" style="2" customWidth="1"/>
    <col min="8199" max="8199" width="50.7109375" style="2" customWidth="1"/>
    <col min="8200" max="8200" width="18.42578125" style="2" customWidth="1"/>
    <col min="8201" max="8201" width="14.28515625" style="2" customWidth="1"/>
    <col min="8202" max="8202" width="28.5703125" style="2" customWidth="1"/>
    <col min="8203" max="8203" width="11.5703125" style="2" customWidth="1"/>
    <col min="8204" max="8451" width="9.140625" style="2"/>
    <col min="8452" max="8453" width="14.28515625" style="2" customWidth="1"/>
    <col min="8454" max="8454" width="20.7109375" style="2" customWidth="1"/>
    <col min="8455" max="8455" width="50.7109375" style="2" customWidth="1"/>
    <col min="8456" max="8456" width="18.42578125" style="2" customWidth="1"/>
    <col min="8457" max="8457" width="14.28515625" style="2" customWidth="1"/>
    <col min="8458" max="8458" width="28.5703125" style="2" customWidth="1"/>
    <col min="8459" max="8459" width="11.5703125" style="2" customWidth="1"/>
    <col min="8460" max="8707" width="9.140625" style="2"/>
    <col min="8708" max="8709" width="14.28515625" style="2" customWidth="1"/>
    <col min="8710" max="8710" width="20.7109375" style="2" customWidth="1"/>
    <col min="8711" max="8711" width="50.7109375" style="2" customWidth="1"/>
    <col min="8712" max="8712" width="18.42578125" style="2" customWidth="1"/>
    <col min="8713" max="8713" width="14.28515625" style="2" customWidth="1"/>
    <col min="8714" max="8714" width="28.5703125" style="2" customWidth="1"/>
    <col min="8715" max="8715" width="11.5703125" style="2" customWidth="1"/>
    <col min="8716" max="8963" width="9.140625" style="2"/>
    <col min="8964" max="8965" width="14.28515625" style="2" customWidth="1"/>
    <col min="8966" max="8966" width="20.7109375" style="2" customWidth="1"/>
    <col min="8967" max="8967" width="50.7109375" style="2" customWidth="1"/>
    <col min="8968" max="8968" width="18.42578125" style="2" customWidth="1"/>
    <col min="8969" max="8969" width="14.28515625" style="2" customWidth="1"/>
    <col min="8970" max="8970" width="28.5703125" style="2" customWidth="1"/>
    <col min="8971" max="8971" width="11.5703125" style="2" customWidth="1"/>
    <col min="8972" max="9219" width="9.140625" style="2"/>
    <col min="9220" max="9221" width="14.28515625" style="2" customWidth="1"/>
    <col min="9222" max="9222" width="20.7109375" style="2" customWidth="1"/>
    <col min="9223" max="9223" width="50.7109375" style="2" customWidth="1"/>
    <col min="9224" max="9224" width="18.42578125" style="2" customWidth="1"/>
    <col min="9225" max="9225" width="14.28515625" style="2" customWidth="1"/>
    <col min="9226" max="9226" width="28.5703125" style="2" customWidth="1"/>
    <col min="9227" max="9227" width="11.5703125" style="2" customWidth="1"/>
    <col min="9228" max="9475" width="9.140625" style="2"/>
    <col min="9476" max="9477" width="14.28515625" style="2" customWidth="1"/>
    <col min="9478" max="9478" width="20.7109375" style="2" customWidth="1"/>
    <col min="9479" max="9479" width="50.7109375" style="2" customWidth="1"/>
    <col min="9480" max="9480" width="18.42578125" style="2" customWidth="1"/>
    <col min="9481" max="9481" width="14.28515625" style="2" customWidth="1"/>
    <col min="9482" max="9482" width="28.5703125" style="2" customWidth="1"/>
    <col min="9483" max="9483" width="11.5703125" style="2" customWidth="1"/>
    <col min="9484" max="9731" width="9.140625" style="2"/>
    <col min="9732" max="9733" width="14.28515625" style="2" customWidth="1"/>
    <col min="9734" max="9734" width="20.7109375" style="2" customWidth="1"/>
    <col min="9735" max="9735" width="50.7109375" style="2" customWidth="1"/>
    <col min="9736" max="9736" width="18.42578125" style="2" customWidth="1"/>
    <col min="9737" max="9737" width="14.28515625" style="2" customWidth="1"/>
    <col min="9738" max="9738" width="28.5703125" style="2" customWidth="1"/>
    <col min="9739" max="9739" width="11.5703125" style="2" customWidth="1"/>
    <col min="9740" max="9987" width="9.140625" style="2"/>
    <col min="9988" max="9989" width="14.28515625" style="2" customWidth="1"/>
    <col min="9990" max="9990" width="20.7109375" style="2" customWidth="1"/>
    <col min="9991" max="9991" width="50.7109375" style="2" customWidth="1"/>
    <col min="9992" max="9992" width="18.42578125" style="2" customWidth="1"/>
    <col min="9993" max="9993" width="14.28515625" style="2" customWidth="1"/>
    <col min="9994" max="9994" width="28.5703125" style="2" customWidth="1"/>
    <col min="9995" max="9995" width="11.5703125" style="2" customWidth="1"/>
    <col min="9996" max="10243" width="9.140625" style="2"/>
    <col min="10244" max="10245" width="14.28515625" style="2" customWidth="1"/>
    <col min="10246" max="10246" width="20.7109375" style="2" customWidth="1"/>
    <col min="10247" max="10247" width="50.7109375" style="2" customWidth="1"/>
    <col min="10248" max="10248" width="18.42578125" style="2" customWidth="1"/>
    <col min="10249" max="10249" width="14.28515625" style="2" customWidth="1"/>
    <col min="10250" max="10250" width="28.5703125" style="2" customWidth="1"/>
    <col min="10251" max="10251" width="11.5703125" style="2" customWidth="1"/>
    <col min="10252" max="10499" width="9.140625" style="2"/>
    <col min="10500" max="10501" width="14.28515625" style="2" customWidth="1"/>
    <col min="10502" max="10502" width="20.7109375" style="2" customWidth="1"/>
    <col min="10503" max="10503" width="50.7109375" style="2" customWidth="1"/>
    <col min="10504" max="10504" width="18.42578125" style="2" customWidth="1"/>
    <col min="10505" max="10505" width="14.28515625" style="2" customWidth="1"/>
    <col min="10506" max="10506" width="28.5703125" style="2" customWidth="1"/>
    <col min="10507" max="10507" width="11.5703125" style="2" customWidth="1"/>
    <col min="10508" max="10755" width="9.140625" style="2"/>
    <col min="10756" max="10757" width="14.28515625" style="2" customWidth="1"/>
    <col min="10758" max="10758" width="20.7109375" style="2" customWidth="1"/>
    <col min="10759" max="10759" width="50.7109375" style="2" customWidth="1"/>
    <col min="10760" max="10760" width="18.42578125" style="2" customWidth="1"/>
    <col min="10761" max="10761" width="14.28515625" style="2" customWidth="1"/>
    <col min="10762" max="10762" width="28.5703125" style="2" customWidth="1"/>
    <col min="10763" max="10763" width="11.5703125" style="2" customWidth="1"/>
    <col min="10764" max="11011" width="9.140625" style="2"/>
    <col min="11012" max="11013" width="14.28515625" style="2" customWidth="1"/>
    <col min="11014" max="11014" width="20.7109375" style="2" customWidth="1"/>
    <col min="11015" max="11015" width="50.7109375" style="2" customWidth="1"/>
    <col min="11016" max="11016" width="18.42578125" style="2" customWidth="1"/>
    <col min="11017" max="11017" width="14.28515625" style="2" customWidth="1"/>
    <col min="11018" max="11018" width="28.5703125" style="2" customWidth="1"/>
    <col min="11019" max="11019" width="11.5703125" style="2" customWidth="1"/>
    <col min="11020" max="11267" width="9.140625" style="2"/>
    <col min="11268" max="11269" width="14.28515625" style="2" customWidth="1"/>
    <col min="11270" max="11270" width="20.7109375" style="2" customWidth="1"/>
    <col min="11271" max="11271" width="50.7109375" style="2" customWidth="1"/>
    <col min="11272" max="11272" width="18.42578125" style="2" customWidth="1"/>
    <col min="11273" max="11273" width="14.28515625" style="2" customWidth="1"/>
    <col min="11274" max="11274" width="28.5703125" style="2" customWidth="1"/>
    <col min="11275" max="11275" width="11.5703125" style="2" customWidth="1"/>
    <col min="11276" max="11523" width="9.140625" style="2"/>
    <col min="11524" max="11525" width="14.28515625" style="2" customWidth="1"/>
    <col min="11526" max="11526" width="20.7109375" style="2" customWidth="1"/>
    <col min="11527" max="11527" width="50.7109375" style="2" customWidth="1"/>
    <col min="11528" max="11528" width="18.42578125" style="2" customWidth="1"/>
    <col min="11529" max="11529" width="14.28515625" style="2" customWidth="1"/>
    <col min="11530" max="11530" width="28.5703125" style="2" customWidth="1"/>
    <col min="11531" max="11531" width="11.5703125" style="2" customWidth="1"/>
    <col min="11532" max="11779" width="9.140625" style="2"/>
    <col min="11780" max="11781" width="14.28515625" style="2" customWidth="1"/>
    <col min="11782" max="11782" width="20.7109375" style="2" customWidth="1"/>
    <col min="11783" max="11783" width="50.7109375" style="2" customWidth="1"/>
    <col min="11784" max="11784" width="18.42578125" style="2" customWidth="1"/>
    <col min="11785" max="11785" width="14.28515625" style="2" customWidth="1"/>
    <col min="11786" max="11786" width="28.5703125" style="2" customWidth="1"/>
    <col min="11787" max="11787" width="11.5703125" style="2" customWidth="1"/>
    <col min="11788" max="12035" width="9.140625" style="2"/>
    <col min="12036" max="12037" width="14.28515625" style="2" customWidth="1"/>
    <col min="12038" max="12038" width="20.7109375" style="2" customWidth="1"/>
    <col min="12039" max="12039" width="50.7109375" style="2" customWidth="1"/>
    <col min="12040" max="12040" width="18.42578125" style="2" customWidth="1"/>
    <col min="12041" max="12041" width="14.28515625" style="2" customWidth="1"/>
    <col min="12042" max="12042" width="28.5703125" style="2" customWidth="1"/>
    <col min="12043" max="12043" width="11.5703125" style="2" customWidth="1"/>
    <col min="12044" max="12291" width="9.140625" style="2"/>
    <col min="12292" max="12293" width="14.28515625" style="2" customWidth="1"/>
    <col min="12294" max="12294" width="20.7109375" style="2" customWidth="1"/>
    <col min="12295" max="12295" width="50.7109375" style="2" customWidth="1"/>
    <col min="12296" max="12296" width="18.42578125" style="2" customWidth="1"/>
    <col min="12297" max="12297" width="14.28515625" style="2" customWidth="1"/>
    <col min="12298" max="12298" width="28.5703125" style="2" customWidth="1"/>
    <col min="12299" max="12299" width="11.5703125" style="2" customWidth="1"/>
    <col min="12300" max="12547" width="9.140625" style="2"/>
    <col min="12548" max="12549" width="14.28515625" style="2" customWidth="1"/>
    <col min="12550" max="12550" width="20.7109375" style="2" customWidth="1"/>
    <col min="12551" max="12551" width="50.7109375" style="2" customWidth="1"/>
    <col min="12552" max="12552" width="18.42578125" style="2" customWidth="1"/>
    <col min="12553" max="12553" width="14.28515625" style="2" customWidth="1"/>
    <col min="12554" max="12554" width="28.5703125" style="2" customWidth="1"/>
    <col min="12555" max="12555" width="11.5703125" style="2" customWidth="1"/>
    <col min="12556" max="12803" width="9.140625" style="2"/>
    <col min="12804" max="12805" width="14.28515625" style="2" customWidth="1"/>
    <col min="12806" max="12806" width="20.7109375" style="2" customWidth="1"/>
    <col min="12807" max="12807" width="50.7109375" style="2" customWidth="1"/>
    <col min="12808" max="12808" width="18.42578125" style="2" customWidth="1"/>
    <col min="12809" max="12809" width="14.28515625" style="2" customWidth="1"/>
    <col min="12810" max="12810" width="28.5703125" style="2" customWidth="1"/>
    <col min="12811" max="12811" width="11.5703125" style="2" customWidth="1"/>
    <col min="12812" max="13059" width="9.140625" style="2"/>
    <col min="13060" max="13061" width="14.28515625" style="2" customWidth="1"/>
    <col min="13062" max="13062" width="20.7109375" style="2" customWidth="1"/>
    <col min="13063" max="13063" width="50.7109375" style="2" customWidth="1"/>
    <col min="13064" max="13064" width="18.42578125" style="2" customWidth="1"/>
    <col min="13065" max="13065" width="14.28515625" style="2" customWidth="1"/>
    <col min="13066" max="13066" width="28.5703125" style="2" customWidth="1"/>
    <col min="13067" max="13067" width="11.5703125" style="2" customWidth="1"/>
    <col min="13068" max="13315" width="9.140625" style="2"/>
    <col min="13316" max="13317" width="14.28515625" style="2" customWidth="1"/>
    <col min="13318" max="13318" width="20.7109375" style="2" customWidth="1"/>
    <col min="13319" max="13319" width="50.7109375" style="2" customWidth="1"/>
    <col min="13320" max="13320" width="18.42578125" style="2" customWidth="1"/>
    <col min="13321" max="13321" width="14.28515625" style="2" customWidth="1"/>
    <col min="13322" max="13322" width="28.5703125" style="2" customWidth="1"/>
    <col min="13323" max="13323" width="11.5703125" style="2" customWidth="1"/>
    <col min="13324" max="13571" width="9.140625" style="2"/>
    <col min="13572" max="13573" width="14.28515625" style="2" customWidth="1"/>
    <col min="13574" max="13574" width="20.7109375" style="2" customWidth="1"/>
    <col min="13575" max="13575" width="50.7109375" style="2" customWidth="1"/>
    <col min="13576" max="13576" width="18.42578125" style="2" customWidth="1"/>
    <col min="13577" max="13577" width="14.28515625" style="2" customWidth="1"/>
    <col min="13578" max="13578" width="28.5703125" style="2" customWidth="1"/>
    <col min="13579" max="13579" width="11.5703125" style="2" customWidth="1"/>
    <col min="13580" max="13827" width="9.140625" style="2"/>
    <col min="13828" max="13829" width="14.28515625" style="2" customWidth="1"/>
    <col min="13830" max="13830" width="20.7109375" style="2" customWidth="1"/>
    <col min="13831" max="13831" width="50.7109375" style="2" customWidth="1"/>
    <col min="13832" max="13832" width="18.42578125" style="2" customWidth="1"/>
    <col min="13833" max="13833" width="14.28515625" style="2" customWidth="1"/>
    <col min="13834" max="13834" width="28.5703125" style="2" customWidth="1"/>
    <col min="13835" max="13835" width="11.5703125" style="2" customWidth="1"/>
    <col min="13836" max="14083" width="9.140625" style="2"/>
    <col min="14084" max="14085" width="14.28515625" style="2" customWidth="1"/>
    <col min="14086" max="14086" width="20.7109375" style="2" customWidth="1"/>
    <col min="14087" max="14087" width="50.7109375" style="2" customWidth="1"/>
    <col min="14088" max="14088" width="18.42578125" style="2" customWidth="1"/>
    <col min="14089" max="14089" width="14.28515625" style="2" customWidth="1"/>
    <col min="14090" max="14090" width="28.5703125" style="2" customWidth="1"/>
    <col min="14091" max="14091" width="11.5703125" style="2" customWidth="1"/>
    <col min="14092" max="14339" width="9.140625" style="2"/>
    <col min="14340" max="14341" width="14.28515625" style="2" customWidth="1"/>
    <col min="14342" max="14342" width="20.7109375" style="2" customWidth="1"/>
    <col min="14343" max="14343" width="50.7109375" style="2" customWidth="1"/>
    <col min="14344" max="14344" width="18.42578125" style="2" customWidth="1"/>
    <col min="14345" max="14345" width="14.28515625" style="2" customWidth="1"/>
    <col min="14346" max="14346" width="28.5703125" style="2" customWidth="1"/>
    <col min="14347" max="14347" width="11.5703125" style="2" customWidth="1"/>
    <col min="14348" max="14595" width="9.140625" style="2"/>
    <col min="14596" max="14597" width="14.28515625" style="2" customWidth="1"/>
    <col min="14598" max="14598" width="20.7109375" style="2" customWidth="1"/>
    <col min="14599" max="14599" width="50.7109375" style="2" customWidth="1"/>
    <col min="14600" max="14600" width="18.42578125" style="2" customWidth="1"/>
    <col min="14601" max="14601" width="14.28515625" style="2" customWidth="1"/>
    <col min="14602" max="14602" width="28.5703125" style="2" customWidth="1"/>
    <col min="14603" max="14603" width="11.5703125" style="2" customWidth="1"/>
    <col min="14604" max="14851" width="9.140625" style="2"/>
    <col min="14852" max="14853" width="14.28515625" style="2" customWidth="1"/>
    <col min="14854" max="14854" width="20.7109375" style="2" customWidth="1"/>
    <col min="14855" max="14855" width="50.7109375" style="2" customWidth="1"/>
    <col min="14856" max="14856" width="18.42578125" style="2" customWidth="1"/>
    <col min="14857" max="14857" width="14.28515625" style="2" customWidth="1"/>
    <col min="14858" max="14858" width="28.5703125" style="2" customWidth="1"/>
    <col min="14859" max="14859" width="11.5703125" style="2" customWidth="1"/>
    <col min="14860" max="15107" width="9.140625" style="2"/>
    <col min="15108" max="15109" width="14.28515625" style="2" customWidth="1"/>
    <col min="15110" max="15110" width="20.7109375" style="2" customWidth="1"/>
    <col min="15111" max="15111" width="50.7109375" style="2" customWidth="1"/>
    <col min="15112" max="15112" width="18.42578125" style="2" customWidth="1"/>
    <col min="15113" max="15113" width="14.28515625" style="2" customWidth="1"/>
    <col min="15114" max="15114" width="28.5703125" style="2" customWidth="1"/>
    <col min="15115" max="15115" width="11.5703125" style="2" customWidth="1"/>
    <col min="15116" max="15363" width="9.140625" style="2"/>
    <col min="15364" max="15365" width="14.28515625" style="2" customWidth="1"/>
    <col min="15366" max="15366" width="20.7109375" style="2" customWidth="1"/>
    <col min="15367" max="15367" width="50.7109375" style="2" customWidth="1"/>
    <col min="15368" max="15368" width="18.42578125" style="2" customWidth="1"/>
    <col min="15369" max="15369" width="14.28515625" style="2" customWidth="1"/>
    <col min="15370" max="15370" width="28.5703125" style="2" customWidth="1"/>
    <col min="15371" max="15371" width="11.5703125" style="2" customWidth="1"/>
    <col min="15372" max="15619" width="9.140625" style="2"/>
    <col min="15620" max="15621" width="14.28515625" style="2" customWidth="1"/>
    <col min="15622" max="15622" width="20.7109375" style="2" customWidth="1"/>
    <col min="15623" max="15623" width="50.7109375" style="2" customWidth="1"/>
    <col min="15624" max="15624" width="18.42578125" style="2" customWidth="1"/>
    <col min="15625" max="15625" width="14.28515625" style="2" customWidth="1"/>
    <col min="15626" max="15626" width="28.5703125" style="2" customWidth="1"/>
    <col min="15627" max="15627" width="11.5703125" style="2" customWidth="1"/>
    <col min="15628" max="15875" width="9.140625" style="2"/>
    <col min="15876" max="15877" width="14.28515625" style="2" customWidth="1"/>
    <col min="15878" max="15878" width="20.7109375" style="2" customWidth="1"/>
    <col min="15879" max="15879" width="50.7109375" style="2" customWidth="1"/>
    <col min="15880" max="15880" width="18.42578125" style="2" customWidth="1"/>
    <col min="15881" max="15881" width="14.28515625" style="2" customWidth="1"/>
    <col min="15882" max="15882" width="28.5703125" style="2" customWidth="1"/>
    <col min="15883" max="15883" width="11.5703125" style="2" customWidth="1"/>
    <col min="15884" max="16131" width="9.140625" style="2"/>
    <col min="16132" max="16133" width="14.28515625" style="2" customWidth="1"/>
    <col min="16134" max="16134" width="20.7109375" style="2" customWidth="1"/>
    <col min="16135" max="16135" width="50.7109375" style="2" customWidth="1"/>
    <col min="16136" max="16136" width="18.42578125" style="2" customWidth="1"/>
    <col min="16137" max="16137" width="14.28515625" style="2" customWidth="1"/>
    <col min="16138" max="16138" width="28.5703125" style="2" customWidth="1"/>
    <col min="16139" max="16139" width="11.5703125" style="2" customWidth="1"/>
    <col min="16140" max="16384" width="9.140625" style="2"/>
  </cols>
  <sheetData>
    <row r="1" spans="1:10" ht="26.25" customHeight="1">
      <c r="A1" s="135" t="s">
        <v>234</v>
      </c>
      <c r="B1" s="135" t="s">
        <v>235</v>
      </c>
      <c r="C1" s="136" t="s">
        <v>272</v>
      </c>
      <c r="D1" s="136" t="s">
        <v>273</v>
      </c>
      <c r="E1" s="136" t="s">
        <v>274</v>
      </c>
      <c r="F1" s="136" t="s">
        <v>275</v>
      </c>
      <c r="G1" s="136" t="s">
        <v>276</v>
      </c>
      <c r="H1" s="136" t="s">
        <v>277</v>
      </c>
    </row>
    <row r="2" spans="1:10">
      <c r="A2" s="263" t="s">
        <v>467</v>
      </c>
      <c r="B2" s="474" t="s">
        <v>1386</v>
      </c>
      <c r="C2" s="474" t="s">
        <v>1387</v>
      </c>
      <c r="D2" s="475">
        <v>44207</v>
      </c>
      <c r="E2" s="665">
        <v>170000</v>
      </c>
      <c r="F2" s="476">
        <v>104252672</v>
      </c>
      <c r="G2" s="475">
        <v>44208</v>
      </c>
      <c r="H2" s="665">
        <v>170000</v>
      </c>
      <c r="I2" s="134"/>
      <c r="J2" s="134"/>
    </row>
    <row r="3" spans="1:10" s="134" customFormat="1">
      <c r="A3" s="263" t="s">
        <v>467</v>
      </c>
      <c r="B3" s="474" t="s">
        <v>1386</v>
      </c>
      <c r="C3" s="474" t="s">
        <v>1388</v>
      </c>
      <c r="D3" s="475">
        <v>44207</v>
      </c>
      <c r="E3" s="664">
        <v>891287.27</v>
      </c>
      <c r="F3" s="476">
        <v>550934000003990</v>
      </c>
      <c r="G3" s="475">
        <v>44208</v>
      </c>
      <c r="H3" s="664">
        <v>891287.27</v>
      </c>
    </row>
    <row r="4" spans="1:10" s="1" customFormat="1">
      <c r="C4" s="149"/>
      <c r="D4" s="150"/>
      <c r="F4" s="149"/>
      <c r="G4" s="149"/>
    </row>
    <row r="5" spans="1:10" s="1" customFormat="1">
      <c r="C5" s="149"/>
      <c r="D5" s="150"/>
      <c r="F5" s="149"/>
      <c r="G5" s="149"/>
    </row>
    <row r="6" spans="1:10" s="1" customFormat="1">
      <c r="C6" s="149"/>
      <c r="D6" s="150"/>
      <c r="F6" s="149"/>
      <c r="G6" s="149"/>
    </row>
    <row r="7" spans="1:10" s="1" customFormat="1">
      <c r="C7" s="149"/>
      <c r="D7" s="150"/>
      <c r="F7" s="149"/>
      <c r="G7" s="149"/>
    </row>
    <row r="8" spans="1:10" s="1" customFormat="1">
      <c r="C8" s="149"/>
      <c r="D8" s="150"/>
      <c r="F8" s="149"/>
      <c r="G8" s="149"/>
    </row>
    <row r="9" spans="1:10" s="1" customFormat="1">
      <c r="C9" s="149"/>
      <c r="D9" s="150"/>
      <c r="F9" s="149"/>
      <c r="G9" s="149"/>
    </row>
    <row r="10" spans="1:10" s="1" customFormat="1">
      <c r="C10" s="149"/>
      <c r="D10" s="150"/>
      <c r="F10" s="149"/>
      <c r="G10" s="149"/>
    </row>
    <row r="11" spans="1:10" s="1" customFormat="1">
      <c r="C11" s="149"/>
      <c r="D11" s="150"/>
      <c r="F11" s="149"/>
      <c r="G11" s="149"/>
    </row>
    <row r="12" spans="1:10" s="1" customFormat="1">
      <c r="C12" s="149"/>
      <c r="D12" s="150"/>
      <c r="F12" s="149"/>
      <c r="G12" s="149"/>
    </row>
    <row r="13" spans="1:10" s="1" customFormat="1">
      <c r="C13" s="149"/>
      <c r="D13" s="150"/>
      <c r="F13" s="149"/>
      <c r="G13" s="149"/>
    </row>
    <row r="14" spans="1:10" s="1" customFormat="1">
      <c r="C14" s="149"/>
      <c r="D14" s="150"/>
      <c r="F14" s="149"/>
      <c r="G14" s="149"/>
    </row>
    <row r="15" spans="1:10" s="1" customFormat="1">
      <c r="C15" s="149"/>
      <c r="D15" s="150"/>
      <c r="F15" s="149"/>
      <c r="G15" s="149"/>
    </row>
    <row r="16" spans="1:10" s="1" customFormat="1">
      <c r="C16" s="149"/>
      <c r="D16" s="150"/>
      <c r="F16" s="149"/>
      <c r="G16" s="149"/>
    </row>
    <row r="17" spans="3:7" s="1" customFormat="1">
      <c r="C17" s="149"/>
      <c r="D17" s="150"/>
      <c r="F17" s="149"/>
      <c r="G17" s="149"/>
    </row>
    <row r="18" spans="3:7" s="1" customFormat="1">
      <c r="C18" s="149"/>
      <c r="D18" s="150"/>
      <c r="F18" s="149"/>
      <c r="G18" s="149"/>
    </row>
    <row r="19" spans="3:7" s="1" customFormat="1">
      <c r="C19" s="149"/>
      <c r="D19" s="150"/>
      <c r="F19" s="149"/>
      <c r="G19" s="149"/>
    </row>
    <row r="20" spans="3:7" s="1" customFormat="1">
      <c r="C20" s="149"/>
      <c r="D20" s="150"/>
      <c r="F20" s="149"/>
      <c r="G20" s="149"/>
    </row>
    <row r="21" spans="3:7" s="1" customFormat="1">
      <c r="C21" s="149"/>
      <c r="D21" s="150"/>
      <c r="F21" s="149"/>
      <c r="G21" s="149"/>
    </row>
    <row r="22" spans="3:7" s="1" customFormat="1">
      <c r="C22" s="149"/>
      <c r="D22" s="150"/>
      <c r="F22" s="149"/>
      <c r="G22" s="149"/>
    </row>
    <row r="23" spans="3:7" s="1" customFormat="1">
      <c r="C23" s="149"/>
      <c r="D23" s="150"/>
      <c r="F23" s="149"/>
      <c r="G23" s="149"/>
    </row>
    <row r="24" spans="3:7" s="1" customFormat="1">
      <c r="C24" s="149"/>
      <c r="D24" s="150"/>
      <c r="F24" s="149"/>
      <c r="G24" s="149"/>
    </row>
    <row r="25" spans="3:7" s="1" customFormat="1">
      <c r="C25" s="149"/>
      <c r="D25" s="150"/>
      <c r="F25" s="149"/>
      <c r="G25" s="149"/>
    </row>
    <row r="26" spans="3:7" s="1" customFormat="1">
      <c r="C26" s="149"/>
      <c r="D26" s="150"/>
      <c r="F26" s="149"/>
      <c r="G26" s="149"/>
    </row>
    <row r="27" spans="3:7" s="1" customFormat="1">
      <c r="C27" s="149"/>
      <c r="D27" s="150"/>
      <c r="F27" s="149"/>
      <c r="G27" s="149"/>
    </row>
    <row r="28" spans="3:7" s="1" customFormat="1">
      <c r="C28" s="149"/>
      <c r="D28" s="150"/>
      <c r="F28" s="149"/>
      <c r="G28" s="149"/>
    </row>
    <row r="29" spans="3:7" s="1" customFormat="1">
      <c r="C29" s="149"/>
      <c r="D29" s="150"/>
      <c r="F29" s="149"/>
      <c r="G29" s="149"/>
    </row>
    <row r="30" spans="3:7" s="1" customFormat="1">
      <c r="C30" s="149"/>
      <c r="D30" s="150"/>
      <c r="F30" s="149"/>
      <c r="G30" s="149"/>
    </row>
    <row r="31" spans="3:7" s="1" customFormat="1">
      <c r="C31" s="149"/>
      <c r="D31" s="150"/>
      <c r="F31" s="149"/>
      <c r="G31" s="149"/>
    </row>
    <row r="32" spans="3:7" s="1" customFormat="1">
      <c r="C32" s="149"/>
      <c r="D32" s="150"/>
      <c r="F32" s="149"/>
      <c r="G32" s="149"/>
    </row>
    <row r="33" spans="4:4" s="1" customFormat="1">
      <c r="D33" s="148"/>
    </row>
    <row r="34" spans="4:4" s="1" customFormat="1">
      <c r="D34" s="148"/>
    </row>
    <row r="35" spans="4:4" s="1" customFormat="1">
      <c r="D35" s="148"/>
    </row>
    <row r="36" spans="4:4" s="1" customFormat="1">
      <c r="D36" s="148"/>
    </row>
    <row r="37" spans="4:4" s="1" customFormat="1">
      <c r="D37" s="148"/>
    </row>
    <row r="38" spans="4:4" s="1" customFormat="1">
      <c r="D38" s="148"/>
    </row>
    <row r="39" spans="4:4" s="1" customFormat="1">
      <c r="D39" s="148"/>
    </row>
    <row r="40" spans="4:4" s="1" customFormat="1">
      <c r="D40" s="148"/>
    </row>
    <row r="41" spans="4:4" s="1" customFormat="1">
      <c r="D41" s="148"/>
    </row>
    <row r="42" spans="4:4" s="1" customFormat="1">
      <c r="D42" s="148"/>
    </row>
    <row r="43" spans="4:4" s="1" customFormat="1">
      <c r="D43" s="148"/>
    </row>
    <row r="44" spans="4:4" s="1" customFormat="1">
      <c r="D44" s="148"/>
    </row>
    <row r="45" spans="4:4" s="1" customFormat="1">
      <c r="D45" s="148"/>
    </row>
    <row r="46" spans="4:4" s="1" customFormat="1">
      <c r="D46" s="148"/>
    </row>
    <row r="47" spans="4:4" s="1" customFormat="1">
      <c r="D47" s="148"/>
    </row>
    <row r="48" spans="4:4" s="1" customFormat="1">
      <c r="D48" s="148"/>
    </row>
    <row r="49" spans="4:4" s="1" customFormat="1">
      <c r="D49" s="148"/>
    </row>
    <row r="50" spans="4:4" s="1" customFormat="1">
      <c r="D50" s="148"/>
    </row>
    <row r="51" spans="4:4" s="1" customFormat="1">
      <c r="D51" s="148"/>
    </row>
    <row r="52" spans="4:4" s="1" customFormat="1">
      <c r="D52" s="148"/>
    </row>
    <row r="53" spans="4:4" s="1" customFormat="1">
      <c r="D53" s="148"/>
    </row>
    <row r="54" spans="4:4" s="1" customFormat="1">
      <c r="D54" s="148"/>
    </row>
    <row r="55" spans="4:4" s="1" customFormat="1">
      <c r="D55" s="148"/>
    </row>
    <row r="56" spans="4:4" s="1" customFormat="1">
      <c r="D56" s="148"/>
    </row>
    <row r="57" spans="4:4" s="1" customFormat="1">
      <c r="D57" s="148"/>
    </row>
    <row r="58" spans="4:4" s="1" customFormat="1">
      <c r="D58" s="148"/>
    </row>
    <row r="59" spans="4:4" s="1" customFormat="1">
      <c r="D59" s="148"/>
    </row>
    <row r="60" spans="4:4" s="1" customFormat="1">
      <c r="D60" s="148"/>
    </row>
    <row r="61" spans="4:4" s="1" customFormat="1">
      <c r="D61" s="148"/>
    </row>
    <row r="62" spans="4:4" s="1" customFormat="1">
      <c r="D62" s="148"/>
    </row>
    <row r="63" spans="4:4" s="1" customFormat="1">
      <c r="D63" s="148"/>
    </row>
    <row r="64" spans="4:4" s="1" customFormat="1">
      <c r="D64" s="148"/>
    </row>
    <row r="65" spans="4:4" s="1" customFormat="1">
      <c r="D65" s="148"/>
    </row>
    <row r="66" spans="4:4" s="1" customFormat="1">
      <c r="D66" s="148"/>
    </row>
    <row r="67" spans="4:4" s="1" customFormat="1">
      <c r="D67" s="148"/>
    </row>
    <row r="68" spans="4:4" s="1" customFormat="1">
      <c r="D68" s="148"/>
    </row>
    <row r="69" spans="4:4" s="1" customFormat="1">
      <c r="D69" s="148"/>
    </row>
    <row r="70" spans="4:4" s="1" customFormat="1">
      <c r="D70" s="148"/>
    </row>
    <row r="71" spans="4:4" s="1" customFormat="1">
      <c r="D71" s="148"/>
    </row>
    <row r="72" spans="4:4" s="1" customFormat="1">
      <c r="D72" s="148"/>
    </row>
    <row r="73" spans="4:4" s="1" customFormat="1">
      <c r="D73" s="148"/>
    </row>
    <row r="74" spans="4:4" s="1" customFormat="1">
      <c r="D74" s="148"/>
    </row>
    <row r="75" spans="4:4" s="1" customFormat="1">
      <c r="D75" s="148"/>
    </row>
    <row r="76" spans="4:4" s="1" customFormat="1">
      <c r="D76" s="148"/>
    </row>
    <row r="77" spans="4:4" s="1" customFormat="1">
      <c r="D77" s="148"/>
    </row>
    <row r="78" spans="4:4" s="1" customFormat="1">
      <c r="D78" s="148"/>
    </row>
    <row r="79" spans="4:4" s="1" customFormat="1">
      <c r="D79" s="148"/>
    </row>
    <row r="80" spans="4:4" s="1" customFormat="1">
      <c r="D80" s="148"/>
    </row>
    <row r="81" spans="4:4" s="1" customFormat="1">
      <c r="D81" s="148"/>
    </row>
    <row r="82" spans="4:4" s="1" customFormat="1">
      <c r="D82" s="148"/>
    </row>
    <row r="83" spans="4:4" s="1" customFormat="1">
      <c r="D83" s="148"/>
    </row>
    <row r="84" spans="4:4" s="1" customFormat="1">
      <c r="D84" s="148"/>
    </row>
    <row r="85" spans="4:4" s="1" customFormat="1">
      <c r="D85" s="148"/>
    </row>
    <row r="86" spans="4:4" s="1" customFormat="1">
      <c r="D86" s="148"/>
    </row>
    <row r="87" spans="4:4" s="1" customFormat="1">
      <c r="D87" s="148"/>
    </row>
    <row r="88" spans="4:4" s="1" customFormat="1">
      <c r="D88" s="148"/>
    </row>
    <row r="89" spans="4:4" s="1" customFormat="1">
      <c r="D89" s="148"/>
    </row>
    <row r="90" spans="4:4" s="1" customFormat="1">
      <c r="D90" s="148"/>
    </row>
    <row r="91" spans="4:4" s="1" customFormat="1">
      <c r="D91" s="148"/>
    </row>
    <row r="92" spans="4:4" s="1" customFormat="1">
      <c r="D92" s="148"/>
    </row>
    <row r="93" spans="4:4" s="1" customFormat="1">
      <c r="D93" s="148"/>
    </row>
    <row r="94" spans="4:4" s="1" customFormat="1">
      <c r="D94" s="148"/>
    </row>
    <row r="95" spans="4:4" s="1" customFormat="1">
      <c r="D95" s="148"/>
    </row>
    <row r="96" spans="4:4" s="1" customFormat="1">
      <c r="D96" s="148"/>
    </row>
    <row r="97" spans="4:4" s="1" customFormat="1">
      <c r="D97" s="148"/>
    </row>
    <row r="98" spans="4:4" s="1" customFormat="1">
      <c r="D98" s="148"/>
    </row>
    <row r="99" spans="4:4" s="1" customFormat="1">
      <c r="D99" s="148"/>
    </row>
    <row r="100" spans="4:4" s="1" customFormat="1">
      <c r="D100" s="148"/>
    </row>
    <row r="101" spans="4:4" s="1" customFormat="1">
      <c r="D101" s="148"/>
    </row>
    <row r="102" spans="4:4" s="1" customFormat="1">
      <c r="D102" s="148"/>
    </row>
    <row r="103" spans="4:4" s="1" customFormat="1">
      <c r="D103" s="148"/>
    </row>
    <row r="104" spans="4:4" s="1" customFormat="1">
      <c r="D104" s="148"/>
    </row>
    <row r="105" spans="4:4" s="1" customFormat="1">
      <c r="D105" s="148"/>
    </row>
    <row r="106" spans="4:4" s="1" customFormat="1">
      <c r="D106" s="148"/>
    </row>
    <row r="107" spans="4:4" s="1" customFormat="1">
      <c r="D107" s="148"/>
    </row>
    <row r="108" spans="4:4" s="1" customFormat="1">
      <c r="D108" s="148"/>
    </row>
    <row r="109" spans="4:4" s="1" customFormat="1">
      <c r="D109" s="148"/>
    </row>
    <row r="110" spans="4:4" s="1" customFormat="1">
      <c r="D110" s="148"/>
    </row>
    <row r="111" spans="4:4" s="1" customFormat="1">
      <c r="D111" s="148"/>
    </row>
    <row r="112" spans="4:4" s="1" customFormat="1">
      <c r="D112" s="148"/>
    </row>
    <row r="113" spans="4:4" s="1" customFormat="1">
      <c r="D113" s="148"/>
    </row>
    <row r="114" spans="4:4" s="1" customFormat="1">
      <c r="D114" s="148"/>
    </row>
    <row r="115" spans="4:4" s="1" customFormat="1">
      <c r="D115" s="148"/>
    </row>
    <row r="116" spans="4:4" s="1" customFormat="1">
      <c r="D116" s="148"/>
    </row>
  </sheetData>
  <protectedRanges>
    <protectedRange sqref="A2:A3" name="Intervalo2"/>
    <protectedRange sqref="B2:H3" name="Intervalo2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0" orientation="landscape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abSelected="1" workbookViewId="0">
      <selection activeCell="B13" sqref="B13"/>
    </sheetView>
  </sheetViews>
  <sheetFormatPr defaultColWidth="9" defaultRowHeight="15"/>
  <cols>
    <col min="1" max="1" width="30.7109375" style="2" customWidth="1"/>
    <col min="2" max="2" width="50.85546875" style="2" customWidth="1"/>
    <col min="3" max="3" width="44.7109375" style="2" customWidth="1"/>
    <col min="4" max="5" width="60.5703125" style="2" customWidth="1"/>
    <col min="6" max="6" width="25.7109375" style="2" customWidth="1"/>
    <col min="7" max="7" width="29" style="2" customWidth="1"/>
    <col min="8" max="8" width="14.28515625" style="2" customWidth="1"/>
    <col min="9" max="9" width="28.5703125" style="2" customWidth="1"/>
    <col min="10" max="10" width="11.5703125" style="2" customWidth="1"/>
    <col min="11" max="258" width="9.140625" style="2"/>
    <col min="259" max="260" width="14.28515625" style="2" customWidth="1"/>
    <col min="261" max="261" width="20.7109375" style="2" customWidth="1"/>
    <col min="262" max="262" width="50.7109375" style="2" customWidth="1"/>
    <col min="263" max="263" width="18.42578125" style="2" customWidth="1"/>
    <col min="264" max="264" width="14.28515625" style="2" customWidth="1"/>
    <col min="265" max="265" width="28.5703125" style="2" customWidth="1"/>
    <col min="266" max="266" width="11.5703125" style="2" customWidth="1"/>
    <col min="267" max="514" width="9.140625" style="2"/>
    <col min="515" max="516" width="14.28515625" style="2" customWidth="1"/>
    <col min="517" max="517" width="20.7109375" style="2" customWidth="1"/>
    <col min="518" max="518" width="50.7109375" style="2" customWidth="1"/>
    <col min="519" max="519" width="18.42578125" style="2" customWidth="1"/>
    <col min="520" max="520" width="14.28515625" style="2" customWidth="1"/>
    <col min="521" max="521" width="28.5703125" style="2" customWidth="1"/>
    <col min="522" max="522" width="11.5703125" style="2" customWidth="1"/>
    <col min="523" max="770" width="9.140625" style="2"/>
    <col min="771" max="772" width="14.28515625" style="2" customWidth="1"/>
    <col min="773" max="773" width="20.7109375" style="2" customWidth="1"/>
    <col min="774" max="774" width="50.7109375" style="2" customWidth="1"/>
    <col min="775" max="775" width="18.42578125" style="2" customWidth="1"/>
    <col min="776" max="776" width="14.28515625" style="2" customWidth="1"/>
    <col min="777" max="777" width="28.5703125" style="2" customWidth="1"/>
    <col min="778" max="778" width="11.5703125" style="2" customWidth="1"/>
    <col min="779" max="1026" width="9.140625" style="2"/>
    <col min="1027" max="1028" width="14.28515625" style="2" customWidth="1"/>
    <col min="1029" max="1029" width="20.7109375" style="2" customWidth="1"/>
    <col min="1030" max="1030" width="50.7109375" style="2" customWidth="1"/>
    <col min="1031" max="1031" width="18.42578125" style="2" customWidth="1"/>
    <col min="1032" max="1032" width="14.28515625" style="2" customWidth="1"/>
    <col min="1033" max="1033" width="28.5703125" style="2" customWidth="1"/>
    <col min="1034" max="1034" width="11.5703125" style="2" customWidth="1"/>
    <col min="1035" max="1282" width="9.140625" style="2"/>
    <col min="1283" max="1284" width="14.28515625" style="2" customWidth="1"/>
    <col min="1285" max="1285" width="20.7109375" style="2" customWidth="1"/>
    <col min="1286" max="1286" width="50.7109375" style="2" customWidth="1"/>
    <col min="1287" max="1287" width="18.42578125" style="2" customWidth="1"/>
    <col min="1288" max="1288" width="14.28515625" style="2" customWidth="1"/>
    <col min="1289" max="1289" width="28.5703125" style="2" customWidth="1"/>
    <col min="1290" max="1290" width="11.5703125" style="2" customWidth="1"/>
    <col min="1291" max="1538" width="9.140625" style="2"/>
    <col min="1539" max="1540" width="14.28515625" style="2" customWidth="1"/>
    <col min="1541" max="1541" width="20.7109375" style="2" customWidth="1"/>
    <col min="1542" max="1542" width="50.7109375" style="2" customWidth="1"/>
    <col min="1543" max="1543" width="18.42578125" style="2" customWidth="1"/>
    <col min="1544" max="1544" width="14.28515625" style="2" customWidth="1"/>
    <col min="1545" max="1545" width="28.5703125" style="2" customWidth="1"/>
    <col min="1546" max="1546" width="11.5703125" style="2" customWidth="1"/>
    <col min="1547" max="1794" width="9.140625" style="2"/>
    <col min="1795" max="1796" width="14.28515625" style="2" customWidth="1"/>
    <col min="1797" max="1797" width="20.7109375" style="2" customWidth="1"/>
    <col min="1798" max="1798" width="50.7109375" style="2" customWidth="1"/>
    <col min="1799" max="1799" width="18.42578125" style="2" customWidth="1"/>
    <col min="1800" max="1800" width="14.28515625" style="2" customWidth="1"/>
    <col min="1801" max="1801" width="28.5703125" style="2" customWidth="1"/>
    <col min="1802" max="1802" width="11.5703125" style="2" customWidth="1"/>
    <col min="1803" max="2050" width="9.140625" style="2"/>
    <col min="2051" max="2052" width="14.28515625" style="2" customWidth="1"/>
    <col min="2053" max="2053" width="20.7109375" style="2" customWidth="1"/>
    <col min="2054" max="2054" width="50.7109375" style="2" customWidth="1"/>
    <col min="2055" max="2055" width="18.42578125" style="2" customWidth="1"/>
    <col min="2056" max="2056" width="14.28515625" style="2" customWidth="1"/>
    <col min="2057" max="2057" width="28.5703125" style="2" customWidth="1"/>
    <col min="2058" max="2058" width="11.5703125" style="2" customWidth="1"/>
    <col min="2059" max="2306" width="9.140625" style="2"/>
    <col min="2307" max="2308" width="14.28515625" style="2" customWidth="1"/>
    <col min="2309" max="2309" width="20.7109375" style="2" customWidth="1"/>
    <col min="2310" max="2310" width="50.7109375" style="2" customWidth="1"/>
    <col min="2311" max="2311" width="18.42578125" style="2" customWidth="1"/>
    <col min="2312" max="2312" width="14.28515625" style="2" customWidth="1"/>
    <col min="2313" max="2313" width="28.5703125" style="2" customWidth="1"/>
    <col min="2314" max="2314" width="11.5703125" style="2" customWidth="1"/>
    <col min="2315" max="2562" width="9.140625" style="2"/>
    <col min="2563" max="2564" width="14.28515625" style="2" customWidth="1"/>
    <col min="2565" max="2565" width="20.7109375" style="2" customWidth="1"/>
    <col min="2566" max="2566" width="50.7109375" style="2" customWidth="1"/>
    <col min="2567" max="2567" width="18.42578125" style="2" customWidth="1"/>
    <col min="2568" max="2568" width="14.28515625" style="2" customWidth="1"/>
    <col min="2569" max="2569" width="28.5703125" style="2" customWidth="1"/>
    <col min="2570" max="2570" width="11.5703125" style="2" customWidth="1"/>
    <col min="2571" max="2818" width="9.140625" style="2"/>
    <col min="2819" max="2820" width="14.28515625" style="2" customWidth="1"/>
    <col min="2821" max="2821" width="20.7109375" style="2" customWidth="1"/>
    <col min="2822" max="2822" width="50.7109375" style="2" customWidth="1"/>
    <col min="2823" max="2823" width="18.42578125" style="2" customWidth="1"/>
    <col min="2824" max="2824" width="14.28515625" style="2" customWidth="1"/>
    <col min="2825" max="2825" width="28.5703125" style="2" customWidth="1"/>
    <col min="2826" max="2826" width="11.5703125" style="2" customWidth="1"/>
    <col min="2827" max="3074" width="9.140625" style="2"/>
    <col min="3075" max="3076" width="14.28515625" style="2" customWidth="1"/>
    <col min="3077" max="3077" width="20.7109375" style="2" customWidth="1"/>
    <col min="3078" max="3078" width="50.7109375" style="2" customWidth="1"/>
    <col min="3079" max="3079" width="18.42578125" style="2" customWidth="1"/>
    <col min="3080" max="3080" width="14.28515625" style="2" customWidth="1"/>
    <col min="3081" max="3081" width="28.5703125" style="2" customWidth="1"/>
    <col min="3082" max="3082" width="11.5703125" style="2" customWidth="1"/>
    <col min="3083" max="3330" width="9.140625" style="2"/>
    <col min="3331" max="3332" width="14.28515625" style="2" customWidth="1"/>
    <col min="3333" max="3333" width="20.7109375" style="2" customWidth="1"/>
    <col min="3334" max="3334" width="50.7109375" style="2" customWidth="1"/>
    <col min="3335" max="3335" width="18.42578125" style="2" customWidth="1"/>
    <col min="3336" max="3336" width="14.28515625" style="2" customWidth="1"/>
    <col min="3337" max="3337" width="28.5703125" style="2" customWidth="1"/>
    <col min="3338" max="3338" width="11.5703125" style="2" customWidth="1"/>
    <col min="3339" max="3586" width="9.140625" style="2"/>
    <col min="3587" max="3588" width="14.28515625" style="2" customWidth="1"/>
    <col min="3589" max="3589" width="20.7109375" style="2" customWidth="1"/>
    <col min="3590" max="3590" width="50.7109375" style="2" customWidth="1"/>
    <col min="3591" max="3591" width="18.42578125" style="2" customWidth="1"/>
    <col min="3592" max="3592" width="14.28515625" style="2" customWidth="1"/>
    <col min="3593" max="3593" width="28.5703125" style="2" customWidth="1"/>
    <col min="3594" max="3594" width="11.5703125" style="2" customWidth="1"/>
    <col min="3595" max="3842" width="9.140625" style="2"/>
    <col min="3843" max="3844" width="14.28515625" style="2" customWidth="1"/>
    <col min="3845" max="3845" width="20.7109375" style="2" customWidth="1"/>
    <col min="3846" max="3846" width="50.7109375" style="2" customWidth="1"/>
    <col min="3847" max="3847" width="18.42578125" style="2" customWidth="1"/>
    <col min="3848" max="3848" width="14.28515625" style="2" customWidth="1"/>
    <col min="3849" max="3849" width="28.5703125" style="2" customWidth="1"/>
    <col min="3850" max="3850" width="11.5703125" style="2" customWidth="1"/>
    <col min="3851" max="4098" width="9.140625" style="2"/>
    <col min="4099" max="4100" width="14.28515625" style="2" customWidth="1"/>
    <col min="4101" max="4101" width="20.7109375" style="2" customWidth="1"/>
    <col min="4102" max="4102" width="50.7109375" style="2" customWidth="1"/>
    <col min="4103" max="4103" width="18.42578125" style="2" customWidth="1"/>
    <col min="4104" max="4104" width="14.28515625" style="2" customWidth="1"/>
    <col min="4105" max="4105" width="28.5703125" style="2" customWidth="1"/>
    <col min="4106" max="4106" width="11.5703125" style="2" customWidth="1"/>
    <col min="4107" max="4354" width="9.140625" style="2"/>
    <col min="4355" max="4356" width="14.28515625" style="2" customWidth="1"/>
    <col min="4357" max="4357" width="20.7109375" style="2" customWidth="1"/>
    <col min="4358" max="4358" width="50.7109375" style="2" customWidth="1"/>
    <col min="4359" max="4359" width="18.42578125" style="2" customWidth="1"/>
    <col min="4360" max="4360" width="14.28515625" style="2" customWidth="1"/>
    <col min="4361" max="4361" width="28.5703125" style="2" customWidth="1"/>
    <col min="4362" max="4362" width="11.5703125" style="2" customWidth="1"/>
    <col min="4363" max="4610" width="9.140625" style="2"/>
    <col min="4611" max="4612" width="14.28515625" style="2" customWidth="1"/>
    <col min="4613" max="4613" width="20.7109375" style="2" customWidth="1"/>
    <col min="4614" max="4614" width="50.7109375" style="2" customWidth="1"/>
    <col min="4615" max="4615" width="18.42578125" style="2" customWidth="1"/>
    <col min="4616" max="4616" width="14.28515625" style="2" customWidth="1"/>
    <col min="4617" max="4617" width="28.5703125" style="2" customWidth="1"/>
    <col min="4618" max="4618" width="11.5703125" style="2" customWidth="1"/>
    <col min="4619" max="4866" width="9.140625" style="2"/>
    <col min="4867" max="4868" width="14.28515625" style="2" customWidth="1"/>
    <col min="4869" max="4869" width="20.7109375" style="2" customWidth="1"/>
    <col min="4870" max="4870" width="50.7109375" style="2" customWidth="1"/>
    <col min="4871" max="4871" width="18.42578125" style="2" customWidth="1"/>
    <col min="4872" max="4872" width="14.28515625" style="2" customWidth="1"/>
    <col min="4873" max="4873" width="28.5703125" style="2" customWidth="1"/>
    <col min="4874" max="4874" width="11.5703125" style="2" customWidth="1"/>
    <col min="4875" max="5122" width="9.140625" style="2"/>
    <col min="5123" max="5124" width="14.28515625" style="2" customWidth="1"/>
    <col min="5125" max="5125" width="20.7109375" style="2" customWidth="1"/>
    <col min="5126" max="5126" width="50.7109375" style="2" customWidth="1"/>
    <col min="5127" max="5127" width="18.42578125" style="2" customWidth="1"/>
    <col min="5128" max="5128" width="14.28515625" style="2" customWidth="1"/>
    <col min="5129" max="5129" width="28.5703125" style="2" customWidth="1"/>
    <col min="5130" max="5130" width="11.5703125" style="2" customWidth="1"/>
    <col min="5131" max="5378" width="9.140625" style="2"/>
    <col min="5379" max="5380" width="14.28515625" style="2" customWidth="1"/>
    <col min="5381" max="5381" width="20.7109375" style="2" customWidth="1"/>
    <col min="5382" max="5382" width="50.7109375" style="2" customWidth="1"/>
    <col min="5383" max="5383" width="18.42578125" style="2" customWidth="1"/>
    <col min="5384" max="5384" width="14.28515625" style="2" customWidth="1"/>
    <col min="5385" max="5385" width="28.5703125" style="2" customWidth="1"/>
    <col min="5386" max="5386" width="11.5703125" style="2" customWidth="1"/>
    <col min="5387" max="5634" width="9.140625" style="2"/>
    <col min="5635" max="5636" width="14.28515625" style="2" customWidth="1"/>
    <col min="5637" max="5637" width="20.7109375" style="2" customWidth="1"/>
    <col min="5638" max="5638" width="50.7109375" style="2" customWidth="1"/>
    <col min="5639" max="5639" width="18.42578125" style="2" customWidth="1"/>
    <col min="5640" max="5640" width="14.28515625" style="2" customWidth="1"/>
    <col min="5641" max="5641" width="28.5703125" style="2" customWidth="1"/>
    <col min="5642" max="5642" width="11.5703125" style="2" customWidth="1"/>
    <col min="5643" max="5890" width="9.140625" style="2"/>
    <col min="5891" max="5892" width="14.28515625" style="2" customWidth="1"/>
    <col min="5893" max="5893" width="20.7109375" style="2" customWidth="1"/>
    <col min="5894" max="5894" width="50.7109375" style="2" customWidth="1"/>
    <col min="5895" max="5895" width="18.42578125" style="2" customWidth="1"/>
    <col min="5896" max="5896" width="14.28515625" style="2" customWidth="1"/>
    <col min="5897" max="5897" width="28.5703125" style="2" customWidth="1"/>
    <col min="5898" max="5898" width="11.5703125" style="2" customWidth="1"/>
    <col min="5899" max="6146" width="9.140625" style="2"/>
    <col min="6147" max="6148" width="14.28515625" style="2" customWidth="1"/>
    <col min="6149" max="6149" width="20.7109375" style="2" customWidth="1"/>
    <col min="6150" max="6150" width="50.7109375" style="2" customWidth="1"/>
    <col min="6151" max="6151" width="18.42578125" style="2" customWidth="1"/>
    <col min="6152" max="6152" width="14.28515625" style="2" customWidth="1"/>
    <col min="6153" max="6153" width="28.5703125" style="2" customWidth="1"/>
    <col min="6154" max="6154" width="11.5703125" style="2" customWidth="1"/>
    <col min="6155" max="6402" width="9.140625" style="2"/>
    <col min="6403" max="6404" width="14.28515625" style="2" customWidth="1"/>
    <col min="6405" max="6405" width="20.7109375" style="2" customWidth="1"/>
    <col min="6406" max="6406" width="50.7109375" style="2" customWidth="1"/>
    <col min="6407" max="6407" width="18.42578125" style="2" customWidth="1"/>
    <col min="6408" max="6408" width="14.28515625" style="2" customWidth="1"/>
    <col min="6409" max="6409" width="28.5703125" style="2" customWidth="1"/>
    <col min="6410" max="6410" width="11.5703125" style="2" customWidth="1"/>
    <col min="6411" max="6658" width="9.140625" style="2"/>
    <col min="6659" max="6660" width="14.28515625" style="2" customWidth="1"/>
    <col min="6661" max="6661" width="20.7109375" style="2" customWidth="1"/>
    <col min="6662" max="6662" width="50.7109375" style="2" customWidth="1"/>
    <col min="6663" max="6663" width="18.42578125" style="2" customWidth="1"/>
    <col min="6664" max="6664" width="14.28515625" style="2" customWidth="1"/>
    <col min="6665" max="6665" width="28.5703125" style="2" customWidth="1"/>
    <col min="6666" max="6666" width="11.5703125" style="2" customWidth="1"/>
    <col min="6667" max="6914" width="9.140625" style="2"/>
    <col min="6915" max="6916" width="14.28515625" style="2" customWidth="1"/>
    <col min="6917" max="6917" width="20.7109375" style="2" customWidth="1"/>
    <col min="6918" max="6918" width="50.7109375" style="2" customWidth="1"/>
    <col min="6919" max="6919" width="18.42578125" style="2" customWidth="1"/>
    <col min="6920" max="6920" width="14.28515625" style="2" customWidth="1"/>
    <col min="6921" max="6921" width="28.5703125" style="2" customWidth="1"/>
    <col min="6922" max="6922" width="11.5703125" style="2" customWidth="1"/>
    <col min="6923" max="7170" width="9.140625" style="2"/>
    <col min="7171" max="7172" width="14.28515625" style="2" customWidth="1"/>
    <col min="7173" max="7173" width="20.7109375" style="2" customWidth="1"/>
    <col min="7174" max="7174" width="50.7109375" style="2" customWidth="1"/>
    <col min="7175" max="7175" width="18.42578125" style="2" customWidth="1"/>
    <col min="7176" max="7176" width="14.28515625" style="2" customWidth="1"/>
    <col min="7177" max="7177" width="28.5703125" style="2" customWidth="1"/>
    <col min="7178" max="7178" width="11.5703125" style="2" customWidth="1"/>
    <col min="7179" max="7426" width="9.140625" style="2"/>
    <col min="7427" max="7428" width="14.28515625" style="2" customWidth="1"/>
    <col min="7429" max="7429" width="20.7109375" style="2" customWidth="1"/>
    <col min="7430" max="7430" width="50.7109375" style="2" customWidth="1"/>
    <col min="7431" max="7431" width="18.42578125" style="2" customWidth="1"/>
    <col min="7432" max="7432" width="14.28515625" style="2" customWidth="1"/>
    <col min="7433" max="7433" width="28.5703125" style="2" customWidth="1"/>
    <col min="7434" max="7434" width="11.5703125" style="2" customWidth="1"/>
    <col min="7435" max="7682" width="9.140625" style="2"/>
    <col min="7683" max="7684" width="14.28515625" style="2" customWidth="1"/>
    <col min="7685" max="7685" width="20.7109375" style="2" customWidth="1"/>
    <col min="7686" max="7686" width="50.7109375" style="2" customWidth="1"/>
    <col min="7687" max="7687" width="18.42578125" style="2" customWidth="1"/>
    <col min="7688" max="7688" width="14.28515625" style="2" customWidth="1"/>
    <col min="7689" max="7689" width="28.5703125" style="2" customWidth="1"/>
    <col min="7690" max="7690" width="11.5703125" style="2" customWidth="1"/>
    <col min="7691" max="7938" width="9.140625" style="2"/>
    <col min="7939" max="7940" width="14.28515625" style="2" customWidth="1"/>
    <col min="7941" max="7941" width="20.7109375" style="2" customWidth="1"/>
    <col min="7942" max="7942" width="50.7109375" style="2" customWidth="1"/>
    <col min="7943" max="7943" width="18.42578125" style="2" customWidth="1"/>
    <col min="7944" max="7944" width="14.28515625" style="2" customWidth="1"/>
    <col min="7945" max="7945" width="28.5703125" style="2" customWidth="1"/>
    <col min="7946" max="7946" width="11.5703125" style="2" customWidth="1"/>
    <col min="7947" max="8194" width="9.140625" style="2"/>
    <col min="8195" max="8196" width="14.28515625" style="2" customWidth="1"/>
    <col min="8197" max="8197" width="20.7109375" style="2" customWidth="1"/>
    <col min="8198" max="8198" width="50.7109375" style="2" customWidth="1"/>
    <col min="8199" max="8199" width="18.42578125" style="2" customWidth="1"/>
    <col min="8200" max="8200" width="14.28515625" style="2" customWidth="1"/>
    <col min="8201" max="8201" width="28.5703125" style="2" customWidth="1"/>
    <col min="8202" max="8202" width="11.5703125" style="2" customWidth="1"/>
    <col min="8203" max="8450" width="9.140625" style="2"/>
    <col min="8451" max="8452" width="14.28515625" style="2" customWidth="1"/>
    <col min="8453" max="8453" width="20.7109375" style="2" customWidth="1"/>
    <col min="8454" max="8454" width="50.7109375" style="2" customWidth="1"/>
    <col min="8455" max="8455" width="18.42578125" style="2" customWidth="1"/>
    <col min="8456" max="8456" width="14.28515625" style="2" customWidth="1"/>
    <col min="8457" max="8457" width="28.5703125" style="2" customWidth="1"/>
    <col min="8458" max="8458" width="11.5703125" style="2" customWidth="1"/>
    <col min="8459" max="8706" width="9.140625" style="2"/>
    <col min="8707" max="8708" width="14.28515625" style="2" customWidth="1"/>
    <col min="8709" max="8709" width="20.7109375" style="2" customWidth="1"/>
    <col min="8710" max="8710" width="50.7109375" style="2" customWidth="1"/>
    <col min="8711" max="8711" width="18.42578125" style="2" customWidth="1"/>
    <col min="8712" max="8712" width="14.28515625" style="2" customWidth="1"/>
    <col min="8713" max="8713" width="28.5703125" style="2" customWidth="1"/>
    <col min="8714" max="8714" width="11.5703125" style="2" customWidth="1"/>
    <col min="8715" max="8962" width="9.140625" style="2"/>
    <col min="8963" max="8964" width="14.28515625" style="2" customWidth="1"/>
    <col min="8965" max="8965" width="20.7109375" style="2" customWidth="1"/>
    <col min="8966" max="8966" width="50.7109375" style="2" customWidth="1"/>
    <col min="8967" max="8967" width="18.42578125" style="2" customWidth="1"/>
    <col min="8968" max="8968" width="14.28515625" style="2" customWidth="1"/>
    <col min="8969" max="8969" width="28.5703125" style="2" customWidth="1"/>
    <col min="8970" max="8970" width="11.5703125" style="2" customWidth="1"/>
    <col min="8971" max="9218" width="9.140625" style="2"/>
    <col min="9219" max="9220" width="14.28515625" style="2" customWidth="1"/>
    <col min="9221" max="9221" width="20.7109375" style="2" customWidth="1"/>
    <col min="9222" max="9222" width="50.7109375" style="2" customWidth="1"/>
    <col min="9223" max="9223" width="18.42578125" style="2" customWidth="1"/>
    <col min="9224" max="9224" width="14.28515625" style="2" customWidth="1"/>
    <col min="9225" max="9225" width="28.5703125" style="2" customWidth="1"/>
    <col min="9226" max="9226" width="11.5703125" style="2" customWidth="1"/>
    <col min="9227" max="9474" width="9.140625" style="2"/>
    <col min="9475" max="9476" width="14.28515625" style="2" customWidth="1"/>
    <col min="9477" max="9477" width="20.7109375" style="2" customWidth="1"/>
    <col min="9478" max="9478" width="50.7109375" style="2" customWidth="1"/>
    <col min="9479" max="9479" width="18.42578125" style="2" customWidth="1"/>
    <col min="9480" max="9480" width="14.28515625" style="2" customWidth="1"/>
    <col min="9481" max="9481" width="28.5703125" style="2" customWidth="1"/>
    <col min="9482" max="9482" width="11.5703125" style="2" customWidth="1"/>
    <col min="9483" max="9730" width="9.140625" style="2"/>
    <col min="9731" max="9732" width="14.28515625" style="2" customWidth="1"/>
    <col min="9733" max="9733" width="20.7109375" style="2" customWidth="1"/>
    <col min="9734" max="9734" width="50.7109375" style="2" customWidth="1"/>
    <col min="9735" max="9735" width="18.42578125" style="2" customWidth="1"/>
    <col min="9736" max="9736" width="14.28515625" style="2" customWidth="1"/>
    <col min="9737" max="9737" width="28.5703125" style="2" customWidth="1"/>
    <col min="9738" max="9738" width="11.5703125" style="2" customWidth="1"/>
    <col min="9739" max="9986" width="9.140625" style="2"/>
    <col min="9987" max="9988" width="14.28515625" style="2" customWidth="1"/>
    <col min="9989" max="9989" width="20.7109375" style="2" customWidth="1"/>
    <col min="9990" max="9990" width="50.7109375" style="2" customWidth="1"/>
    <col min="9991" max="9991" width="18.42578125" style="2" customWidth="1"/>
    <col min="9992" max="9992" width="14.28515625" style="2" customWidth="1"/>
    <col min="9993" max="9993" width="28.5703125" style="2" customWidth="1"/>
    <col min="9994" max="9994" width="11.5703125" style="2" customWidth="1"/>
    <col min="9995" max="10242" width="9.140625" style="2"/>
    <col min="10243" max="10244" width="14.28515625" style="2" customWidth="1"/>
    <col min="10245" max="10245" width="20.7109375" style="2" customWidth="1"/>
    <col min="10246" max="10246" width="50.7109375" style="2" customWidth="1"/>
    <col min="10247" max="10247" width="18.42578125" style="2" customWidth="1"/>
    <col min="10248" max="10248" width="14.28515625" style="2" customWidth="1"/>
    <col min="10249" max="10249" width="28.5703125" style="2" customWidth="1"/>
    <col min="10250" max="10250" width="11.5703125" style="2" customWidth="1"/>
    <col min="10251" max="10498" width="9.140625" style="2"/>
    <col min="10499" max="10500" width="14.28515625" style="2" customWidth="1"/>
    <col min="10501" max="10501" width="20.7109375" style="2" customWidth="1"/>
    <col min="10502" max="10502" width="50.7109375" style="2" customWidth="1"/>
    <col min="10503" max="10503" width="18.42578125" style="2" customWidth="1"/>
    <col min="10504" max="10504" width="14.28515625" style="2" customWidth="1"/>
    <col min="10505" max="10505" width="28.5703125" style="2" customWidth="1"/>
    <col min="10506" max="10506" width="11.5703125" style="2" customWidth="1"/>
    <col min="10507" max="10754" width="9.140625" style="2"/>
    <col min="10755" max="10756" width="14.28515625" style="2" customWidth="1"/>
    <col min="10757" max="10757" width="20.7109375" style="2" customWidth="1"/>
    <col min="10758" max="10758" width="50.7109375" style="2" customWidth="1"/>
    <col min="10759" max="10759" width="18.42578125" style="2" customWidth="1"/>
    <col min="10760" max="10760" width="14.28515625" style="2" customWidth="1"/>
    <col min="10761" max="10761" width="28.5703125" style="2" customWidth="1"/>
    <col min="10762" max="10762" width="11.5703125" style="2" customWidth="1"/>
    <col min="10763" max="11010" width="9.140625" style="2"/>
    <col min="11011" max="11012" width="14.28515625" style="2" customWidth="1"/>
    <col min="11013" max="11013" width="20.7109375" style="2" customWidth="1"/>
    <col min="11014" max="11014" width="50.7109375" style="2" customWidth="1"/>
    <col min="11015" max="11015" width="18.42578125" style="2" customWidth="1"/>
    <col min="11016" max="11016" width="14.28515625" style="2" customWidth="1"/>
    <col min="11017" max="11017" width="28.5703125" style="2" customWidth="1"/>
    <col min="11018" max="11018" width="11.5703125" style="2" customWidth="1"/>
    <col min="11019" max="11266" width="9.140625" style="2"/>
    <col min="11267" max="11268" width="14.28515625" style="2" customWidth="1"/>
    <col min="11269" max="11269" width="20.7109375" style="2" customWidth="1"/>
    <col min="11270" max="11270" width="50.7109375" style="2" customWidth="1"/>
    <col min="11271" max="11271" width="18.42578125" style="2" customWidth="1"/>
    <col min="11272" max="11272" width="14.28515625" style="2" customWidth="1"/>
    <col min="11273" max="11273" width="28.5703125" style="2" customWidth="1"/>
    <col min="11274" max="11274" width="11.5703125" style="2" customWidth="1"/>
    <col min="11275" max="11522" width="9.140625" style="2"/>
    <col min="11523" max="11524" width="14.28515625" style="2" customWidth="1"/>
    <col min="11525" max="11525" width="20.7109375" style="2" customWidth="1"/>
    <col min="11526" max="11526" width="50.7109375" style="2" customWidth="1"/>
    <col min="11527" max="11527" width="18.42578125" style="2" customWidth="1"/>
    <col min="11528" max="11528" width="14.28515625" style="2" customWidth="1"/>
    <col min="11529" max="11529" width="28.5703125" style="2" customWidth="1"/>
    <col min="11530" max="11530" width="11.5703125" style="2" customWidth="1"/>
    <col min="11531" max="11778" width="9.140625" style="2"/>
    <col min="11779" max="11780" width="14.28515625" style="2" customWidth="1"/>
    <col min="11781" max="11781" width="20.7109375" style="2" customWidth="1"/>
    <col min="11782" max="11782" width="50.7109375" style="2" customWidth="1"/>
    <col min="11783" max="11783" width="18.42578125" style="2" customWidth="1"/>
    <col min="11784" max="11784" width="14.28515625" style="2" customWidth="1"/>
    <col min="11785" max="11785" width="28.5703125" style="2" customWidth="1"/>
    <col min="11786" max="11786" width="11.5703125" style="2" customWidth="1"/>
    <col min="11787" max="12034" width="9.140625" style="2"/>
    <col min="12035" max="12036" width="14.28515625" style="2" customWidth="1"/>
    <col min="12037" max="12037" width="20.7109375" style="2" customWidth="1"/>
    <col min="12038" max="12038" width="50.7109375" style="2" customWidth="1"/>
    <col min="12039" max="12039" width="18.42578125" style="2" customWidth="1"/>
    <col min="12040" max="12040" width="14.28515625" style="2" customWidth="1"/>
    <col min="12041" max="12041" width="28.5703125" style="2" customWidth="1"/>
    <col min="12042" max="12042" width="11.5703125" style="2" customWidth="1"/>
    <col min="12043" max="12290" width="9.140625" style="2"/>
    <col min="12291" max="12292" width="14.28515625" style="2" customWidth="1"/>
    <col min="12293" max="12293" width="20.7109375" style="2" customWidth="1"/>
    <col min="12294" max="12294" width="50.7109375" style="2" customWidth="1"/>
    <col min="12295" max="12295" width="18.42578125" style="2" customWidth="1"/>
    <col min="12296" max="12296" width="14.28515625" style="2" customWidth="1"/>
    <col min="12297" max="12297" width="28.5703125" style="2" customWidth="1"/>
    <col min="12298" max="12298" width="11.5703125" style="2" customWidth="1"/>
    <col min="12299" max="12546" width="9.140625" style="2"/>
    <col min="12547" max="12548" width="14.28515625" style="2" customWidth="1"/>
    <col min="12549" max="12549" width="20.7109375" style="2" customWidth="1"/>
    <col min="12550" max="12550" width="50.7109375" style="2" customWidth="1"/>
    <col min="12551" max="12551" width="18.42578125" style="2" customWidth="1"/>
    <col min="12552" max="12552" width="14.28515625" style="2" customWidth="1"/>
    <col min="12553" max="12553" width="28.5703125" style="2" customWidth="1"/>
    <col min="12554" max="12554" width="11.5703125" style="2" customWidth="1"/>
    <col min="12555" max="12802" width="9.140625" style="2"/>
    <col min="12803" max="12804" width="14.28515625" style="2" customWidth="1"/>
    <col min="12805" max="12805" width="20.7109375" style="2" customWidth="1"/>
    <col min="12806" max="12806" width="50.7109375" style="2" customWidth="1"/>
    <col min="12807" max="12807" width="18.42578125" style="2" customWidth="1"/>
    <col min="12808" max="12808" width="14.28515625" style="2" customWidth="1"/>
    <col min="12809" max="12809" width="28.5703125" style="2" customWidth="1"/>
    <col min="12810" max="12810" width="11.5703125" style="2" customWidth="1"/>
    <col min="12811" max="13058" width="9.140625" style="2"/>
    <col min="13059" max="13060" width="14.28515625" style="2" customWidth="1"/>
    <col min="13061" max="13061" width="20.7109375" style="2" customWidth="1"/>
    <col min="13062" max="13062" width="50.7109375" style="2" customWidth="1"/>
    <col min="13063" max="13063" width="18.42578125" style="2" customWidth="1"/>
    <col min="13064" max="13064" width="14.28515625" style="2" customWidth="1"/>
    <col min="13065" max="13065" width="28.5703125" style="2" customWidth="1"/>
    <col min="13066" max="13066" width="11.5703125" style="2" customWidth="1"/>
    <col min="13067" max="13314" width="9.140625" style="2"/>
    <col min="13315" max="13316" width="14.28515625" style="2" customWidth="1"/>
    <col min="13317" max="13317" width="20.7109375" style="2" customWidth="1"/>
    <col min="13318" max="13318" width="50.7109375" style="2" customWidth="1"/>
    <col min="13319" max="13319" width="18.42578125" style="2" customWidth="1"/>
    <col min="13320" max="13320" width="14.28515625" style="2" customWidth="1"/>
    <col min="13321" max="13321" width="28.5703125" style="2" customWidth="1"/>
    <col min="13322" max="13322" width="11.5703125" style="2" customWidth="1"/>
    <col min="13323" max="13570" width="9.140625" style="2"/>
    <col min="13571" max="13572" width="14.28515625" style="2" customWidth="1"/>
    <col min="13573" max="13573" width="20.7109375" style="2" customWidth="1"/>
    <col min="13574" max="13574" width="50.7109375" style="2" customWidth="1"/>
    <col min="13575" max="13575" width="18.42578125" style="2" customWidth="1"/>
    <col min="13576" max="13576" width="14.28515625" style="2" customWidth="1"/>
    <col min="13577" max="13577" width="28.5703125" style="2" customWidth="1"/>
    <col min="13578" max="13578" width="11.5703125" style="2" customWidth="1"/>
    <col min="13579" max="13826" width="9.140625" style="2"/>
    <col min="13827" max="13828" width="14.28515625" style="2" customWidth="1"/>
    <col min="13829" max="13829" width="20.7109375" style="2" customWidth="1"/>
    <col min="13830" max="13830" width="50.7109375" style="2" customWidth="1"/>
    <col min="13831" max="13831" width="18.42578125" style="2" customWidth="1"/>
    <col min="13832" max="13832" width="14.28515625" style="2" customWidth="1"/>
    <col min="13833" max="13833" width="28.5703125" style="2" customWidth="1"/>
    <col min="13834" max="13834" width="11.5703125" style="2" customWidth="1"/>
    <col min="13835" max="14082" width="9.140625" style="2"/>
    <col min="14083" max="14084" width="14.28515625" style="2" customWidth="1"/>
    <col min="14085" max="14085" width="20.7109375" style="2" customWidth="1"/>
    <col min="14086" max="14086" width="50.7109375" style="2" customWidth="1"/>
    <col min="14087" max="14087" width="18.42578125" style="2" customWidth="1"/>
    <col min="14088" max="14088" width="14.28515625" style="2" customWidth="1"/>
    <col min="14089" max="14089" width="28.5703125" style="2" customWidth="1"/>
    <col min="14090" max="14090" width="11.5703125" style="2" customWidth="1"/>
    <col min="14091" max="14338" width="9.140625" style="2"/>
    <col min="14339" max="14340" width="14.28515625" style="2" customWidth="1"/>
    <col min="14341" max="14341" width="20.7109375" style="2" customWidth="1"/>
    <col min="14342" max="14342" width="50.7109375" style="2" customWidth="1"/>
    <col min="14343" max="14343" width="18.42578125" style="2" customWidth="1"/>
    <col min="14344" max="14344" width="14.28515625" style="2" customWidth="1"/>
    <col min="14345" max="14345" width="28.5703125" style="2" customWidth="1"/>
    <col min="14346" max="14346" width="11.5703125" style="2" customWidth="1"/>
    <col min="14347" max="14594" width="9.140625" style="2"/>
    <col min="14595" max="14596" width="14.28515625" style="2" customWidth="1"/>
    <col min="14597" max="14597" width="20.7109375" style="2" customWidth="1"/>
    <col min="14598" max="14598" width="50.7109375" style="2" customWidth="1"/>
    <col min="14599" max="14599" width="18.42578125" style="2" customWidth="1"/>
    <col min="14600" max="14600" width="14.28515625" style="2" customWidth="1"/>
    <col min="14601" max="14601" width="28.5703125" style="2" customWidth="1"/>
    <col min="14602" max="14602" width="11.5703125" style="2" customWidth="1"/>
    <col min="14603" max="14850" width="9.140625" style="2"/>
    <col min="14851" max="14852" width="14.28515625" style="2" customWidth="1"/>
    <col min="14853" max="14853" width="20.7109375" style="2" customWidth="1"/>
    <col min="14854" max="14854" width="50.7109375" style="2" customWidth="1"/>
    <col min="14855" max="14855" width="18.42578125" style="2" customWidth="1"/>
    <col min="14856" max="14856" width="14.28515625" style="2" customWidth="1"/>
    <col min="14857" max="14857" width="28.5703125" style="2" customWidth="1"/>
    <col min="14858" max="14858" width="11.5703125" style="2" customWidth="1"/>
    <col min="14859" max="15106" width="9.140625" style="2"/>
    <col min="15107" max="15108" width="14.28515625" style="2" customWidth="1"/>
    <col min="15109" max="15109" width="20.7109375" style="2" customWidth="1"/>
    <col min="15110" max="15110" width="50.7109375" style="2" customWidth="1"/>
    <col min="15111" max="15111" width="18.42578125" style="2" customWidth="1"/>
    <col min="15112" max="15112" width="14.28515625" style="2" customWidth="1"/>
    <col min="15113" max="15113" width="28.5703125" style="2" customWidth="1"/>
    <col min="15114" max="15114" width="11.5703125" style="2" customWidth="1"/>
    <col min="15115" max="15362" width="9.140625" style="2"/>
    <col min="15363" max="15364" width="14.28515625" style="2" customWidth="1"/>
    <col min="15365" max="15365" width="20.7109375" style="2" customWidth="1"/>
    <col min="15366" max="15366" width="50.7109375" style="2" customWidth="1"/>
    <col min="15367" max="15367" width="18.42578125" style="2" customWidth="1"/>
    <col min="15368" max="15368" width="14.28515625" style="2" customWidth="1"/>
    <col min="15369" max="15369" width="28.5703125" style="2" customWidth="1"/>
    <col min="15370" max="15370" width="11.5703125" style="2" customWidth="1"/>
    <col min="15371" max="15618" width="9.140625" style="2"/>
    <col min="15619" max="15620" width="14.28515625" style="2" customWidth="1"/>
    <col min="15621" max="15621" width="20.7109375" style="2" customWidth="1"/>
    <col min="15622" max="15622" width="50.7109375" style="2" customWidth="1"/>
    <col min="15623" max="15623" width="18.42578125" style="2" customWidth="1"/>
    <col min="15624" max="15624" width="14.28515625" style="2" customWidth="1"/>
    <col min="15625" max="15625" width="28.5703125" style="2" customWidth="1"/>
    <col min="15626" max="15626" width="11.5703125" style="2" customWidth="1"/>
    <col min="15627" max="15874" width="9.140625" style="2"/>
    <col min="15875" max="15876" width="14.28515625" style="2" customWidth="1"/>
    <col min="15877" max="15877" width="20.7109375" style="2" customWidth="1"/>
    <col min="15878" max="15878" width="50.7109375" style="2" customWidth="1"/>
    <col min="15879" max="15879" width="18.42578125" style="2" customWidth="1"/>
    <col min="15880" max="15880" width="14.28515625" style="2" customWidth="1"/>
    <col min="15881" max="15881" width="28.5703125" style="2" customWidth="1"/>
    <col min="15882" max="15882" width="11.5703125" style="2" customWidth="1"/>
    <col min="15883" max="16130" width="9.140625" style="2"/>
    <col min="16131" max="16132" width="14.28515625" style="2" customWidth="1"/>
    <col min="16133" max="16133" width="20.7109375" style="2" customWidth="1"/>
    <col min="16134" max="16134" width="50.7109375" style="2" customWidth="1"/>
    <col min="16135" max="16135" width="18.42578125" style="2" customWidth="1"/>
    <col min="16136" max="16136" width="14.28515625" style="2" customWidth="1"/>
    <col min="16137" max="16137" width="28.5703125" style="2" customWidth="1"/>
    <col min="16138" max="16138" width="11.5703125" style="2" customWidth="1"/>
    <col min="16139" max="16384" width="9.140625" style="2"/>
  </cols>
  <sheetData>
    <row r="1" spans="1:9" ht="27" customHeight="1">
      <c r="A1" s="135" t="s">
        <v>234</v>
      </c>
      <c r="B1" s="135" t="s">
        <v>235</v>
      </c>
      <c r="C1" s="136" t="s">
        <v>278</v>
      </c>
      <c r="D1" s="136" t="s">
        <v>279</v>
      </c>
      <c r="E1" s="136" t="s">
        <v>280</v>
      </c>
      <c r="F1" s="136" t="s">
        <v>281</v>
      </c>
      <c r="G1" s="136" t="s">
        <v>271</v>
      </c>
    </row>
    <row r="2" spans="1:9">
      <c r="A2" s="263"/>
      <c r="B2" s="264"/>
      <c r="C2" s="141"/>
      <c r="D2" s="142"/>
      <c r="E2" s="143"/>
      <c r="F2" s="144"/>
      <c r="G2" s="145">
        <v>0</v>
      </c>
      <c r="H2" s="134"/>
      <c r="I2" s="134"/>
    </row>
    <row r="3" spans="1:9" s="134" customFormat="1">
      <c r="A3" s="263"/>
      <c r="B3" s="264"/>
      <c r="C3" s="146"/>
      <c r="D3" s="142"/>
      <c r="E3" s="143"/>
      <c r="F3" s="144"/>
      <c r="G3" s="145">
        <v>0</v>
      </c>
    </row>
    <row r="4" spans="1:9">
      <c r="A4" s="263"/>
      <c r="B4" s="264"/>
      <c r="C4" s="141"/>
      <c r="D4" s="147"/>
      <c r="E4" s="143"/>
      <c r="F4" s="144"/>
      <c r="G4" s="145">
        <v>0</v>
      </c>
      <c r="H4" s="134"/>
      <c r="I4" s="134"/>
    </row>
    <row r="5" spans="1:9" s="134" customFormat="1">
      <c r="A5" s="263"/>
      <c r="B5" s="264"/>
      <c r="C5" s="141"/>
      <c r="D5" s="142"/>
      <c r="E5" s="143"/>
      <c r="F5" s="144"/>
      <c r="G5" s="145">
        <v>0</v>
      </c>
    </row>
    <row r="6" spans="1:9">
      <c r="A6" s="263"/>
      <c r="B6" s="264"/>
      <c r="C6" s="141"/>
      <c r="D6" s="142"/>
      <c r="E6" s="143"/>
      <c r="F6" s="144"/>
      <c r="G6" s="145">
        <v>0</v>
      </c>
      <c r="H6" s="134"/>
      <c r="I6" s="134"/>
    </row>
    <row r="7" spans="1:9">
      <c r="A7" s="263"/>
      <c r="B7" s="264"/>
      <c r="C7" s="141"/>
      <c r="D7" s="142"/>
      <c r="E7" s="143"/>
      <c r="F7" s="144"/>
      <c r="G7" s="145">
        <v>0</v>
      </c>
      <c r="H7" s="134"/>
      <c r="I7" s="134"/>
    </row>
    <row r="8" spans="1:9" s="134" customFormat="1">
      <c r="A8" s="263"/>
      <c r="B8" s="264"/>
      <c r="C8" s="141"/>
      <c r="D8" s="142"/>
      <c r="E8" s="143"/>
      <c r="F8" s="144"/>
      <c r="G8" s="145">
        <v>0</v>
      </c>
    </row>
    <row r="9" spans="1:9" s="1" customFormat="1">
      <c r="E9" s="148"/>
    </row>
    <row r="10" spans="1:9" s="1" customFormat="1">
      <c r="E10" s="148"/>
    </row>
    <row r="11" spans="1:9" s="1" customFormat="1">
      <c r="E11" s="148"/>
    </row>
    <row r="12" spans="1:9" s="1" customFormat="1">
      <c r="E12" s="148"/>
    </row>
    <row r="13" spans="1:9" s="1" customFormat="1">
      <c r="E13" s="148"/>
    </row>
    <row r="14" spans="1:9" s="1" customFormat="1">
      <c r="E14" s="148"/>
    </row>
    <row r="15" spans="1:9" s="1" customFormat="1">
      <c r="E15" s="148"/>
    </row>
    <row r="16" spans="1:9" s="1" customFormat="1">
      <c r="E16" s="148"/>
    </row>
    <row r="17" spans="5:5" s="1" customFormat="1">
      <c r="E17" s="148"/>
    </row>
    <row r="18" spans="5:5" s="1" customFormat="1">
      <c r="E18" s="148"/>
    </row>
    <row r="19" spans="5:5" s="1" customFormat="1">
      <c r="E19" s="148"/>
    </row>
    <row r="20" spans="5:5" s="1" customFormat="1">
      <c r="E20" s="148"/>
    </row>
    <row r="21" spans="5:5" s="1" customFormat="1">
      <c r="E21" s="148"/>
    </row>
    <row r="22" spans="5:5" s="1" customFormat="1">
      <c r="E22" s="148"/>
    </row>
    <row r="23" spans="5:5" s="1" customFormat="1">
      <c r="E23" s="148"/>
    </row>
    <row r="24" spans="5:5" s="1" customFormat="1">
      <c r="E24" s="148"/>
    </row>
    <row r="25" spans="5:5" s="1" customFormat="1">
      <c r="E25" s="148"/>
    </row>
    <row r="26" spans="5:5" s="1" customFormat="1">
      <c r="E26" s="148"/>
    </row>
    <row r="27" spans="5:5" s="1" customFormat="1">
      <c r="E27" s="148"/>
    </row>
    <row r="28" spans="5:5" s="1" customFormat="1">
      <c r="E28" s="148"/>
    </row>
    <row r="29" spans="5:5" s="1" customFormat="1">
      <c r="E29" s="148"/>
    </row>
    <row r="30" spans="5:5" s="1" customFormat="1">
      <c r="E30" s="148"/>
    </row>
    <row r="31" spans="5:5" s="1" customFormat="1">
      <c r="E31" s="148"/>
    </row>
    <row r="32" spans="5:5" s="1" customFormat="1">
      <c r="E32" s="148"/>
    </row>
    <row r="33" spans="5:5" s="1" customFormat="1">
      <c r="E33" s="148"/>
    </row>
    <row r="34" spans="5:5" s="1" customFormat="1">
      <c r="E34" s="148"/>
    </row>
    <row r="35" spans="5:5" s="1" customFormat="1">
      <c r="E35" s="148"/>
    </row>
    <row r="36" spans="5:5" s="1" customFormat="1">
      <c r="E36" s="148"/>
    </row>
    <row r="37" spans="5:5" s="1" customFormat="1">
      <c r="E37" s="148"/>
    </row>
    <row r="38" spans="5:5" s="1" customFormat="1">
      <c r="E38" s="148"/>
    </row>
    <row r="39" spans="5:5" s="1" customFormat="1">
      <c r="E39" s="148"/>
    </row>
    <row r="40" spans="5:5" s="1" customFormat="1">
      <c r="E40" s="148"/>
    </row>
    <row r="41" spans="5:5" s="1" customFormat="1">
      <c r="E41" s="148"/>
    </row>
    <row r="42" spans="5:5" s="1" customFormat="1">
      <c r="E42" s="148"/>
    </row>
    <row r="43" spans="5:5" s="1" customFormat="1">
      <c r="E43" s="148"/>
    </row>
    <row r="44" spans="5:5" s="1" customFormat="1">
      <c r="E44" s="148"/>
    </row>
    <row r="45" spans="5:5" s="1" customFormat="1">
      <c r="E45" s="148"/>
    </row>
    <row r="46" spans="5:5" s="1" customFormat="1">
      <c r="E46" s="148"/>
    </row>
    <row r="47" spans="5:5" s="1" customFormat="1">
      <c r="E47" s="148"/>
    </row>
    <row r="48" spans="5:5" s="1" customFormat="1">
      <c r="E48" s="148"/>
    </row>
    <row r="49" spans="5:5" s="1" customFormat="1">
      <c r="E49" s="148"/>
    </row>
    <row r="50" spans="5:5" s="1" customFormat="1">
      <c r="E50" s="148"/>
    </row>
    <row r="51" spans="5:5" s="1" customFormat="1">
      <c r="E51" s="148"/>
    </row>
    <row r="52" spans="5:5" s="1" customFormat="1">
      <c r="E52" s="148"/>
    </row>
    <row r="53" spans="5:5" s="1" customFormat="1">
      <c r="E53" s="148"/>
    </row>
    <row r="54" spans="5:5" s="1" customFormat="1">
      <c r="E54" s="148"/>
    </row>
    <row r="55" spans="5:5" s="1" customFormat="1">
      <c r="E55" s="148"/>
    </row>
    <row r="56" spans="5:5" s="1" customFormat="1">
      <c r="E56" s="148"/>
    </row>
    <row r="57" spans="5:5" s="1" customFormat="1">
      <c r="E57" s="148"/>
    </row>
    <row r="58" spans="5:5" s="1" customFormat="1">
      <c r="E58" s="148"/>
    </row>
    <row r="59" spans="5:5" s="1" customFormat="1">
      <c r="E59" s="148"/>
    </row>
    <row r="60" spans="5:5" s="1" customFormat="1">
      <c r="E60" s="148"/>
    </row>
    <row r="61" spans="5:5" s="1" customFormat="1">
      <c r="E61" s="148"/>
    </row>
    <row r="62" spans="5:5" s="1" customFormat="1">
      <c r="E62" s="148"/>
    </row>
    <row r="63" spans="5:5" s="1" customFormat="1">
      <c r="E63" s="148"/>
    </row>
    <row r="64" spans="5:5" s="1" customFormat="1">
      <c r="E64" s="148"/>
    </row>
    <row r="65" spans="5:5" s="1" customFormat="1">
      <c r="E65" s="148"/>
    </row>
    <row r="66" spans="5:5" s="1" customFormat="1">
      <c r="E66" s="148"/>
    </row>
    <row r="67" spans="5:5" s="1" customFormat="1">
      <c r="E67" s="148"/>
    </row>
    <row r="68" spans="5:5" s="1" customFormat="1">
      <c r="E68" s="148"/>
    </row>
    <row r="69" spans="5:5" s="1" customFormat="1">
      <c r="E69" s="148"/>
    </row>
    <row r="70" spans="5:5" s="1" customFormat="1">
      <c r="E70" s="148"/>
    </row>
    <row r="71" spans="5:5" s="1" customFormat="1">
      <c r="E71" s="148"/>
    </row>
    <row r="72" spans="5:5" s="1" customFormat="1">
      <c r="E72" s="148"/>
    </row>
    <row r="73" spans="5:5" s="1" customFormat="1">
      <c r="E73" s="148"/>
    </row>
    <row r="74" spans="5:5" s="1" customFormat="1">
      <c r="E74" s="148"/>
    </row>
    <row r="75" spans="5:5" s="1" customFormat="1">
      <c r="E75" s="148"/>
    </row>
    <row r="76" spans="5:5" s="1" customFormat="1">
      <c r="E76" s="148"/>
    </row>
    <row r="77" spans="5:5" s="1" customFormat="1">
      <c r="E77" s="148"/>
    </row>
    <row r="78" spans="5:5" s="1" customFormat="1">
      <c r="E78" s="148"/>
    </row>
    <row r="79" spans="5:5" s="1" customFormat="1">
      <c r="E79" s="148"/>
    </row>
    <row r="80" spans="5:5" s="1" customFormat="1">
      <c r="E80" s="148"/>
    </row>
    <row r="81" spans="5:5" s="1" customFormat="1">
      <c r="E81" s="148"/>
    </row>
    <row r="82" spans="5:5" s="1" customFormat="1">
      <c r="E82" s="148"/>
    </row>
    <row r="83" spans="5:5" s="1" customFormat="1">
      <c r="E83" s="148"/>
    </row>
    <row r="84" spans="5:5" s="1" customFormat="1">
      <c r="E84" s="148"/>
    </row>
    <row r="85" spans="5:5" s="1" customFormat="1">
      <c r="E85" s="148"/>
    </row>
    <row r="86" spans="5:5" s="1" customFormat="1">
      <c r="E86" s="148"/>
    </row>
    <row r="87" spans="5:5" s="1" customFormat="1">
      <c r="E87" s="148"/>
    </row>
    <row r="88" spans="5:5" s="1" customFormat="1">
      <c r="E88" s="148"/>
    </row>
    <row r="89" spans="5:5" s="1" customFormat="1">
      <c r="E89" s="148"/>
    </row>
    <row r="90" spans="5:5" s="1" customFormat="1">
      <c r="E90" s="148"/>
    </row>
    <row r="91" spans="5:5" s="1" customFormat="1">
      <c r="E91" s="148"/>
    </row>
    <row r="92" spans="5:5" s="1" customFormat="1">
      <c r="E92" s="148"/>
    </row>
    <row r="93" spans="5:5" s="1" customFormat="1">
      <c r="E93" s="148"/>
    </row>
    <row r="94" spans="5:5" s="1" customFormat="1">
      <c r="E94" s="148"/>
    </row>
    <row r="95" spans="5:5" s="1" customFormat="1">
      <c r="E95" s="148"/>
    </row>
    <row r="96" spans="5:5" s="1" customFormat="1">
      <c r="E96" s="148"/>
    </row>
    <row r="97" spans="5:5" s="1" customFormat="1">
      <c r="E97" s="148"/>
    </row>
    <row r="98" spans="5:5" s="1" customFormat="1">
      <c r="E98" s="148"/>
    </row>
    <row r="99" spans="5:5" s="1" customFormat="1">
      <c r="E99" s="148"/>
    </row>
    <row r="100" spans="5:5" s="1" customFormat="1">
      <c r="E100" s="148"/>
    </row>
    <row r="101" spans="5:5" s="1" customFormat="1">
      <c r="E101" s="148"/>
    </row>
    <row r="102" spans="5:5" s="1" customFormat="1">
      <c r="E102" s="148"/>
    </row>
    <row r="103" spans="5:5" s="1" customFormat="1">
      <c r="E103" s="148"/>
    </row>
    <row r="104" spans="5:5" s="1" customFormat="1">
      <c r="E104" s="148"/>
    </row>
    <row r="105" spans="5:5" s="1" customFormat="1">
      <c r="E105" s="148"/>
    </row>
    <row r="106" spans="5:5" s="1" customFormat="1">
      <c r="E106" s="148"/>
    </row>
    <row r="107" spans="5:5" s="1" customFormat="1">
      <c r="E107" s="148"/>
    </row>
    <row r="108" spans="5:5" s="1" customFormat="1">
      <c r="E108" s="148"/>
    </row>
    <row r="109" spans="5:5" s="1" customFormat="1">
      <c r="E109" s="148"/>
    </row>
    <row r="110" spans="5:5" s="1" customFormat="1">
      <c r="E110" s="148"/>
    </row>
    <row r="111" spans="5:5" s="1" customFormat="1">
      <c r="E111" s="148"/>
    </row>
    <row r="112" spans="5:5" s="1" customFormat="1">
      <c r="E112" s="148"/>
    </row>
    <row r="113" spans="5:5" s="1" customFormat="1">
      <c r="E113" s="148"/>
    </row>
    <row r="114" spans="5:5" s="1" customFormat="1">
      <c r="E114" s="148"/>
    </row>
    <row r="115" spans="5:5" s="1" customFormat="1">
      <c r="E115" s="148"/>
    </row>
    <row r="116" spans="5:5" s="1" customFormat="1">
      <c r="E116" s="148"/>
    </row>
    <row r="117" spans="5:5" s="1" customFormat="1">
      <c r="E117" s="148"/>
    </row>
    <row r="118" spans="5:5" s="1" customFormat="1">
      <c r="E118" s="148"/>
    </row>
    <row r="119" spans="5:5" s="1" customFormat="1">
      <c r="E119" s="148"/>
    </row>
  </sheetData>
  <protectedRanges>
    <protectedRange sqref="C2:G8" name="Intervalo2_1"/>
    <protectedRange sqref="B2:B8" name="Intervalo2"/>
    <protectedRange sqref="A2:A8" name="Intervalo2_2"/>
  </protectedRanges>
  <pageMargins left="0.511811024" right="0.511811024" top="0.78740157499999996" bottom="0.78740157499999996" header="0.31496062000000002" footer="0.31496062000000002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"/>
  <sheetViews>
    <sheetView zoomScaleNormal="100" workbookViewId="0">
      <selection activeCell="A12" sqref="A12"/>
    </sheetView>
  </sheetViews>
  <sheetFormatPr defaultRowHeight="15"/>
  <cols>
    <col min="1" max="1" width="24.7109375" style="2" customWidth="1"/>
    <col min="2" max="2" width="67.85546875" style="384" customWidth="1"/>
    <col min="3" max="3" width="23" style="2" customWidth="1"/>
    <col min="4" max="4" width="62.28515625" style="2" customWidth="1"/>
    <col min="5" max="5" width="70.85546875" style="2" customWidth="1"/>
    <col min="6" max="6" width="14.5703125" style="2" customWidth="1"/>
    <col min="7" max="7" width="15.140625" style="2" customWidth="1"/>
    <col min="8" max="8" width="13.28515625" style="2" customWidth="1"/>
    <col min="9" max="9" width="83.5703125" style="2" customWidth="1"/>
    <col min="10" max="10" width="28.5703125" style="2" bestFit="1" customWidth="1"/>
    <col min="11" max="11" width="11.5703125" style="2" bestFit="1" customWidth="1"/>
    <col min="12" max="259" width="9.140625" style="2"/>
    <col min="260" max="261" width="14.28515625" style="2" customWidth="1"/>
    <col min="262" max="262" width="20.7109375" style="2" customWidth="1"/>
    <col min="263" max="263" width="50.7109375" style="2" customWidth="1"/>
    <col min="264" max="264" width="18.42578125" style="2" bestFit="1" customWidth="1"/>
    <col min="265" max="265" width="14.28515625" style="2" bestFit="1" customWidth="1"/>
    <col min="266" max="266" width="28.5703125" style="2" bestFit="1" customWidth="1"/>
    <col min="267" max="267" width="11.5703125" style="2" bestFit="1" customWidth="1"/>
    <col min="268" max="515" width="9.140625" style="2"/>
    <col min="516" max="517" width="14.28515625" style="2" customWidth="1"/>
    <col min="518" max="518" width="20.7109375" style="2" customWidth="1"/>
    <col min="519" max="519" width="50.7109375" style="2" customWidth="1"/>
    <col min="520" max="520" width="18.42578125" style="2" bestFit="1" customWidth="1"/>
    <col min="521" max="521" width="14.28515625" style="2" bestFit="1" customWidth="1"/>
    <col min="522" max="522" width="28.5703125" style="2" bestFit="1" customWidth="1"/>
    <col min="523" max="523" width="11.5703125" style="2" bestFit="1" customWidth="1"/>
    <col min="524" max="771" width="9.140625" style="2"/>
    <col min="772" max="773" width="14.28515625" style="2" customWidth="1"/>
    <col min="774" max="774" width="20.7109375" style="2" customWidth="1"/>
    <col min="775" max="775" width="50.7109375" style="2" customWidth="1"/>
    <col min="776" max="776" width="18.42578125" style="2" bestFit="1" customWidth="1"/>
    <col min="777" max="777" width="14.28515625" style="2" bestFit="1" customWidth="1"/>
    <col min="778" max="778" width="28.5703125" style="2" bestFit="1" customWidth="1"/>
    <col min="779" max="779" width="11.5703125" style="2" bestFit="1" customWidth="1"/>
    <col min="780" max="1027" width="9.140625" style="2"/>
    <col min="1028" max="1029" width="14.28515625" style="2" customWidth="1"/>
    <col min="1030" max="1030" width="20.7109375" style="2" customWidth="1"/>
    <col min="1031" max="1031" width="50.7109375" style="2" customWidth="1"/>
    <col min="1032" max="1032" width="18.42578125" style="2" bestFit="1" customWidth="1"/>
    <col min="1033" max="1033" width="14.28515625" style="2" bestFit="1" customWidth="1"/>
    <col min="1034" max="1034" width="28.5703125" style="2" bestFit="1" customWidth="1"/>
    <col min="1035" max="1035" width="11.5703125" style="2" bestFit="1" customWidth="1"/>
    <col min="1036" max="1283" width="9.140625" style="2"/>
    <col min="1284" max="1285" width="14.28515625" style="2" customWidth="1"/>
    <col min="1286" max="1286" width="20.7109375" style="2" customWidth="1"/>
    <col min="1287" max="1287" width="50.7109375" style="2" customWidth="1"/>
    <col min="1288" max="1288" width="18.42578125" style="2" bestFit="1" customWidth="1"/>
    <col min="1289" max="1289" width="14.28515625" style="2" bestFit="1" customWidth="1"/>
    <col min="1290" max="1290" width="28.5703125" style="2" bestFit="1" customWidth="1"/>
    <col min="1291" max="1291" width="11.5703125" style="2" bestFit="1" customWidth="1"/>
    <col min="1292" max="1539" width="9.140625" style="2"/>
    <col min="1540" max="1541" width="14.28515625" style="2" customWidth="1"/>
    <col min="1542" max="1542" width="20.7109375" style="2" customWidth="1"/>
    <col min="1543" max="1543" width="50.7109375" style="2" customWidth="1"/>
    <col min="1544" max="1544" width="18.42578125" style="2" bestFit="1" customWidth="1"/>
    <col min="1545" max="1545" width="14.28515625" style="2" bestFit="1" customWidth="1"/>
    <col min="1546" max="1546" width="28.5703125" style="2" bestFit="1" customWidth="1"/>
    <col min="1547" max="1547" width="11.5703125" style="2" bestFit="1" customWidth="1"/>
    <col min="1548" max="1795" width="9.140625" style="2"/>
    <col min="1796" max="1797" width="14.28515625" style="2" customWidth="1"/>
    <col min="1798" max="1798" width="20.7109375" style="2" customWidth="1"/>
    <col min="1799" max="1799" width="50.7109375" style="2" customWidth="1"/>
    <col min="1800" max="1800" width="18.42578125" style="2" bestFit="1" customWidth="1"/>
    <col min="1801" max="1801" width="14.28515625" style="2" bestFit="1" customWidth="1"/>
    <col min="1802" max="1802" width="28.5703125" style="2" bestFit="1" customWidth="1"/>
    <col min="1803" max="1803" width="11.5703125" style="2" bestFit="1" customWidth="1"/>
    <col min="1804" max="2051" width="9.140625" style="2"/>
    <col min="2052" max="2053" width="14.28515625" style="2" customWidth="1"/>
    <col min="2054" max="2054" width="20.7109375" style="2" customWidth="1"/>
    <col min="2055" max="2055" width="50.7109375" style="2" customWidth="1"/>
    <col min="2056" max="2056" width="18.42578125" style="2" bestFit="1" customWidth="1"/>
    <col min="2057" max="2057" width="14.28515625" style="2" bestFit="1" customWidth="1"/>
    <col min="2058" max="2058" width="28.5703125" style="2" bestFit="1" customWidth="1"/>
    <col min="2059" max="2059" width="11.5703125" style="2" bestFit="1" customWidth="1"/>
    <col min="2060" max="2307" width="9.140625" style="2"/>
    <col min="2308" max="2309" width="14.28515625" style="2" customWidth="1"/>
    <col min="2310" max="2310" width="20.7109375" style="2" customWidth="1"/>
    <col min="2311" max="2311" width="50.7109375" style="2" customWidth="1"/>
    <col min="2312" max="2312" width="18.42578125" style="2" bestFit="1" customWidth="1"/>
    <col min="2313" max="2313" width="14.28515625" style="2" bestFit="1" customWidth="1"/>
    <col min="2314" max="2314" width="28.5703125" style="2" bestFit="1" customWidth="1"/>
    <col min="2315" max="2315" width="11.5703125" style="2" bestFit="1" customWidth="1"/>
    <col min="2316" max="2563" width="9.140625" style="2"/>
    <col min="2564" max="2565" width="14.28515625" style="2" customWidth="1"/>
    <col min="2566" max="2566" width="20.7109375" style="2" customWidth="1"/>
    <col min="2567" max="2567" width="50.7109375" style="2" customWidth="1"/>
    <col min="2568" max="2568" width="18.42578125" style="2" bestFit="1" customWidth="1"/>
    <col min="2569" max="2569" width="14.28515625" style="2" bestFit="1" customWidth="1"/>
    <col min="2570" max="2570" width="28.5703125" style="2" bestFit="1" customWidth="1"/>
    <col min="2571" max="2571" width="11.5703125" style="2" bestFit="1" customWidth="1"/>
    <col min="2572" max="2819" width="9.140625" style="2"/>
    <col min="2820" max="2821" width="14.28515625" style="2" customWidth="1"/>
    <col min="2822" max="2822" width="20.7109375" style="2" customWidth="1"/>
    <col min="2823" max="2823" width="50.7109375" style="2" customWidth="1"/>
    <col min="2824" max="2824" width="18.42578125" style="2" bestFit="1" customWidth="1"/>
    <col min="2825" max="2825" width="14.28515625" style="2" bestFit="1" customWidth="1"/>
    <col min="2826" max="2826" width="28.5703125" style="2" bestFit="1" customWidth="1"/>
    <col min="2827" max="2827" width="11.5703125" style="2" bestFit="1" customWidth="1"/>
    <col min="2828" max="3075" width="9.140625" style="2"/>
    <col min="3076" max="3077" width="14.28515625" style="2" customWidth="1"/>
    <col min="3078" max="3078" width="20.7109375" style="2" customWidth="1"/>
    <col min="3079" max="3079" width="50.7109375" style="2" customWidth="1"/>
    <col min="3080" max="3080" width="18.42578125" style="2" bestFit="1" customWidth="1"/>
    <col min="3081" max="3081" width="14.28515625" style="2" bestFit="1" customWidth="1"/>
    <col min="3082" max="3082" width="28.5703125" style="2" bestFit="1" customWidth="1"/>
    <col min="3083" max="3083" width="11.5703125" style="2" bestFit="1" customWidth="1"/>
    <col min="3084" max="3331" width="9.140625" style="2"/>
    <col min="3332" max="3333" width="14.28515625" style="2" customWidth="1"/>
    <col min="3334" max="3334" width="20.7109375" style="2" customWidth="1"/>
    <col min="3335" max="3335" width="50.7109375" style="2" customWidth="1"/>
    <col min="3336" max="3336" width="18.42578125" style="2" bestFit="1" customWidth="1"/>
    <col min="3337" max="3337" width="14.28515625" style="2" bestFit="1" customWidth="1"/>
    <col min="3338" max="3338" width="28.5703125" style="2" bestFit="1" customWidth="1"/>
    <col min="3339" max="3339" width="11.5703125" style="2" bestFit="1" customWidth="1"/>
    <col min="3340" max="3587" width="9.140625" style="2"/>
    <col min="3588" max="3589" width="14.28515625" style="2" customWidth="1"/>
    <col min="3590" max="3590" width="20.7109375" style="2" customWidth="1"/>
    <col min="3591" max="3591" width="50.7109375" style="2" customWidth="1"/>
    <col min="3592" max="3592" width="18.42578125" style="2" bestFit="1" customWidth="1"/>
    <col min="3593" max="3593" width="14.28515625" style="2" bestFit="1" customWidth="1"/>
    <col min="3594" max="3594" width="28.5703125" style="2" bestFit="1" customWidth="1"/>
    <col min="3595" max="3595" width="11.5703125" style="2" bestFit="1" customWidth="1"/>
    <col min="3596" max="3843" width="9.140625" style="2"/>
    <col min="3844" max="3845" width="14.28515625" style="2" customWidth="1"/>
    <col min="3846" max="3846" width="20.7109375" style="2" customWidth="1"/>
    <col min="3847" max="3847" width="50.7109375" style="2" customWidth="1"/>
    <col min="3848" max="3848" width="18.42578125" style="2" bestFit="1" customWidth="1"/>
    <col min="3849" max="3849" width="14.28515625" style="2" bestFit="1" customWidth="1"/>
    <col min="3850" max="3850" width="28.5703125" style="2" bestFit="1" customWidth="1"/>
    <col min="3851" max="3851" width="11.5703125" style="2" bestFit="1" customWidth="1"/>
    <col min="3852" max="4099" width="9.140625" style="2"/>
    <col min="4100" max="4101" width="14.28515625" style="2" customWidth="1"/>
    <col min="4102" max="4102" width="20.7109375" style="2" customWidth="1"/>
    <col min="4103" max="4103" width="50.7109375" style="2" customWidth="1"/>
    <col min="4104" max="4104" width="18.42578125" style="2" bestFit="1" customWidth="1"/>
    <col min="4105" max="4105" width="14.28515625" style="2" bestFit="1" customWidth="1"/>
    <col min="4106" max="4106" width="28.5703125" style="2" bestFit="1" customWidth="1"/>
    <col min="4107" max="4107" width="11.5703125" style="2" bestFit="1" customWidth="1"/>
    <col min="4108" max="4355" width="9.140625" style="2"/>
    <col min="4356" max="4357" width="14.28515625" style="2" customWidth="1"/>
    <col min="4358" max="4358" width="20.7109375" style="2" customWidth="1"/>
    <col min="4359" max="4359" width="50.7109375" style="2" customWidth="1"/>
    <col min="4360" max="4360" width="18.42578125" style="2" bestFit="1" customWidth="1"/>
    <col min="4361" max="4361" width="14.28515625" style="2" bestFit="1" customWidth="1"/>
    <col min="4362" max="4362" width="28.5703125" style="2" bestFit="1" customWidth="1"/>
    <col min="4363" max="4363" width="11.5703125" style="2" bestFit="1" customWidth="1"/>
    <col min="4364" max="4611" width="9.140625" style="2"/>
    <col min="4612" max="4613" width="14.28515625" style="2" customWidth="1"/>
    <col min="4614" max="4614" width="20.7109375" style="2" customWidth="1"/>
    <col min="4615" max="4615" width="50.7109375" style="2" customWidth="1"/>
    <col min="4616" max="4616" width="18.42578125" style="2" bestFit="1" customWidth="1"/>
    <col min="4617" max="4617" width="14.28515625" style="2" bestFit="1" customWidth="1"/>
    <col min="4618" max="4618" width="28.5703125" style="2" bestFit="1" customWidth="1"/>
    <col min="4619" max="4619" width="11.5703125" style="2" bestFit="1" customWidth="1"/>
    <col min="4620" max="4867" width="9.140625" style="2"/>
    <col min="4868" max="4869" width="14.28515625" style="2" customWidth="1"/>
    <col min="4870" max="4870" width="20.7109375" style="2" customWidth="1"/>
    <col min="4871" max="4871" width="50.7109375" style="2" customWidth="1"/>
    <col min="4872" max="4872" width="18.42578125" style="2" bestFit="1" customWidth="1"/>
    <col min="4873" max="4873" width="14.28515625" style="2" bestFit="1" customWidth="1"/>
    <col min="4874" max="4874" width="28.5703125" style="2" bestFit="1" customWidth="1"/>
    <col min="4875" max="4875" width="11.5703125" style="2" bestFit="1" customWidth="1"/>
    <col min="4876" max="5123" width="9.140625" style="2"/>
    <col min="5124" max="5125" width="14.28515625" style="2" customWidth="1"/>
    <col min="5126" max="5126" width="20.7109375" style="2" customWidth="1"/>
    <col min="5127" max="5127" width="50.7109375" style="2" customWidth="1"/>
    <col min="5128" max="5128" width="18.42578125" style="2" bestFit="1" customWidth="1"/>
    <col min="5129" max="5129" width="14.28515625" style="2" bestFit="1" customWidth="1"/>
    <col min="5130" max="5130" width="28.5703125" style="2" bestFit="1" customWidth="1"/>
    <col min="5131" max="5131" width="11.5703125" style="2" bestFit="1" customWidth="1"/>
    <col min="5132" max="5379" width="9.140625" style="2"/>
    <col min="5380" max="5381" width="14.28515625" style="2" customWidth="1"/>
    <col min="5382" max="5382" width="20.7109375" style="2" customWidth="1"/>
    <col min="5383" max="5383" width="50.7109375" style="2" customWidth="1"/>
    <col min="5384" max="5384" width="18.42578125" style="2" bestFit="1" customWidth="1"/>
    <col min="5385" max="5385" width="14.28515625" style="2" bestFit="1" customWidth="1"/>
    <col min="5386" max="5386" width="28.5703125" style="2" bestFit="1" customWidth="1"/>
    <col min="5387" max="5387" width="11.5703125" style="2" bestFit="1" customWidth="1"/>
    <col min="5388" max="5635" width="9.140625" style="2"/>
    <col min="5636" max="5637" width="14.28515625" style="2" customWidth="1"/>
    <col min="5638" max="5638" width="20.7109375" style="2" customWidth="1"/>
    <col min="5639" max="5639" width="50.7109375" style="2" customWidth="1"/>
    <col min="5640" max="5640" width="18.42578125" style="2" bestFit="1" customWidth="1"/>
    <col min="5641" max="5641" width="14.28515625" style="2" bestFit="1" customWidth="1"/>
    <col min="5642" max="5642" width="28.5703125" style="2" bestFit="1" customWidth="1"/>
    <col min="5643" max="5643" width="11.5703125" style="2" bestFit="1" customWidth="1"/>
    <col min="5644" max="5891" width="9.140625" style="2"/>
    <col min="5892" max="5893" width="14.28515625" style="2" customWidth="1"/>
    <col min="5894" max="5894" width="20.7109375" style="2" customWidth="1"/>
    <col min="5895" max="5895" width="50.7109375" style="2" customWidth="1"/>
    <col min="5896" max="5896" width="18.42578125" style="2" bestFit="1" customWidth="1"/>
    <col min="5897" max="5897" width="14.28515625" style="2" bestFit="1" customWidth="1"/>
    <col min="5898" max="5898" width="28.5703125" style="2" bestFit="1" customWidth="1"/>
    <col min="5899" max="5899" width="11.5703125" style="2" bestFit="1" customWidth="1"/>
    <col min="5900" max="6147" width="9.140625" style="2"/>
    <col min="6148" max="6149" width="14.28515625" style="2" customWidth="1"/>
    <col min="6150" max="6150" width="20.7109375" style="2" customWidth="1"/>
    <col min="6151" max="6151" width="50.7109375" style="2" customWidth="1"/>
    <col min="6152" max="6152" width="18.42578125" style="2" bestFit="1" customWidth="1"/>
    <col min="6153" max="6153" width="14.28515625" style="2" bestFit="1" customWidth="1"/>
    <col min="6154" max="6154" width="28.5703125" style="2" bestFit="1" customWidth="1"/>
    <col min="6155" max="6155" width="11.5703125" style="2" bestFit="1" customWidth="1"/>
    <col min="6156" max="6403" width="9.140625" style="2"/>
    <col min="6404" max="6405" width="14.28515625" style="2" customWidth="1"/>
    <col min="6406" max="6406" width="20.7109375" style="2" customWidth="1"/>
    <col min="6407" max="6407" width="50.7109375" style="2" customWidth="1"/>
    <col min="6408" max="6408" width="18.42578125" style="2" bestFit="1" customWidth="1"/>
    <col min="6409" max="6409" width="14.28515625" style="2" bestFit="1" customWidth="1"/>
    <col min="6410" max="6410" width="28.5703125" style="2" bestFit="1" customWidth="1"/>
    <col min="6411" max="6411" width="11.5703125" style="2" bestFit="1" customWidth="1"/>
    <col min="6412" max="6659" width="9.140625" style="2"/>
    <col min="6660" max="6661" width="14.28515625" style="2" customWidth="1"/>
    <col min="6662" max="6662" width="20.7109375" style="2" customWidth="1"/>
    <col min="6663" max="6663" width="50.7109375" style="2" customWidth="1"/>
    <col min="6664" max="6664" width="18.42578125" style="2" bestFit="1" customWidth="1"/>
    <col min="6665" max="6665" width="14.28515625" style="2" bestFit="1" customWidth="1"/>
    <col min="6666" max="6666" width="28.5703125" style="2" bestFit="1" customWidth="1"/>
    <col min="6667" max="6667" width="11.5703125" style="2" bestFit="1" customWidth="1"/>
    <col min="6668" max="6915" width="9.140625" style="2"/>
    <col min="6916" max="6917" width="14.28515625" style="2" customWidth="1"/>
    <col min="6918" max="6918" width="20.7109375" style="2" customWidth="1"/>
    <col min="6919" max="6919" width="50.7109375" style="2" customWidth="1"/>
    <col min="6920" max="6920" width="18.42578125" style="2" bestFit="1" customWidth="1"/>
    <col min="6921" max="6921" width="14.28515625" style="2" bestFit="1" customWidth="1"/>
    <col min="6922" max="6922" width="28.5703125" style="2" bestFit="1" customWidth="1"/>
    <col min="6923" max="6923" width="11.5703125" style="2" bestFit="1" customWidth="1"/>
    <col min="6924" max="7171" width="9.140625" style="2"/>
    <col min="7172" max="7173" width="14.28515625" style="2" customWidth="1"/>
    <col min="7174" max="7174" width="20.7109375" style="2" customWidth="1"/>
    <col min="7175" max="7175" width="50.7109375" style="2" customWidth="1"/>
    <col min="7176" max="7176" width="18.42578125" style="2" bestFit="1" customWidth="1"/>
    <col min="7177" max="7177" width="14.28515625" style="2" bestFit="1" customWidth="1"/>
    <col min="7178" max="7178" width="28.5703125" style="2" bestFit="1" customWidth="1"/>
    <col min="7179" max="7179" width="11.5703125" style="2" bestFit="1" customWidth="1"/>
    <col min="7180" max="7427" width="9.140625" style="2"/>
    <col min="7428" max="7429" width="14.28515625" style="2" customWidth="1"/>
    <col min="7430" max="7430" width="20.7109375" style="2" customWidth="1"/>
    <col min="7431" max="7431" width="50.7109375" style="2" customWidth="1"/>
    <col min="7432" max="7432" width="18.42578125" style="2" bestFit="1" customWidth="1"/>
    <col min="7433" max="7433" width="14.28515625" style="2" bestFit="1" customWidth="1"/>
    <col min="7434" max="7434" width="28.5703125" style="2" bestFit="1" customWidth="1"/>
    <col min="7435" max="7435" width="11.5703125" style="2" bestFit="1" customWidth="1"/>
    <col min="7436" max="7683" width="9.140625" style="2"/>
    <col min="7684" max="7685" width="14.28515625" style="2" customWidth="1"/>
    <col min="7686" max="7686" width="20.7109375" style="2" customWidth="1"/>
    <col min="7687" max="7687" width="50.7109375" style="2" customWidth="1"/>
    <col min="7688" max="7688" width="18.42578125" style="2" bestFit="1" customWidth="1"/>
    <col min="7689" max="7689" width="14.28515625" style="2" bestFit="1" customWidth="1"/>
    <col min="7690" max="7690" width="28.5703125" style="2" bestFit="1" customWidth="1"/>
    <col min="7691" max="7691" width="11.5703125" style="2" bestFit="1" customWidth="1"/>
    <col min="7692" max="7939" width="9.140625" style="2"/>
    <col min="7940" max="7941" width="14.28515625" style="2" customWidth="1"/>
    <col min="7942" max="7942" width="20.7109375" style="2" customWidth="1"/>
    <col min="7943" max="7943" width="50.7109375" style="2" customWidth="1"/>
    <col min="7944" max="7944" width="18.42578125" style="2" bestFit="1" customWidth="1"/>
    <col min="7945" max="7945" width="14.28515625" style="2" bestFit="1" customWidth="1"/>
    <col min="7946" max="7946" width="28.5703125" style="2" bestFit="1" customWidth="1"/>
    <col min="7947" max="7947" width="11.5703125" style="2" bestFit="1" customWidth="1"/>
    <col min="7948" max="8195" width="9.140625" style="2"/>
    <col min="8196" max="8197" width="14.28515625" style="2" customWidth="1"/>
    <col min="8198" max="8198" width="20.7109375" style="2" customWidth="1"/>
    <col min="8199" max="8199" width="50.7109375" style="2" customWidth="1"/>
    <col min="8200" max="8200" width="18.42578125" style="2" bestFit="1" customWidth="1"/>
    <col min="8201" max="8201" width="14.28515625" style="2" bestFit="1" customWidth="1"/>
    <col min="8202" max="8202" width="28.5703125" style="2" bestFit="1" customWidth="1"/>
    <col min="8203" max="8203" width="11.5703125" style="2" bestFit="1" customWidth="1"/>
    <col min="8204" max="8451" width="9.140625" style="2"/>
    <col min="8452" max="8453" width="14.28515625" style="2" customWidth="1"/>
    <col min="8454" max="8454" width="20.7109375" style="2" customWidth="1"/>
    <col min="8455" max="8455" width="50.7109375" style="2" customWidth="1"/>
    <col min="8456" max="8456" width="18.42578125" style="2" bestFit="1" customWidth="1"/>
    <col min="8457" max="8457" width="14.28515625" style="2" bestFit="1" customWidth="1"/>
    <col min="8458" max="8458" width="28.5703125" style="2" bestFit="1" customWidth="1"/>
    <col min="8459" max="8459" width="11.5703125" style="2" bestFit="1" customWidth="1"/>
    <col min="8460" max="8707" width="9.140625" style="2"/>
    <col min="8708" max="8709" width="14.28515625" style="2" customWidth="1"/>
    <col min="8710" max="8710" width="20.7109375" style="2" customWidth="1"/>
    <col min="8711" max="8711" width="50.7109375" style="2" customWidth="1"/>
    <col min="8712" max="8712" width="18.42578125" style="2" bestFit="1" customWidth="1"/>
    <col min="8713" max="8713" width="14.28515625" style="2" bestFit="1" customWidth="1"/>
    <col min="8714" max="8714" width="28.5703125" style="2" bestFit="1" customWidth="1"/>
    <col min="8715" max="8715" width="11.5703125" style="2" bestFit="1" customWidth="1"/>
    <col min="8716" max="8963" width="9.140625" style="2"/>
    <col min="8964" max="8965" width="14.28515625" style="2" customWidth="1"/>
    <col min="8966" max="8966" width="20.7109375" style="2" customWidth="1"/>
    <col min="8967" max="8967" width="50.7109375" style="2" customWidth="1"/>
    <col min="8968" max="8968" width="18.42578125" style="2" bestFit="1" customWidth="1"/>
    <col min="8969" max="8969" width="14.28515625" style="2" bestFit="1" customWidth="1"/>
    <col min="8970" max="8970" width="28.5703125" style="2" bestFit="1" customWidth="1"/>
    <col min="8971" max="8971" width="11.5703125" style="2" bestFit="1" customWidth="1"/>
    <col min="8972" max="9219" width="9.140625" style="2"/>
    <col min="9220" max="9221" width="14.28515625" style="2" customWidth="1"/>
    <col min="9222" max="9222" width="20.7109375" style="2" customWidth="1"/>
    <col min="9223" max="9223" width="50.7109375" style="2" customWidth="1"/>
    <col min="9224" max="9224" width="18.42578125" style="2" bestFit="1" customWidth="1"/>
    <col min="9225" max="9225" width="14.28515625" style="2" bestFit="1" customWidth="1"/>
    <col min="9226" max="9226" width="28.5703125" style="2" bestFit="1" customWidth="1"/>
    <col min="9227" max="9227" width="11.5703125" style="2" bestFit="1" customWidth="1"/>
    <col min="9228" max="9475" width="9.140625" style="2"/>
    <col min="9476" max="9477" width="14.28515625" style="2" customWidth="1"/>
    <col min="9478" max="9478" width="20.7109375" style="2" customWidth="1"/>
    <col min="9479" max="9479" width="50.7109375" style="2" customWidth="1"/>
    <col min="9480" max="9480" width="18.42578125" style="2" bestFit="1" customWidth="1"/>
    <col min="9481" max="9481" width="14.28515625" style="2" bestFit="1" customWidth="1"/>
    <col min="9482" max="9482" width="28.5703125" style="2" bestFit="1" customWidth="1"/>
    <col min="9483" max="9483" width="11.5703125" style="2" bestFit="1" customWidth="1"/>
    <col min="9484" max="9731" width="9.140625" style="2"/>
    <col min="9732" max="9733" width="14.28515625" style="2" customWidth="1"/>
    <col min="9734" max="9734" width="20.7109375" style="2" customWidth="1"/>
    <col min="9735" max="9735" width="50.7109375" style="2" customWidth="1"/>
    <col min="9736" max="9736" width="18.42578125" style="2" bestFit="1" customWidth="1"/>
    <col min="9737" max="9737" width="14.28515625" style="2" bestFit="1" customWidth="1"/>
    <col min="9738" max="9738" width="28.5703125" style="2" bestFit="1" customWidth="1"/>
    <col min="9739" max="9739" width="11.5703125" style="2" bestFit="1" customWidth="1"/>
    <col min="9740" max="9987" width="9.140625" style="2"/>
    <col min="9988" max="9989" width="14.28515625" style="2" customWidth="1"/>
    <col min="9990" max="9990" width="20.7109375" style="2" customWidth="1"/>
    <col min="9991" max="9991" width="50.7109375" style="2" customWidth="1"/>
    <col min="9992" max="9992" width="18.42578125" style="2" bestFit="1" customWidth="1"/>
    <col min="9993" max="9993" width="14.28515625" style="2" bestFit="1" customWidth="1"/>
    <col min="9994" max="9994" width="28.5703125" style="2" bestFit="1" customWidth="1"/>
    <col min="9995" max="9995" width="11.5703125" style="2" bestFit="1" customWidth="1"/>
    <col min="9996" max="10243" width="9.140625" style="2"/>
    <col min="10244" max="10245" width="14.28515625" style="2" customWidth="1"/>
    <col min="10246" max="10246" width="20.7109375" style="2" customWidth="1"/>
    <col min="10247" max="10247" width="50.7109375" style="2" customWidth="1"/>
    <col min="10248" max="10248" width="18.42578125" style="2" bestFit="1" customWidth="1"/>
    <col min="10249" max="10249" width="14.28515625" style="2" bestFit="1" customWidth="1"/>
    <col min="10250" max="10250" width="28.5703125" style="2" bestFit="1" customWidth="1"/>
    <col min="10251" max="10251" width="11.5703125" style="2" bestFit="1" customWidth="1"/>
    <col min="10252" max="10499" width="9.140625" style="2"/>
    <col min="10500" max="10501" width="14.28515625" style="2" customWidth="1"/>
    <col min="10502" max="10502" width="20.7109375" style="2" customWidth="1"/>
    <col min="10503" max="10503" width="50.7109375" style="2" customWidth="1"/>
    <col min="10504" max="10504" width="18.42578125" style="2" bestFit="1" customWidth="1"/>
    <col min="10505" max="10505" width="14.28515625" style="2" bestFit="1" customWidth="1"/>
    <col min="10506" max="10506" width="28.5703125" style="2" bestFit="1" customWidth="1"/>
    <col min="10507" max="10507" width="11.5703125" style="2" bestFit="1" customWidth="1"/>
    <col min="10508" max="10755" width="9.140625" style="2"/>
    <col min="10756" max="10757" width="14.28515625" style="2" customWidth="1"/>
    <col min="10758" max="10758" width="20.7109375" style="2" customWidth="1"/>
    <col min="10759" max="10759" width="50.7109375" style="2" customWidth="1"/>
    <col min="10760" max="10760" width="18.42578125" style="2" bestFit="1" customWidth="1"/>
    <col min="10761" max="10761" width="14.28515625" style="2" bestFit="1" customWidth="1"/>
    <col min="10762" max="10762" width="28.5703125" style="2" bestFit="1" customWidth="1"/>
    <col min="10763" max="10763" width="11.5703125" style="2" bestFit="1" customWidth="1"/>
    <col min="10764" max="11011" width="9.140625" style="2"/>
    <col min="11012" max="11013" width="14.28515625" style="2" customWidth="1"/>
    <col min="11014" max="11014" width="20.7109375" style="2" customWidth="1"/>
    <col min="11015" max="11015" width="50.7109375" style="2" customWidth="1"/>
    <col min="11016" max="11016" width="18.42578125" style="2" bestFit="1" customWidth="1"/>
    <col min="11017" max="11017" width="14.28515625" style="2" bestFit="1" customWidth="1"/>
    <col min="11018" max="11018" width="28.5703125" style="2" bestFit="1" customWidth="1"/>
    <col min="11019" max="11019" width="11.5703125" style="2" bestFit="1" customWidth="1"/>
    <col min="11020" max="11267" width="9.140625" style="2"/>
    <col min="11268" max="11269" width="14.28515625" style="2" customWidth="1"/>
    <col min="11270" max="11270" width="20.7109375" style="2" customWidth="1"/>
    <col min="11271" max="11271" width="50.7109375" style="2" customWidth="1"/>
    <col min="11272" max="11272" width="18.42578125" style="2" bestFit="1" customWidth="1"/>
    <col min="11273" max="11273" width="14.28515625" style="2" bestFit="1" customWidth="1"/>
    <col min="11274" max="11274" width="28.5703125" style="2" bestFit="1" customWidth="1"/>
    <col min="11275" max="11275" width="11.5703125" style="2" bestFit="1" customWidth="1"/>
    <col min="11276" max="11523" width="9.140625" style="2"/>
    <col min="11524" max="11525" width="14.28515625" style="2" customWidth="1"/>
    <col min="11526" max="11526" width="20.7109375" style="2" customWidth="1"/>
    <col min="11527" max="11527" width="50.7109375" style="2" customWidth="1"/>
    <col min="11528" max="11528" width="18.42578125" style="2" bestFit="1" customWidth="1"/>
    <col min="11529" max="11529" width="14.28515625" style="2" bestFit="1" customWidth="1"/>
    <col min="11530" max="11530" width="28.5703125" style="2" bestFit="1" customWidth="1"/>
    <col min="11531" max="11531" width="11.5703125" style="2" bestFit="1" customWidth="1"/>
    <col min="11532" max="11779" width="9.140625" style="2"/>
    <col min="11780" max="11781" width="14.28515625" style="2" customWidth="1"/>
    <col min="11782" max="11782" width="20.7109375" style="2" customWidth="1"/>
    <col min="11783" max="11783" width="50.7109375" style="2" customWidth="1"/>
    <col min="11784" max="11784" width="18.42578125" style="2" bestFit="1" customWidth="1"/>
    <col min="11785" max="11785" width="14.28515625" style="2" bestFit="1" customWidth="1"/>
    <col min="11786" max="11786" width="28.5703125" style="2" bestFit="1" customWidth="1"/>
    <col min="11787" max="11787" width="11.5703125" style="2" bestFit="1" customWidth="1"/>
    <col min="11788" max="12035" width="9.140625" style="2"/>
    <col min="12036" max="12037" width="14.28515625" style="2" customWidth="1"/>
    <col min="12038" max="12038" width="20.7109375" style="2" customWidth="1"/>
    <col min="12039" max="12039" width="50.7109375" style="2" customWidth="1"/>
    <col min="12040" max="12040" width="18.42578125" style="2" bestFit="1" customWidth="1"/>
    <col min="12041" max="12041" width="14.28515625" style="2" bestFit="1" customWidth="1"/>
    <col min="12042" max="12042" width="28.5703125" style="2" bestFit="1" customWidth="1"/>
    <col min="12043" max="12043" width="11.5703125" style="2" bestFit="1" customWidth="1"/>
    <col min="12044" max="12291" width="9.140625" style="2"/>
    <col min="12292" max="12293" width="14.28515625" style="2" customWidth="1"/>
    <col min="12294" max="12294" width="20.7109375" style="2" customWidth="1"/>
    <col min="12295" max="12295" width="50.7109375" style="2" customWidth="1"/>
    <col min="12296" max="12296" width="18.42578125" style="2" bestFit="1" customWidth="1"/>
    <col min="12297" max="12297" width="14.28515625" style="2" bestFit="1" customWidth="1"/>
    <col min="12298" max="12298" width="28.5703125" style="2" bestFit="1" customWidth="1"/>
    <col min="12299" max="12299" width="11.5703125" style="2" bestFit="1" customWidth="1"/>
    <col min="12300" max="12547" width="9.140625" style="2"/>
    <col min="12548" max="12549" width="14.28515625" style="2" customWidth="1"/>
    <col min="12550" max="12550" width="20.7109375" style="2" customWidth="1"/>
    <col min="12551" max="12551" width="50.7109375" style="2" customWidth="1"/>
    <col min="12552" max="12552" width="18.42578125" style="2" bestFit="1" customWidth="1"/>
    <col min="12553" max="12553" width="14.28515625" style="2" bestFit="1" customWidth="1"/>
    <col min="12554" max="12554" width="28.5703125" style="2" bestFit="1" customWidth="1"/>
    <col min="12555" max="12555" width="11.5703125" style="2" bestFit="1" customWidth="1"/>
    <col min="12556" max="12803" width="9.140625" style="2"/>
    <col min="12804" max="12805" width="14.28515625" style="2" customWidth="1"/>
    <col min="12806" max="12806" width="20.7109375" style="2" customWidth="1"/>
    <col min="12807" max="12807" width="50.7109375" style="2" customWidth="1"/>
    <col min="12808" max="12808" width="18.42578125" style="2" bestFit="1" customWidth="1"/>
    <col min="12809" max="12809" width="14.28515625" style="2" bestFit="1" customWidth="1"/>
    <col min="12810" max="12810" width="28.5703125" style="2" bestFit="1" customWidth="1"/>
    <col min="12811" max="12811" width="11.5703125" style="2" bestFit="1" customWidth="1"/>
    <col min="12812" max="13059" width="9.140625" style="2"/>
    <col min="13060" max="13061" width="14.28515625" style="2" customWidth="1"/>
    <col min="13062" max="13062" width="20.7109375" style="2" customWidth="1"/>
    <col min="13063" max="13063" width="50.7109375" style="2" customWidth="1"/>
    <col min="13064" max="13064" width="18.42578125" style="2" bestFit="1" customWidth="1"/>
    <col min="13065" max="13065" width="14.28515625" style="2" bestFit="1" customWidth="1"/>
    <col min="13066" max="13066" width="28.5703125" style="2" bestFit="1" customWidth="1"/>
    <col min="13067" max="13067" width="11.5703125" style="2" bestFit="1" customWidth="1"/>
    <col min="13068" max="13315" width="9.140625" style="2"/>
    <col min="13316" max="13317" width="14.28515625" style="2" customWidth="1"/>
    <col min="13318" max="13318" width="20.7109375" style="2" customWidth="1"/>
    <col min="13319" max="13319" width="50.7109375" style="2" customWidth="1"/>
    <col min="13320" max="13320" width="18.42578125" style="2" bestFit="1" customWidth="1"/>
    <col min="13321" max="13321" width="14.28515625" style="2" bestFit="1" customWidth="1"/>
    <col min="13322" max="13322" width="28.5703125" style="2" bestFit="1" customWidth="1"/>
    <col min="13323" max="13323" width="11.5703125" style="2" bestFit="1" customWidth="1"/>
    <col min="13324" max="13571" width="9.140625" style="2"/>
    <col min="13572" max="13573" width="14.28515625" style="2" customWidth="1"/>
    <col min="13574" max="13574" width="20.7109375" style="2" customWidth="1"/>
    <col min="13575" max="13575" width="50.7109375" style="2" customWidth="1"/>
    <col min="13576" max="13576" width="18.42578125" style="2" bestFit="1" customWidth="1"/>
    <col min="13577" max="13577" width="14.28515625" style="2" bestFit="1" customWidth="1"/>
    <col min="13578" max="13578" width="28.5703125" style="2" bestFit="1" customWidth="1"/>
    <col min="13579" max="13579" width="11.5703125" style="2" bestFit="1" customWidth="1"/>
    <col min="13580" max="13827" width="9.140625" style="2"/>
    <col min="13828" max="13829" width="14.28515625" style="2" customWidth="1"/>
    <col min="13830" max="13830" width="20.7109375" style="2" customWidth="1"/>
    <col min="13831" max="13831" width="50.7109375" style="2" customWidth="1"/>
    <col min="13832" max="13832" width="18.42578125" style="2" bestFit="1" customWidth="1"/>
    <col min="13833" max="13833" width="14.28515625" style="2" bestFit="1" customWidth="1"/>
    <col min="13834" max="13834" width="28.5703125" style="2" bestFit="1" customWidth="1"/>
    <col min="13835" max="13835" width="11.5703125" style="2" bestFit="1" customWidth="1"/>
    <col min="13836" max="14083" width="9.140625" style="2"/>
    <col min="14084" max="14085" width="14.28515625" style="2" customWidth="1"/>
    <col min="14086" max="14086" width="20.7109375" style="2" customWidth="1"/>
    <col min="14087" max="14087" width="50.7109375" style="2" customWidth="1"/>
    <col min="14088" max="14088" width="18.42578125" style="2" bestFit="1" customWidth="1"/>
    <col min="14089" max="14089" width="14.28515625" style="2" bestFit="1" customWidth="1"/>
    <col min="14090" max="14090" width="28.5703125" style="2" bestFit="1" customWidth="1"/>
    <col min="14091" max="14091" width="11.5703125" style="2" bestFit="1" customWidth="1"/>
    <col min="14092" max="14339" width="9.140625" style="2"/>
    <col min="14340" max="14341" width="14.28515625" style="2" customWidth="1"/>
    <col min="14342" max="14342" width="20.7109375" style="2" customWidth="1"/>
    <col min="14343" max="14343" width="50.7109375" style="2" customWidth="1"/>
    <col min="14344" max="14344" width="18.42578125" style="2" bestFit="1" customWidth="1"/>
    <col min="14345" max="14345" width="14.28515625" style="2" bestFit="1" customWidth="1"/>
    <col min="14346" max="14346" width="28.5703125" style="2" bestFit="1" customWidth="1"/>
    <col min="14347" max="14347" width="11.5703125" style="2" bestFit="1" customWidth="1"/>
    <col min="14348" max="14595" width="9.140625" style="2"/>
    <col min="14596" max="14597" width="14.28515625" style="2" customWidth="1"/>
    <col min="14598" max="14598" width="20.7109375" style="2" customWidth="1"/>
    <col min="14599" max="14599" width="50.7109375" style="2" customWidth="1"/>
    <col min="14600" max="14600" width="18.42578125" style="2" bestFit="1" customWidth="1"/>
    <col min="14601" max="14601" width="14.28515625" style="2" bestFit="1" customWidth="1"/>
    <col min="14602" max="14602" width="28.5703125" style="2" bestFit="1" customWidth="1"/>
    <col min="14603" max="14603" width="11.5703125" style="2" bestFit="1" customWidth="1"/>
    <col min="14604" max="14851" width="9.140625" style="2"/>
    <col min="14852" max="14853" width="14.28515625" style="2" customWidth="1"/>
    <col min="14854" max="14854" width="20.7109375" style="2" customWidth="1"/>
    <col min="14855" max="14855" width="50.7109375" style="2" customWidth="1"/>
    <col min="14856" max="14856" width="18.42578125" style="2" bestFit="1" customWidth="1"/>
    <col min="14857" max="14857" width="14.28515625" style="2" bestFit="1" customWidth="1"/>
    <col min="14858" max="14858" width="28.5703125" style="2" bestFit="1" customWidth="1"/>
    <col min="14859" max="14859" width="11.5703125" style="2" bestFit="1" customWidth="1"/>
    <col min="14860" max="15107" width="9.140625" style="2"/>
    <col min="15108" max="15109" width="14.28515625" style="2" customWidth="1"/>
    <col min="15110" max="15110" width="20.7109375" style="2" customWidth="1"/>
    <col min="15111" max="15111" width="50.7109375" style="2" customWidth="1"/>
    <col min="15112" max="15112" width="18.42578125" style="2" bestFit="1" customWidth="1"/>
    <col min="15113" max="15113" width="14.28515625" style="2" bestFit="1" customWidth="1"/>
    <col min="15114" max="15114" width="28.5703125" style="2" bestFit="1" customWidth="1"/>
    <col min="15115" max="15115" width="11.5703125" style="2" bestFit="1" customWidth="1"/>
    <col min="15116" max="15363" width="9.140625" style="2"/>
    <col min="15364" max="15365" width="14.28515625" style="2" customWidth="1"/>
    <col min="15366" max="15366" width="20.7109375" style="2" customWidth="1"/>
    <col min="15367" max="15367" width="50.7109375" style="2" customWidth="1"/>
    <col min="15368" max="15368" width="18.42578125" style="2" bestFit="1" customWidth="1"/>
    <col min="15369" max="15369" width="14.28515625" style="2" bestFit="1" customWidth="1"/>
    <col min="15370" max="15370" width="28.5703125" style="2" bestFit="1" customWidth="1"/>
    <col min="15371" max="15371" width="11.5703125" style="2" bestFit="1" customWidth="1"/>
    <col min="15372" max="15619" width="9.140625" style="2"/>
    <col min="15620" max="15621" width="14.28515625" style="2" customWidth="1"/>
    <col min="15622" max="15622" width="20.7109375" style="2" customWidth="1"/>
    <col min="15623" max="15623" width="50.7109375" style="2" customWidth="1"/>
    <col min="15624" max="15624" width="18.42578125" style="2" bestFit="1" customWidth="1"/>
    <col min="15625" max="15625" width="14.28515625" style="2" bestFit="1" customWidth="1"/>
    <col min="15626" max="15626" width="28.5703125" style="2" bestFit="1" customWidth="1"/>
    <col min="15627" max="15627" width="11.5703125" style="2" bestFit="1" customWidth="1"/>
    <col min="15628" max="15875" width="9.140625" style="2"/>
    <col min="15876" max="15877" width="14.28515625" style="2" customWidth="1"/>
    <col min="15878" max="15878" width="20.7109375" style="2" customWidth="1"/>
    <col min="15879" max="15879" width="50.7109375" style="2" customWidth="1"/>
    <col min="15880" max="15880" width="18.42578125" style="2" bestFit="1" customWidth="1"/>
    <col min="15881" max="15881" width="14.28515625" style="2" bestFit="1" customWidth="1"/>
    <col min="15882" max="15882" width="28.5703125" style="2" bestFit="1" customWidth="1"/>
    <col min="15883" max="15883" width="11.5703125" style="2" bestFit="1" customWidth="1"/>
    <col min="15884" max="16131" width="9.140625" style="2"/>
    <col min="16132" max="16133" width="14.28515625" style="2" customWidth="1"/>
    <col min="16134" max="16134" width="20.7109375" style="2" customWidth="1"/>
    <col min="16135" max="16135" width="50.7109375" style="2" customWidth="1"/>
    <col min="16136" max="16136" width="18.42578125" style="2" bestFit="1" customWidth="1"/>
    <col min="16137" max="16137" width="14.28515625" style="2" bestFit="1" customWidth="1"/>
    <col min="16138" max="16138" width="28.5703125" style="2" bestFit="1" customWidth="1"/>
    <col min="16139" max="16139" width="11.5703125" style="2" bestFit="1" customWidth="1"/>
    <col min="16140" max="16384" width="9.140625" style="2"/>
  </cols>
  <sheetData>
    <row r="1" spans="1:10" ht="29.25" customHeight="1">
      <c r="A1" s="338" t="s">
        <v>234</v>
      </c>
      <c r="B1" s="338" t="s">
        <v>235</v>
      </c>
      <c r="C1" s="339" t="s">
        <v>282</v>
      </c>
      <c r="D1" s="339" t="s">
        <v>283</v>
      </c>
      <c r="E1" s="340" t="s">
        <v>284</v>
      </c>
      <c r="F1" s="339" t="s">
        <v>285</v>
      </c>
      <c r="G1" s="339" t="s">
        <v>286</v>
      </c>
      <c r="H1" s="339" t="s">
        <v>287</v>
      </c>
      <c r="I1" s="339" t="s">
        <v>288</v>
      </c>
    </row>
    <row r="2" spans="1:10">
      <c r="A2" s="285" t="s">
        <v>467</v>
      </c>
      <c r="B2" s="341" t="s">
        <v>468</v>
      </c>
      <c r="C2" s="286">
        <v>69034668000156</v>
      </c>
      <c r="D2" s="287" t="s">
        <v>737</v>
      </c>
      <c r="E2" s="287" t="s">
        <v>738</v>
      </c>
      <c r="F2" s="288">
        <v>43280</v>
      </c>
      <c r="G2" s="341"/>
      <c r="H2" s="289">
        <v>0</v>
      </c>
      <c r="I2" s="290" t="s">
        <v>739</v>
      </c>
      <c r="J2" s="134"/>
    </row>
    <row r="3" spans="1:10" s="134" customFormat="1">
      <c r="A3" s="285" t="s">
        <v>467</v>
      </c>
      <c r="B3" s="342" t="s">
        <v>468</v>
      </c>
      <c r="C3" s="291">
        <v>11844663000109</v>
      </c>
      <c r="D3" s="292" t="s">
        <v>740</v>
      </c>
      <c r="E3" s="342" t="s">
        <v>741</v>
      </c>
      <c r="F3" s="343">
        <v>43049</v>
      </c>
      <c r="G3" s="344"/>
      <c r="H3" s="345">
        <v>1400</v>
      </c>
      <c r="I3" s="293" t="s">
        <v>742</v>
      </c>
    </row>
    <row r="4" spans="1:10">
      <c r="A4" s="285" t="s">
        <v>467</v>
      </c>
      <c r="B4" s="342" t="s">
        <v>468</v>
      </c>
      <c r="C4" s="346">
        <v>33000118000179</v>
      </c>
      <c r="D4" s="292" t="s">
        <v>743</v>
      </c>
      <c r="E4" s="292" t="s">
        <v>744</v>
      </c>
      <c r="F4" s="294" t="s">
        <v>745</v>
      </c>
      <c r="G4" s="344"/>
      <c r="H4" s="295">
        <v>0</v>
      </c>
      <c r="I4" s="296" t="s">
        <v>746</v>
      </c>
      <c r="J4" s="134"/>
    </row>
    <row r="5" spans="1:10" s="134" customFormat="1">
      <c r="A5" s="285" t="s">
        <v>467</v>
      </c>
      <c r="B5" s="341" t="s">
        <v>468</v>
      </c>
      <c r="C5" s="297" t="s">
        <v>747</v>
      </c>
      <c r="D5" s="287" t="s">
        <v>748</v>
      </c>
      <c r="E5" s="341" t="s">
        <v>749</v>
      </c>
      <c r="F5" s="347">
        <v>43060</v>
      </c>
      <c r="G5" s="341"/>
      <c r="H5" s="348">
        <v>1940</v>
      </c>
      <c r="I5" s="298" t="s">
        <v>750</v>
      </c>
    </row>
    <row r="6" spans="1:10">
      <c r="A6" s="285" t="s">
        <v>467</v>
      </c>
      <c r="B6" s="341" t="s">
        <v>468</v>
      </c>
      <c r="C6" s="299">
        <v>19533734000164</v>
      </c>
      <c r="D6" s="287" t="s">
        <v>751</v>
      </c>
      <c r="E6" s="341" t="s">
        <v>752</v>
      </c>
      <c r="F6" s="347">
        <v>43041</v>
      </c>
      <c r="G6" s="341"/>
      <c r="H6" s="348">
        <v>1500</v>
      </c>
      <c r="I6" s="298" t="s">
        <v>753</v>
      </c>
      <c r="J6" s="134"/>
    </row>
    <row r="7" spans="1:10">
      <c r="A7" s="285" t="s">
        <v>467</v>
      </c>
      <c r="B7" s="341" t="s">
        <v>468</v>
      </c>
      <c r="C7" s="297" t="s">
        <v>754</v>
      </c>
      <c r="D7" s="287" t="s">
        <v>755</v>
      </c>
      <c r="E7" s="341" t="s">
        <v>756</v>
      </c>
      <c r="F7" s="347">
        <v>43041</v>
      </c>
      <c r="G7" s="341"/>
      <c r="H7" s="348">
        <v>3617.46</v>
      </c>
      <c r="I7" s="298" t="s">
        <v>757</v>
      </c>
      <c r="J7" s="134"/>
    </row>
    <row r="8" spans="1:10" s="134" customFormat="1">
      <c r="A8" s="285" t="s">
        <v>467</v>
      </c>
      <c r="B8" s="341" t="s">
        <v>468</v>
      </c>
      <c r="C8" s="349" t="s">
        <v>758</v>
      </c>
      <c r="D8" s="287" t="s">
        <v>759</v>
      </c>
      <c r="E8" s="287" t="s">
        <v>756</v>
      </c>
      <c r="F8" s="300" t="s">
        <v>760</v>
      </c>
      <c r="G8" s="301"/>
      <c r="H8" s="289">
        <v>0</v>
      </c>
      <c r="I8" s="290" t="s">
        <v>761</v>
      </c>
    </row>
    <row r="9" spans="1:10" s="350" customFormat="1">
      <c r="A9" s="285" t="s">
        <v>467</v>
      </c>
      <c r="B9" s="341" t="s">
        <v>468</v>
      </c>
      <c r="C9" s="291">
        <v>28856931000105</v>
      </c>
      <c r="D9" s="302" t="s">
        <v>762</v>
      </c>
      <c r="E9" s="287" t="s">
        <v>763</v>
      </c>
      <c r="F9" s="303">
        <v>43466</v>
      </c>
      <c r="G9" s="341"/>
      <c r="H9" s="304">
        <v>0</v>
      </c>
      <c r="I9" s="290" t="s">
        <v>764</v>
      </c>
      <c r="J9" s="134"/>
    </row>
    <row r="10" spans="1:10">
      <c r="A10" s="285" t="s">
        <v>467</v>
      </c>
      <c r="B10" s="341" t="s">
        <v>468</v>
      </c>
      <c r="C10" s="291">
        <v>34153050000120</v>
      </c>
      <c r="D10" s="302" t="s">
        <v>765</v>
      </c>
      <c r="E10" s="287" t="s">
        <v>763</v>
      </c>
      <c r="F10" s="300" t="s">
        <v>766</v>
      </c>
      <c r="G10" s="341"/>
      <c r="H10" s="304">
        <v>0</v>
      </c>
      <c r="I10" s="290" t="s">
        <v>767</v>
      </c>
      <c r="J10" s="134"/>
    </row>
    <row r="11" spans="1:10" s="134" customFormat="1">
      <c r="A11" s="285" t="s">
        <v>467</v>
      </c>
      <c r="B11" s="341" t="s">
        <v>468</v>
      </c>
      <c r="C11" s="351">
        <v>19968162000146</v>
      </c>
      <c r="D11" s="305" t="s">
        <v>768</v>
      </c>
      <c r="E11" s="287" t="s">
        <v>763</v>
      </c>
      <c r="F11" s="347">
        <v>43647</v>
      </c>
      <c r="G11" s="341"/>
      <c r="H11" s="304">
        <v>0</v>
      </c>
      <c r="I11" s="298" t="s">
        <v>769</v>
      </c>
    </row>
    <row r="12" spans="1:10">
      <c r="A12" s="285" t="s">
        <v>467</v>
      </c>
      <c r="B12" s="341" t="s">
        <v>468</v>
      </c>
      <c r="C12" s="306">
        <v>33018758000106</v>
      </c>
      <c r="D12" s="302" t="s">
        <v>770</v>
      </c>
      <c r="E12" s="287" t="s">
        <v>763</v>
      </c>
      <c r="F12" s="347">
        <v>43466</v>
      </c>
      <c r="G12" s="341"/>
      <c r="H12" s="304">
        <v>0</v>
      </c>
      <c r="I12" s="290" t="s">
        <v>771</v>
      </c>
      <c r="J12" s="134"/>
    </row>
    <row r="13" spans="1:10">
      <c r="A13" s="285" t="s">
        <v>467</v>
      </c>
      <c r="B13" s="341" t="s">
        <v>468</v>
      </c>
      <c r="C13" s="291">
        <v>33010290000103</v>
      </c>
      <c r="D13" s="302" t="s">
        <v>772</v>
      </c>
      <c r="E13" s="287" t="s">
        <v>763</v>
      </c>
      <c r="F13" s="347">
        <v>43466</v>
      </c>
      <c r="G13" s="341"/>
      <c r="H13" s="304">
        <v>0</v>
      </c>
      <c r="I13" s="290" t="s">
        <v>773</v>
      </c>
      <c r="J13" s="134"/>
    </row>
    <row r="14" spans="1:10" s="350" customFormat="1">
      <c r="A14" s="285" t="s">
        <v>467</v>
      </c>
      <c r="B14" s="341" t="s">
        <v>468</v>
      </c>
      <c r="C14" s="307">
        <v>33649970000171</v>
      </c>
      <c r="D14" s="302" t="s">
        <v>774</v>
      </c>
      <c r="E14" s="287" t="s">
        <v>763</v>
      </c>
      <c r="F14" s="300" t="s">
        <v>775</v>
      </c>
      <c r="G14" s="341"/>
      <c r="H14" s="304">
        <v>0</v>
      </c>
      <c r="I14" s="290" t="s">
        <v>776</v>
      </c>
      <c r="J14" s="134"/>
    </row>
    <row r="15" spans="1:10">
      <c r="A15" s="285" t="s">
        <v>467</v>
      </c>
      <c r="B15" s="341" t="s">
        <v>468</v>
      </c>
      <c r="C15" s="307">
        <v>32139082000146</v>
      </c>
      <c r="D15" s="302" t="s">
        <v>777</v>
      </c>
      <c r="E15" s="287" t="s">
        <v>763</v>
      </c>
      <c r="F15" s="300" t="s">
        <v>778</v>
      </c>
      <c r="G15" s="341"/>
      <c r="H15" s="304">
        <v>0</v>
      </c>
      <c r="I15" s="290" t="s">
        <v>779</v>
      </c>
      <c r="J15" s="134"/>
    </row>
    <row r="16" spans="1:10">
      <c r="A16" s="285" t="s">
        <v>467</v>
      </c>
      <c r="B16" s="341" t="s">
        <v>468</v>
      </c>
      <c r="C16" s="291">
        <v>32754834000189</v>
      </c>
      <c r="D16" s="302" t="s">
        <v>780</v>
      </c>
      <c r="E16" s="287" t="s">
        <v>763</v>
      </c>
      <c r="F16" s="300" t="s">
        <v>781</v>
      </c>
      <c r="G16" s="341"/>
      <c r="H16" s="304">
        <v>0</v>
      </c>
      <c r="I16" s="290" t="s">
        <v>782</v>
      </c>
      <c r="J16" s="134"/>
    </row>
    <row r="17" spans="1:10" s="350" customFormat="1">
      <c r="A17" s="285" t="s">
        <v>467</v>
      </c>
      <c r="B17" s="341" t="s">
        <v>468</v>
      </c>
      <c r="C17" s="291">
        <v>32519491000178</v>
      </c>
      <c r="D17" s="302" t="s">
        <v>783</v>
      </c>
      <c r="E17" s="287" t="s">
        <v>763</v>
      </c>
      <c r="F17" s="300" t="s">
        <v>784</v>
      </c>
      <c r="G17" s="341"/>
      <c r="H17" s="304">
        <v>0</v>
      </c>
      <c r="I17" s="290" t="s">
        <v>785</v>
      </c>
      <c r="J17" s="134"/>
    </row>
    <row r="18" spans="1:10" s="134" customFormat="1">
      <c r="A18" s="285" t="s">
        <v>467</v>
      </c>
      <c r="B18" s="341" t="s">
        <v>468</v>
      </c>
      <c r="C18" s="351">
        <v>19968162000146</v>
      </c>
      <c r="D18" s="302" t="s">
        <v>768</v>
      </c>
      <c r="E18" s="341" t="s">
        <v>786</v>
      </c>
      <c r="F18" s="347">
        <v>43647</v>
      </c>
      <c r="G18" s="341"/>
      <c r="H18" s="348">
        <v>1650.58</v>
      </c>
      <c r="I18" s="298" t="s">
        <v>787</v>
      </c>
    </row>
    <row r="19" spans="1:10" s="134" customFormat="1">
      <c r="A19" s="285" t="s">
        <v>467</v>
      </c>
      <c r="B19" s="341" t="s">
        <v>468</v>
      </c>
      <c r="C19" s="307">
        <v>31175413000130</v>
      </c>
      <c r="D19" s="302" t="s">
        <v>788</v>
      </c>
      <c r="E19" s="287" t="s">
        <v>763</v>
      </c>
      <c r="F19" s="300" t="s">
        <v>778</v>
      </c>
      <c r="G19" s="341"/>
      <c r="H19" s="304">
        <v>0</v>
      </c>
      <c r="I19" s="290" t="s">
        <v>789</v>
      </c>
    </row>
    <row r="20" spans="1:10" s="350" customFormat="1">
      <c r="A20" s="285" t="s">
        <v>467</v>
      </c>
      <c r="B20" s="341" t="s">
        <v>468</v>
      </c>
      <c r="C20" s="291">
        <v>30059564000160</v>
      </c>
      <c r="D20" s="302" t="s">
        <v>790</v>
      </c>
      <c r="E20" s="287" t="s">
        <v>763</v>
      </c>
      <c r="F20" s="300" t="s">
        <v>791</v>
      </c>
      <c r="G20" s="341"/>
      <c r="H20" s="304">
        <v>0</v>
      </c>
      <c r="I20" s="290" t="s">
        <v>792</v>
      </c>
      <c r="J20" s="134"/>
    </row>
    <row r="21" spans="1:10" s="350" customFormat="1">
      <c r="A21" s="285" t="s">
        <v>467</v>
      </c>
      <c r="B21" s="341" t="s">
        <v>468</v>
      </c>
      <c r="C21" s="291">
        <v>33374970000106</v>
      </c>
      <c r="D21" s="302" t="s">
        <v>793</v>
      </c>
      <c r="E21" s="287" t="s">
        <v>763</v>
      </c>
      <c r="F21" s="300" t="s">
        <v>794</v>
      </c>
      <c r="G21" s="341"/>
      <c r="H21" s="304">
        <v>0</v>
      </c>
      <c r="I21" s="290" t="s">
        <v>795</v>
      </c>
      <c r="J21" s="134"/>
    </row>
    <row r="22" spans="1:10" s="350" customFormat="1">
      <c r="A22" s="285" t="s">
        <v>467</v>
      </c>
      <c r="B22" s="341" t="s">
        <v>468</v>
      </c>
      <c r="C22" s="291">
        <v>34293461000111</v>
      </c>
      <c r="D22" s="302" t="s">
        <v>796</v>
      </c>
      <c r="E22" s="287" t="s">
        <v>763</v>
      </c>
      <c r="F22" s="300" t="s">
        <v>775</v>
      </c>
      <c r="G22" s="341"/>
      <c r="H22" s="304">
        <v>0</v>
      </c>
      <c r="I22" s="290" t="s">
        <v>797</v>
      </c>
      <c r="J22" s="134"/>
    </row>
    <row r="23" spans="1:10" s="134" customFormat="1">
      <c r="A23" s="285" t="s">
        <v>467</v>
      </c>
      <c r="B23" s="341" t="s">
        <v>468</v>
      </c>
      <c r="C23" s="299">
        <v>24261778000112</v>
      </c>
      <c r="D23" s="287" t="s">
        <v>798</v>
      </c>
      <c r="E23" s="341" t="s">
        <v>799</v>
      </c>
      <c r="F23" s="347">
        <v>43285</v>
      </c>
      <c r="G23" s="341"/>
      <c r="H23" s="348">
        <v>0</v>
      </c>
      <c r="I23" s="298" t="s">
        <v>800</v>
      </c>
    </row>
    <row r="24" spans="1:10" s="134" customFormat="1">
      <c r="A24" s="285" t="s">
        <v>467</v>
      </c>
      <c r="B24" s="341" t="s">
        <v>468</v>
      </c>
      <c r="C24" s="299">
        <v>30645960000170</v>
      </c>
      <c r="D24" s="287" t="s">
        <v>801</v>
      </c>
      <c r="E24" s="341" t="s">
        <v>738</v>
      </c>
      <c r="F24" s="347">
        <v>43788</v>
      </c>
      <c r="G24" s="341"/>
      <c r="H24" s="348">
        <v>0</v>
      </c>
      <c r="I24" s="298" t="s">
        <v>802</v>
      </c>
    </row>
    <row r="25" spans="1:10" s="350" customFormat="1">
      <c r="A25" s="285" t="s">
        <v>467</v>
      </c>
      <c r="B25" s="341" t="s">
        <v>468</v>
      </c>
      <c r="C25" s="299">
        <v>18244189000123</v>
      </c>
      <c r="D25" s="287" t="s">
        <v>803</v>
      </c>
      <c r="E25" s="341" t="s">
        <v>804</v>
      </c>
      <c r="F25" s="347">
        <v>43282</v>
      </c>
      <c r="G25" s="341"/>
      <c r="H25" s="348">
        <v>22000</v>
      </c>
      <c r="I25" s="298" t="s">
        <v>805</v>
      </c>
      <c r="J25" s="134"/>
    </row>
    <row r="26" spans="1:10" s="134" customFormat="1">
      <c r="A26" s="285" t="s">
        <v>467</v>
      </c>
      <c r="B26" s="341" t="s">
        <v>468</v>
      </c>
      <c r="C26" s="299">
        <v>27837083000124</v>
      </c>
      <c r="D26" s="287" t="s">
        <v>806</v>
      </c>
      <c r="E26" s="341" t="s">
        <v>807</v>
      </c>
      <c r="F26" s="347">
        <v>43831</v>
      </c>
      <c r="G26" s="341"/>
      <c r="H26" s="348">
        <v>3000</v>
      </c>
      <c r="I26" s="298" t="s">
        <v>808</v>
      </c>
    </row>
    <row r="27" spans="1:10" s="134" customFormat="1">
      <c r="A27" s="285" t="s">
        <v>467</v>
      </c>
      <c r="B27" s="341" t="s">
        <v>468</v>
      </c>
      <c r="C27" s="299">
        <v>11863530000180</v>
      </c>
      <c r="D27" s="287" t="s">
        <v>809</v>
      </c>
      <c r="E27" s="341" t="s">
        <v>810</v>
      </c>
      <c r="F27" s="347">
        <v>43041</v>
      </c>
      <c r="G27" s="341"/>
      <c r="H27" s="348">
        <v>0</v>
      </c>
      <c r="I27" s="298" t="s">
        <v>811</v>
      </c>
    </row>
    <row r="28" spans="1:10" s="134" customFormat="1">
      <c r="A28" s="285" t="s">
        <v>467</v>
      </c>
      <c r="B28" s="341" t="s">
        <v>468</v>
      </c>
      <c r="C28" s="299">
        <v>92306257000780</v>
      </c>
      <c r="D28" s="287" t="s">
        <v>812</v>
      </c>
      <c r="E28" s="341" t="s">
        <v>813</v>
      </c>
      <c r="F28" s="347">
        <v>43061</v>
      </c>
      <c r="G28" s="341"/>
      <c r="H28" s="348">
        <v>12092.9</v>
      </c>
      <c r="I28" s="298" t="s">
        <v>814</v>
      </c>
    </row>
    <row r="29" spans="1:10" s="350" customFormat="1">
      <c r="A29" s="285" t="s">
        <v>467</v>
      </c>
      <c r="B29" s="341" t="s">
        <v>468</v>
      </c>
      <c r="C29" s="299">
        <v>10891998000115</v>
      </c>
      <c r="D29" s="287" t="s">
        <v>815</v>
      </c>
      <c r="E29" s="341" t="s">
        <v>816</v>
      </c>
      <c r="F29" s="352">
        <v>43405</v>
      </c>
      <c r="G29" s="341"/>
      <c r="H29" s="289">
        <v>820</v>
      </c>
      <c r="I29" s="298" t="s">
        <v>817</v>
      </c>
      <c r="J29" s="134"/>
    </row>
    <row r="30" spans="1:10" s="350" customFormat="1">
      <c r="A30" s="285" t="s">
        <v>467</v>
      </c>
      <c r="B30" s="341" t="s">
        <v>468</v>
      </c>
      <c r="C30" s="299">
        <v>12386107000107</v>
      </c>
      <c r="D30" s="287" t="s">
        <v>818</v>
      </c>
      <c r="E30" s="341" t="s">
        <v>819</v>
      </c>
      <c r="F30" s="347">
        <v>43556</v>
      </c>
      <c r="G30" s="341"/>
      <c r="H30" s="348">
        <v>998</v>
      </c>
      <c r="I30" s="298" t="s">
        <v>820</v>
      </c>
      <c r="J30" s="134"/>
    </row>
    <row r="31" spans="1:10" s="134" customFormat="1" ht="45">
      <c r="A31" s="285" t="s">
        <v>467</v>
      </c>
      <c r="B31" s="341" t="s">
        <v>468</v>
      </c>
      <c r="C31" s="299">
        <v>26351343000194</v>
      </c>
      <c r="D31" s="287" t="s">
        <v>821</v>
      </c>
      <c r="E31" s="341" t="s">
        <v>822</v>
      </c>
      <c r="F31" s="347">
        <v>43586</v>
      </c>
      <c r="G31" s="353">
        <v>44042</v>
      </c>
      <c r="H31" s="348">
        <v>15000</v>
      </c>
      <c r="I31" s="354" t="s">
        <v>896</v>
      </c>
    </row>
    <row r="32" spans="1:10" s="134" customFormat="1">
      <c r="A32" s="285" t="s">
        <v>467</v>
      </c>
      <c r="B32" s="341" t="s">
        <v>468</v>
      </c>
      <c r="C32" s="299">
        <v>29495965000184</v>
      </c>
      <c r="D32" s="287" t="s">
        <v>823</v>
      </c>
      <c r="E32" s="341" t="s">
        <v>824</v>
      </c>
      <c r="F32" s="347">
        <v>43222</v>
      </c>
      <c r="G32" s="341"/>
      <c r="H32" s="348">
        <v>20000</v>
      </c>
      <c r="I32" s="298" t="s">
        <v>825</v>
      </c>
    </row>
    <row r="33" spans="1:10" s="350" customFormat="1">
      <c r="A33" s="285" t="s">
        <v>467</v>
      </c>
      <c r="B33" s="341" t="s">
        <v>468</v>
      </c>
      <c r="C33" s="308" t="s">
        <v>826</v>
      </c>
      <c r="D33" s="287" t="s">
        <v>827</v>
      </c>
      <c r="E33" s="341" t="s">
        <v>828</v>
      </c>
      <c r="F33" s="355">
        <v>43041</v>
      </c>
      <c r="G33" s="341"/>
      <c r="H33" s="356">
        <v>66000</v>
      </c>
      <c r="I33" s="298" t="s">
        <v>829</v>
      </c>
      <c r="J33" s="134"/>
    </row>
    <row r="34" spans="1:10" s="134" customFormat="1">
      <c r="A34" s="285" t="s">
        <v>467</v>
      </c>
      <c r="B34" s="341" t="s">
        <v>468</v>
      </c>
      <c r="C34" s="308" t="s">
        <v>826</v>
      </c>
      <c r="D34" s="287" t="s">
        <v>827</v>
      </c>
      <c r="E34" s="341" t="s">
        <v>830</v>
      </c>
      <c r="F34" s="347">
        <v>43041</v>
      </c>
      <c r="G34" s="341"/>
      <c r="H34" s="356">
        <v>140000</v>
      </c>
      <c r="I34" s="298" t="s">
        <v>831</v>
      </c>
    </row>
    <row r="35" spans="1:10" s="350" customFormat="1">
      <c r="A35" s="285" t="s">
        <v>467</v>
      </c>
      <c r="B35" s="341" t="s">
        <v>468</v>
      </c>
      <c r="C35" s="299">
        <v>15798665000160</v>
      </c>
      <c r="D35" s="287" t="s">
        <v>832</v>
      </c>
      <c r="E35" s="341" t="s">
        <v>833</v>
      </c>
      <c r="F35" s="355">
        <v>43041</v>
      </c>
      <c r="G35" s="341"/>
      <c r="H35" s="348">
        <v>0</v>
      </c>
      <c r="I35" s="298" t="s">
        <v>834</v>
      </c>
      <c r="J35" s="134"/>
    </row>
    <row r="36" spans="1:10" s="350" customFormat="1" ht="60">
      <c r="A36" s="285" t="s">
        <v>467</v>
      </c>
      <c r="B36" s="357" t="s">
        <v>468</v>
      </c>
      <c r="C36" s="358">
        <v>15798665000160</v>
      </c>
      <c r="D36" s="302" t="s">
        <v>832</v>
      </c>
      <c r="E36" s="357" t="s">
        <v>897</v>
      </c>
      <c r="F36" s="359">
        <v>43041</v>
      </c>
      <c r="G36" s="360">
        <v>43861</v>
      </c>
      <c r="H36" s="361">
        <v>15000</v>
      </c>
      <c r="I36" s="362" t="s">
        <v>898</v>
      </c>
      <c r="J36" s="134"/>
    </row>
    <row r="37" spans="1:10" s="134" customFormat="1">
      <c r="A37" s="285" t="s">
        <v>467</v>
      </c>
      <c r="B37" s="341" t="s">
        <v>468</v>
      </c>
      <c r="C37" s="363">
        <v>10783585000117</v>
      </c>
      <c r="D37" s="305" t="s">
        <v>835</v>
      </c>
      <c r="E37" s="364" t="s">
        <v>836</v>
      </c>
      <c r="F37" s="347">
        <v>43041</v>
      </c>
      <c r="G37" s="365"/>
      <c r="H37" s="289">
        <v>14000</v>
      </c>
      <c r="I37" s="309" t="s">
        <v>837</v>
      </c>
    </row>
    <row r="38" spans="1:10" s="134" customFormat="1">
      <c r="A38" s="285" t="s">
        <v>467</v>
      </c>
      <c r="B38" s="341" t="s">
        <v>468</v>
      </c>
      <c r="C38" s="363">
        <v>10783585000117</v>
      </c>
      <c r="D38" s="305" t="s">
        <v>835</v>
      </c>
      <c r="E38" s="341" t="s">
        <v>838</v>
      </c>
      <c r="F38" s="347">
        <v>43041</v>
      </c>
      <c r="G38" s="366"/>
      <c r="H38" s="367">
        <v>13000</v>
      </c>
      <c r="I38" s="310" t="s">
        <v>839</v>
      </c>
    </row>
    <row r="39" spans="1:10" s="134" customFormat="1">
      <c r="A39" s="285" t="s">
        <v>467</v>
      </c>
      <c r="B39" s="341" t="s">
        <v>468</v>
      </c>
      <c r="C39" s="299">
        <v>12836422000180</v>
      </c>
      <c r="D39" s="287" t="s">
        <v>840</v>
      </c>
      <c r="E39" s="341" t="s">
        <v>841</v>
      </c>
      <c r="F39" s="347">
        <v>43405</v>
      </c>
      <c r="G39" s="341"/>
      <c r="H39" s="348">
        <v>1600</v>
      </c>
      <c r="I39" s="298" t="s">
        <v>842</v>
      </c>
    </row>
    <row r="40" spans="1:10" s="134" customFormat="1">
      <c r="A40" s="285" t="s">
        <v>467</v>
      </c>
      <c r="B40" s="341" t="s">
        <v>468</v>
      </c>
      <c r="C40" s="299">
        <v>11389239000111</v>
      </c>
      <c r="D40" s="287" t="s">
        <v>843</v>
      </c>
      <c r="E40" s="341" t="s">
        <v>844</v>
      </c>
      <c r="F40" s="347">
        <v>43040</v>
      </c>
      <c r="G40" s="341"/>
      <c r="H40" s="348">
        <v>500</v>
      </c>
      <c r="I40" s="298" t="s">
        <v>845</v>
      </c>
    </row>
    <row r="41" spans="1:10" s="134" customFormat="1">
      <c r="A41" s="285" t="s">
        <v>467</v>
      </c>
      <c r="B41" s="341" t="s">
        <v>468</v>
      </c>
      <c r="C41" s="299">
        <v>25130763000188</v>
      </c>
      <c r="D41" s="287" t="s">
        <v>846</v>
      </c>
      <c r="E41" s="341" t="s">
        <v>847</v>
      </c>
      <c r="F41" s="347">
        <v>43770</v>
      </c>
      <c r="G41" s="341"/>
      <c r="H41" s="348">
        <v>14000</v>
      </c>
      <c r="I41" s="290" t="s">
        <v>848</v>
      </c>
    </row>
    <row r="42" spans="1:10" s="134" customFormat="1">
      <c r="A42" s="285" t="s">
        <v>467</v>
      </c>
      <c r="B42" s="341" t="s">
        <v>468</v>
      </c>
      <c r="C42" s="299">
        <v>35343136000189</v>
      </c>
      <c r="D42" s="287" t="s">
        <v>849</v>
      </c>
      <c r="E42" s="341" t="s">
        <v>850</v>
      </c>
      <c r="F42" s="347">
        <v>43040</v>
      </c>
      <c r="G42" s="341"/>
      <c r="H42" s="348">
        <v>0</v>
      </c>
      <c r="I42" s="298" t="s">
        <v>851</v>
      </c>
    </row>
    <row r="43" spans="1:10" s="134" customFormat="1">
      <c r="A43" s="285" t="s">
        <v>467</v>
      </c>
      <c r="B43" s="342" t="s">
        <v>468</v>
      </c>
      <c r="C43" s="291">
        <v>11239132000197</v>
      </c>
      <c r="D43" s="287" t="s">
        <v>852</v>
      </c>
      <c r="E43" s="342" t="s">
        <v>853</v>
      </c>
      <c r="F43" s="368">
        <v>42858</v>
      </c>
      <c r="G43" s="342"/>
      <c r="H43" s="369">
        <v>500</v>
      </c>
      <c r="I43" s="311" t="s">
        <v>854</v>
      </c>
    </row>
    <row r="44" spans="1:10" s="134" customFormat="1">
      <c r="A44" s="285" t="s">
        <v>467</v>
      </c>
      <c r="B44" s="341" t="s">
        <v>468</v>
      </c>
      <c r="C44" s="299">
        <v>20153710000169</v>
      </c>
      <c r="D44" s="287" t="s">
        <v>855</v>
      </c>
      <c r="E44" s="341" t="s">
        <v>856</v>
      </c>
      <c r="F44" s="347">
        <v>43040</v>
      </c>
      <c r="G44" s="341"/>
      <c r="H44" s="348">
        <v>300</v>
      </c>
      <c r="I44" s="298" t="s">
        <v>857</v>
      </c>
    </row>
    <row r="45" spans="1:10" s="134" customFormat="1">
      <c r="A45" s="285" t="s">
        <v>467</v>
      </c>
      <c r="B45" s="341" t="s">
        <v>468</v>
      </c>
      <c r="C45" s="299">
        <v>37095416000140</v>
      </c>
      <c r="D45" s="312" t="s">
        <v>858</v>
      </c>
      <c r="E45" s="312" t="s">
        <v>763</v>
      </c>
      <c r="F45" s="313" t="s">
        <v>859</v>
      </c>
      <c r="G45" s="341"/>
      <c r="H45" s="304">
        <v>0</v>
      </c>
      <c r="I45" s="314" t="s">
        <v>860</v>
      </c>
    </row>
    <row r="46" spans="1:10" s="134" customFormat="1">
      <c r="A46" s="285" t="s">
        <v>467</v>
      </c>
      <c r="B46" s="341" t="s">
        <v>468</v>
      </c>
      <c r="C46" s="299">
        <v>36207401000164</v>
      </c>
      <c r="D46" s="312" t="s">
        <v>861</v>
      </c>
      <c r="E46" s="312" t="s">
        <v>763</v>
      </c>
      <c r="F46" s="313" t="s">
        <v>862</v>
      </c>
      <c r="G46" s="341"/>
      <c r="H46" s="304">
        <v>0</v>
      </c>
      <c r="I46" s="315" t="s">
        <v>863</v>
      </c>
    </row>
    <row r="47" spans="1:10" s="134" customFormat="1">
      <c r="A47" s="285" t="s">
        <v>467</v>
      </c>
      <c r="B47" s="341" t="s">
        <v>468</v>
      </c>
      <c r="C47" s="299">
        <v>24134488000108</v>
      </c>
      <c r="D47" s="312" t="s">
        <v>864</v>
      </c>
      <c r="E47" s="312" t="s">
        <v>865</v>
      </c>
      <c r="F47" s="313" t="s">
        <v>866</v>
      </c>
      <c r="G47" s="297" t="s">
        <v>867</v>
      </c>
      <c r="H47" s="304">
        <v>0</v>
      </c>
      <c r="I47" s="314" t="s">
        <v>868</v>
      </c>
    </row>
    <row r="48" spans="1:10" s="134" customFormat="1" ht="30">
      <c r="A48" s="285" t="s">
        <v>467</v>
      </c>
      <c r="B48" s="341" t="s">
        <v>468</v>
      </c>
      <c r="C48" s="370" t="s">
        <v>869</v>
      </c>
      <c r="D48" s="371" t="s">
        <v>870</v>
      </c>
      <c r="E48" s="372" t="s">
        <v>871</v>
      </c>
      <c r="F48" s="373">
        <v>43187</v>
      </c>
      <c r="G48" s="374"/>
      <c r="H48" s="375">
        <v>0</v>
      </c>
      <c r="I48" s="316" t="s">
        <v>872</v>
      </c>
    </row>
    <row r="49" spans="1:9" s="134" customFormat="1">
      <c r="A49" s="285" t="s">
        <v>467</v>
      </c>
      <c r="B49" s="341" t="s">
        <v>468</v>
      </c>
      <c r="C49" s="376" t="s">
        <v>873</v>
      </c>
      <c r="D49" s="376" t="s">
        <v>874</v>
      </c>
      <c r="E49" s="287" t="s">
        <v>763</v>
      </c>
      <c r="F49" s="376" t="s">
        <v>875</v>
      </c>
      <c r="G49" s="377"/>
      <c r="H49" s="378" t="s">
        <v>876</v>
      </c>
      <c r="I49" s="317" t="s">
        <v>877</v>
      </c>
    </row>
    <row r="50" spans="1:9" s="134" customFormat="1">
      <c r="A50" s="285" t="s">
        <v>467</v>
      </c>
      <c r="B50" s="342" t="s">
        <v>468</v>
      </c>
      <c r="C50" s="379" t="s">
        <v>878</v>
      </c>
      <c r="D50" s="380" t="s">
        <v>879</v>
      </c>
      <c r="E50" s="380" t="s">
        <v>763</v>
      </c>
      <c r="F50" s="381">
        <v>44013</v>
      </c>
      <c r="G50" s="382"/>
      <c r="H50" s="383" t="s">
        <v>876</v>
      </c>
      <c r="I50" s="318" t="s">
        <v>880</v>
      </c>
    </row>
    <row r="51" spans="1:9" s="134" customFormat="1">
      <c r="A51" s="285" t="s">
        <v>467</v>
      </c>
      <c r="B51" s="342" t="s">
        <v>468</v>
      </c>
      <c r="C51" s="297" t="s">
        <v>881</v>
      </c>
      <c r="D51" s="319" t="s">
        <v>882</v>
      </c>
      <c r="E51" s="380" t="s">
        <v>763</v>
      </c>
      <c r="F51" s="297" t="s">
        <v>875</v>
      </c>
      <c r="G51" s="320"/>
      <c r="H51" s="383" t="s">
        <v>876</v>
      </c>
      <c r="I51" s="321" t="s">
        <v>883</v>
      </c>
    </row>
    <row r="52" spans="1:9" s="1" customFormat="1">
      <c r="B52" s="139"/>
    </row>
    <row r="53" spans="1:9" s="1" customFormat="1">
      <c r="B53" s="139"/>
    </row>
    <row r="54" spans="1:9" s="1" customFormat="1">
      <c r="B54" s="139"/>
    </row>
    <row r="55" spans="1:9" s="1" customFormat="1">
      <c r="B55" s="139"/>
    </row>
    <row r="56" spans="1:9" s="1" customFormat="1">
      <c r="B56" s="139"/>
    </row>
    <row r="57" spans="1:9" s="1" customFormat="1">
      <c r="B57" s="139"/>
    </row>
    <row r="58" spans="1:9" s="1" customFormat="1">
      <c r="B58" s="139"/>
    </row>
    <row r="59" spans="1:9" s="1" customFormat="1">
      <c r="B59" s="139"/>
    </row>
    <row r="60" spans="1:9" s="1" customFormat="1">
      <c r="B60" s="139"/>
    </row>
    <row r="61" spans="1:9" s="1" customFormat="1">
      <c r="B61" s="139"/>
    </row>
    <row r="62" spans="1:9" s="1" customFormat="1">
      <c r="B62" s="139"/>
    </row>
    <row r="63" spans="1:9" s="1" customFormat="1">
      <c r="B63" s="139"/>
    </row>
    <row r="64" spans="1:9" s="1" customFormat="1">
      <c r="B64" s="139"/>
    </row>
    <row r="65" spans="2:2" s="1" customFormat="1">
      <c r="B65" s="139"/>
    </row>
    <row r="66" spans="2:2" s="1" customFormat="1">
      <c r="B66" s="139"/>
    </row>
    <row r="67" spans="2:2" s="1" customFormat="1">
      <c r="B67" s="139"/>
    </row>
    <row r="68" spans="2:2" s="1" customFormat="1">
      <c r="B68" s="139"/>
    </row>
    <row r="69" spans="2:2" s="1" customFormat="1">
      <c r="B69" s="139"/>
    </row>
    <row r="70" spans="2:2" s="1" customFormat="1">
      <c r="B70" s="139"/>
    </row>
    <row r="71" spans="2:2" s="1" customFormat="1">
      <c r="B71" s="139"/>
    </row>
    <row r="72" spans="2:2" s="1" customFormat="1">
      <c r="B72" s="139"/>
    </row>
    <row r="73" spans="2:2" s="1" customFormat="1">
      <c r="B73" s="139"/>
    </row>
    <row r="74" spans="2:2" s="1" customFormat="1">
      <c r="B74" s="139"/>
    </row>
    <row r="75" spans="2:2" s="1" customFormat="1">
      <c r="B75" s="139"/>
    </row>
    <row r="76" spans="2:2" s="1" customFormat="1">
      <c r="B76" s="139"/>
    </row>
    <row r="77" spans="2:2" s="1" customFormat="1">
      <c r="B77" s="139"/>
    </row>
    <row r="78" spans="2:2" s="1" customFormat="1">
      <c r="B78" s="139"/>
    </row>
    <row r="79" spans="2:2" s="1" customFormat="1">
      <c r="B79" s="139"/>
    </row>
    <row r="80" spans="2:2" s="1" customFormat="1">
      <c r="B80" s="139"/>
    </row>
    <row r="81" spans="2:2" s="1" customFormat="1">
      <c r="B81" s="139"/>
    </row>
    <row r="82" spans="2:2" s="1" customFormat="1">
      <c r="B82" s="139"/>
    </row>
    <row r="83" spans="2:2" s="1" customFormat="1">
      <c r="B83" s="139"/>
    </row>
    <row r="84" spans="2:2" s="1" customFormat="1">
      <c r="B84" s="139"/>
    </row>
    <row r="85" spans="2:2" s="1" customFormat="1">
      <c r="B85" s="139"/>
    </row>
    <row r="86" spans="2:2" s="1" customFormat="1">
      <c r="B86" s="139"/>
    </row>
    <row r="87" spans="2:2" s="1" customFormat="1">
      <c r="B87" s="139"/>
    </row>
    <row r="88" spans="2:2" s="1" customFormat="1">
      <c r="B88" s="139"/>
    </row>
    <row r="89" spans="2:2" s="1" customFormat="1">
      <c r="B89" s="139"/>
    </row>
    <row r="90" spans="2:2" s="1" customFormat="1">
      <c r="B90" s="139"/>
    </row>
    <row r="91" spans="2:2" s="1" customFormat="1">
      <c r="B91" s="139"/>
    </row>
    <row r="92" spans="2:2" s="1" customFormat="1">
      <c r="B92" s="139"/>
    </row>
    <row r="93" spans="2:2" s="1" customFormat="1">
      <c r="B93" s="139"/>
    </row>
    <row r="94" spans="2:2" s="1" customFormat="1">
      <c r="B94" s="139"/>
    </row>
    <row r="95" spans="2:2" s="1" customFormat="1">
      <c r="B95" s="139"/>
    </row>
    <row r="96" spans="2:2" s="1" customFormat="1">
      <c r="B96" s="139"/>
    </row>
    <row r="97" spans="2:2" s="1" customFormat="1">
      <c r="B97" s="139"/>
    </row>
    <row r="98" spans="2:2" s="1" customFormat="1">
      <c r="B98" s="139"/>
    </row>
    <row r="99" spans="2:2" s="1" customFormat="1">
      <c r="B99" s="139"/>
    </row>
    <row r="100" spans="2:2" s="1" customFormat="1">
      <c r="B100" s="139"/>
    </row>
    <row r="101" spans="2:2" s="1" customFormat="1">
      <c r="B101" s="139"/>
    </row>
    <row r="102" spans="2:2" s="1" customFormat="1">
      <c r="B102" s="139"/>
    </row>
    <row r="103" spans="2:2" s="1" customFormat="1">
      <c r="B103" s="139"/>
    </row>
    <row r="104" spans="2:2" s="1" customFormat="1">
      <c r="B104" s="139"/>
    </row>
    <row r="105" spans="2:2" s="1" customFormat="1">
      <c r="B105" s="139"/>
    </row>
    <row r="106" spans="2:2" s="1" customFormat="1">
      <c r="B106" s="139"/>
    </row>
    <row r="107" spans="2:2" s="1" customFormat="1">
      <c r="B107" s="139"/>
    </row>
    <row r="108" spans="2:2" s="1" customFormat="1">
      <c r="B108" s="139"/>
    </row>
    <row r="109" spans="2:2" s="1" customFormat="1">
      <c r="B109" s="139"/>
    </row>
    <row r="110" spans="2:2" s="1" customFormat="1">
      <c r="B110" s="139"/>
    </row>
    <row r="111" spans="2:2" s="1" customFormat="1">
      <c r="B111" s="139"/>
    </row>
    <row r="112" spans="2:2" s="1" customFormat="1">
      <c r="B112" s="139"/>
    </row>
    <row r="113" spans="2:2" s="1" customFormat="1">
      <c r="B113" s="139"/>
    </row>
    <row r="114" spans="2:2" s="1" customFormat="1">
      <c r="B114" s="139"/>
    </row>
    <row r="115" spans="2:2" s="1" customFormat="1">
      <c r="B115" s="139"/>
    </row>
    <row r="116" spans="2:2" s="1" customFormat="1">
      <c r="B116" s="139"/>
    </row>
    <row r="117" spans="2:2" s="1" customFormat="1">
      <c r="B117" s="139"/>
    </row>
    <row r="118" spans="2:2" s="1" customFormat="1">
      <c r="B118" s="139"/>
    </row>
    <row r="119" spans="2:2" s="1" customFormat="1">
      <c r="B119" s="139"/>
    </row>
    <row r="120" spans="2:2" s="1" customFormat="1">
      <c r="B120" s="139"/>
    </row>
    <row r="121" spans="2:2" s="1" customFormat="1">
      <c r="B121" s="139"/>
    </row>
    <row r="122" spans="2:2" s="1" customFormat="1">
      <c r="B122" s="139"/>
    </row>
    <row r="123" spans="2:2" s="1" customFormat="1">
      <c r="B123" s="139"/>
    </row>
    <row r="124" spans="2:2" s="1" customFormat="1">
      <c r="B124" s="139"/>
    </row>
    <row r="125" spans="2:2" s="1" customFormat="1">
      <c r="B125" s="139"/>
    </row>
    <row r="126" spans="2:2" s="1" customFormat="1">
      <c r="B126" s="139"/>
    </row>
    <row r="127" spans="2:2" s="1" customFormat="1">
      <c r="B127" s="139"/>
    </row>
    <row r="128" spans="2:2" s="1" customFormat="1">
      <c r="B128" s="139"/>
    </row>
    <row r="129" spans="2:2" s="1" customFormat="1">
      <c r="B129" s="139"/>
    </row>
    <row r="130" spans="2:2" s="1" customFormat="1">
      <c r="B130" s="139"/>
    </row>
    <row r="131" spans="2:2" s="1" customFormat="1">
      <c r="B131" s="139"/>
    </row>
    <row r="132" spans="2:2" s="1" customFormat="1">
      <c r="B132" s="139"/>
    </row>
    <row r="133" spans="2:2" s="1" customFormat="1">
      <c r="B133" s="139"/>
    </row>
    <row r="134" spans="2:2" s="1" customFormat="1">
      <c r="B134" s="139"/>
    </row>
    <row r="135" spans="2:2" s="1" customFormat="1">
      <c r="B135" s="139"/>
    </row>
    <row r="136" spans="2:2" s="1" customFormat="1">
      <c r="B136" s="139"/>
    </row>
    <row r="137" spans="2:2" s="1" customFormat="1">
      <c r="B137" s="139"/>
    </row>
    <row r="138" spans="2:2" s="1" customFormat="1">
      <c r="B138" s="139"/>
    </row>
    <row r="139" spans="2:2" s="1" customFormat="1">
      <c r="B139" s="139"/>
    </row>
    <row r="140" spans="2:2" s="1" customFormat="1">
      <c r="B140" s="139"/>
    </row>
    <row r="141" spans="2:2" s="1" customFormat="1">
      <c r="B141" s="139"/>
    </row>
    <row r="142" spans="2:2" s="1" customFormat="1">
      <c r="B142" s="139"/>
    </row>
    <row r="143" spans="2:2" s="1" customFormat="1">
      <c r="B143" s="139"/>
    </row>
    <row r="144" spans="2:2" s="1" customFormat="1">
      <c r="B144" s="139"/>
    </row>
    <row r="145" spans="2:2" s="1" customFormat="1">
      <c r="B145" s="139"/>
    </row>
    <row r="146" spans="2:2" s="1" customFormat="1">
      <c r="B146" s="139"/>
    </row>
    <row r="147" spans="2:2" s="1" customFormat="1">
      <c r="B147" s="139"/>
    </row>
    <row r="148" spans="2:2" s="1" customFormat="1">
      <c r="B148" s="139"/>
    </row>
    <row r="149" spans="2:2" s="1" customFormat="1">
      <c r="B149" s="139"/>
    </row>
    <row r="150" spans="2:2" s="1" customFormat="1">
      <c r="B150" s="139"/>
    </row>
    <row r="151" spans="2:2" s="1" customFormat="1">
      <c r="B151" s="139"/>
    </row>
    <row r="152" spans="2:2" s="1" customFormat="1">
      <c r="B152" s="139"/>
    </row>
    <row r="153" spans="2:2" s="1" customFormat="1">
      <c r="B153" s="139"/>
    </row>
    <row r="154" spans="2:2" s="1" customFormat="1">
      <c r="B154" s="139"/>
    </row>
    <row r="155" spans="2:2" s="1" customFormat="1">
      <c r="B155" s="139"/>
    </row>
    <row r="156" spans="2:2" s="1" customFormat="1">
      <c r="B156" s="139"/>
    </row>
    <row r="157" spans="2:2" s="1" customFormat="1">
      <c r="B157" s="139"/>
    </row>
    <row r="158" spans="2:2" s="1" customFormat="1">
      <c r="B158" s="139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  <row r="172" spans="2:2">
      <c r="B172" s="2"/>
    </row>
    <row r="173" spans="2:2">
      <c r="B173" s="2"/>
    </row>
    <row r="174" spans="2:2">
      <c r="B174" s="2"/>
    </row>
    <row r="175" spans="2:2">
      <c r="B175" s="2"/>
    </row>
    <row r="176" spans="2:2">
      <c r="B176" s="2"/>
    </row>
    <row r="177" spans="2:2">
      <c r="B177" s="2"/>
    </row>
    <row r="178" spans="2:2">
      <c r="B178" s="2"/>
    </row>
  </sheetData>
  <protectedRanges>
    <protectedRange sqref="H45:H47" name="Intervalo2_1_1_1"/>
    <protectedRange sqref="E49 H2:H44 D2:E44" name="Intervalo2_2_1_2"/>
    <protectedRange sqref="H48 D48:E48" name="Intervalo2_2_1_1_1"/>
    <protectedRange sqref="D51" name="Intervalo3_1_1_1"/>
  </protectedRanges>
  <hyperlinks>
    <hyperlink ref="I37" r:id="rId1"/>
    <hyperlink ref="I35" r:id="rId2"/>
    <hyperlink ref="I33" r:id="rId3"/>
    <hyperlink ref="I34" r:id="rId4"/>
    <hyperlink ref="I5" r:id="rId5"/>
    <hyperlink ref="I26" r:id="rId6"/>
    <hyperlink ref="I6" r:id="rId7"/>
    <hyperlink ref="I32" r:id="rId8"/>
    <hyperlink ref="I31" r:id="rId9" display="https://drive.google.com/open?id=1m-4Lh40CRV2WzygJWRkj5kHNk_-mW3sM"/>
    <hyperlink ref="I44" r:id="rId10"/>
    <hyperlink ref="I41" r:id="rId11"/>
    <hyperlink ref="I2" r:id="rId12"/>
    <hyperlink ref="I4" r:id="rId13"/>
    <hyperlink ref="I8" r:id="rId14"/>
    <hyperlink ref="I42" r:id="rId15"/>
    <hyperlink ref="I27" r:id="rId16"/>
    <hyperlink ref="I24" r:id="rId17"/>
    <hyperlink ref="I23" r:id="rId18"/>
    <hyperlink ref="I43" r:id="rId19"/>
    <hyperlink ref="I7" r:id="rId20"/>
    <hyperlink ref="I30" r:id="rId21"/>
    <hyperlink ref="I40" r:id="rId22"/>
    <hyperlink ref="I39" r:id="rId23"/>
    <hyperlink ref="I28" r:id="rId24"/>
    <hyperlink ref="I25" r:id="rId25"/>
    <hyperlink ref="I3" r:id="rId26"/>
    <hyperlink ref="I45" r:id="rId27"/>
    <hyperlink ref="I46" r:id="rId28"/>
    <hyperlink ref="I21" r:id="rId29"/>
    <hyperlink ref="I9" r:id="rId30"/>
    <hyperlink ref="I10" r:id="rId31"/>
    <hyperlink ref="I19" r:id="rId32"/>
    <hyperlink ref="I12" r:id="rId33"/>
    <hyperlink ref="I17" r:id="rId34"/>
    <hyperlink ref="I16" r:id="rId35"/>
    <hyperlink ref="I20" r:id="rId36"/>
    <hyperlink ref="I15" r:id="rId37"/>
    <hyperlink ref="I14" r:id="rId38"/>
    <hyperlink ref="I13" r:id="rId39"/>
    <hyperlink ref="I22" r:id="rId40"/>
    <hyperlink ref="I47" r:id="rId41"/>
    <hyperlink ref="I18" r:id="rId42"/>
    <hyperlink ref="I11" r:id="rId43"/>
    <hyperlink ref="I49" r:id="rId44"/>
    <hyperlink ref="I50" r:id="rId45"/>
  </hyperlink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5" orientation="landscape" horizontalDpi="4294967294" verticalDpi="4294967294" r:id="rId46"/>
  <drawing r:id="rId4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"/>
  <sheetViews>
    <sheetView zoomScaleNormal="100" workbookViewId="0">
      <selection activeCell="F21" sqref="F21"/>
    </sheetView>
  </sheetViews>
  <sheetFormatPr defaultRowHeight="15"/>
  <cols>
    <col min="1" max="1" width="24.85546875" customWidth="1"/>
    <col min="2" max="2" width="52.85546875" customWidth="1"/>
    <col min="3" max="3" width="18.42578125" customWidth="1"/>
    <col min="4" max="4" width="49.42578125" customWidth="1"/>
    <col min="5" max="5" width="18.140625" customWidth="1"/>
    <col min="6" max="6" width="18.7109375" customWidth="1"/>
    <col min="7" max="7" width="18.85546875" customWidth="1"/>
    <col min="8" max="8" width="18.140625" customWidth="1"/>
    <col min="9" max="9" width="91.28515625" customWidth="1"/>
  </cols>
  <sheetData>
    <row r="1" spans="1:10" ht="31.5">
      <c r="A1" s="135" t="s">
        <v>234</v>
      </c>
      <c r="B1" s="135" t="s">
        <v>235</v>
      </c>
      <c r="C1" s="136" t="s">
        <v>289</v>
      </c>
      <c r="D1" s="136" t="s">
        <v>283</v>
      </c>
      <c r="E1" s="136" t="s">
        <v>290</v>
      </c>
      <c r="F1" s="136" t="s">
        <v>285</v>
      </c>
      <c r="G1" s="136" t="s">
        <v>291</v>
      </c>
      <c r="H1" s="136" t="s">
        <v>292</v>
      </c>
      <c r="I1" s="136" t="s">
        <v>293</v>
      </c>
    </row>
    <row r="2" spans="1:10">
      <c r="A2" s="263" t="s">
        <v>467</v>
      </c>
      <c r="B2" s="264" t="s">
        <v>468</v>
      </c>
      <c r="C2" s="322" t="s">
        <v>884</v>
      </c>
      <c r="D2" s="323" t="s">
        <v>835</v>
      </c>
      <c r="E2" s="323" t="s">
        <v>885</v>
      </c>
      <c r="F2" s="324">
        <v>43282</v>
      </c>
      <c r="G2" s="137"/>
      <c r="H2" s="325">
        <v>14000</v>
      </c>
      <c r="I2" s="326" t="s">
        <v>886</v>
      </c>
      <c r="J2" s="134"/>
    </row>
    <row r="3" spans="1:10">
      <c r="A3" s="263" t="s">
        <v>467</v>
      </c>
      <c r="B3" s="264" t="s">
        <v>468</v>
      </c>
      <c r="C3" s="327" t="s">
        <v>887</v>
      </c>
      <c r="D3" s="328" t="s">
        <v>888</v>
      </c>
      <c r="E3" s="323" t="s">
        <v>885</v>
      </c>
      <c r="F3" s="324">
        <v>43586</v>
      </c>
      <c r="G3" s="137"/>
      <c r="H3" s="329">
        <v>0</v>
      </c>
      <c r="I3" s="326" t="s">
        <v>889</v>
      </c>
      <c r="J3" s="140"/>
    </row>
    <row r="4" spans="1:10">
      <c r="A4" s="263" t="s">
        <v>467</v>
      </c>
      <c r="B4" s="264" t="s">
        <v>468</v>
      </c>
      <c r="C4" s="330">
        <v>10891998000115</v>
      </c>
      <c r="D4" s="331" t="s">
        <v>815</v>
      </c>
      <c r="E4" s="323" t="s">
        <v>885</v>
      </c>
      <c r="F4" s="332">
        <v>43405</v>
      </c>
      <c r="G4" s="138"/>
      <c r="H4" s="329">
        <v>820</v>
      </c>
      <c r="I4" s="333" t="s">
        <v>890</v>
      </c>
      <c r="J4" s="140"/>
    </row>
    <row r="5" spans="1:10">
      <c r="A5" s="263" t="s">
        <v>467</v>
      </c>
      <c r="B5" s="264" t="s">
        <v>468</v>
      </c>
      <c r="C5" s="322" t="s">
        <v>891</v>
      </c>
      <c r="D5" s="334" t="s">
        <v>740</v>
      </c>
      <c r="E5" s="323" t="s">
        <v>885</v>
      </c>
      <c r="F5" s="324">
        <v>43049</v>
      </c>
      <c r="G5" s="138"/>
      <c r="H5" s="335">
        <v>1400</v>
      </c>
      <c r="I5" s="333" t="s">
        <v>892</v>
      </c>
    </row>
    <row r="6" spans="1:10">
      <c r="A6" s="263" t="s">
        <v>467</v>
      </c>
      <c r="B6" s="264" t="s">
        <v>468</v>
      </c>
      <c r="C6" s="327" t="s">
        <v>893</v>
      </c>
      <c r="D6" s="336" t="s">
        <v>843</v>
      </c>
      <c r="E6" s="323" t="s">
        <v>885</v>
      </c>
      <c r="F6" s="324">
        <v>43040</v>
      </c>
      <c r="G6" s="138"/>
      <c r="H6" s="337">
        <v>500</v>
      </c>
      <c r="I6" s="333" t="s">
        <v>894</v>
      </c>
    </row>
    <row r="7" spans="1:10">
      <c r="A7" s="263" t="s">
        <v>467</v>
      </c>
      <c r="B7" s="264" t="s">
        <v>468</v>
      </c>
      <c r="C7" s="322" t="s">
        <v>884</v>
      </c>
      <c r="D7" s="323" t="s">
        <v>835</v>
      </c>
      <c r="E7" s="323" t="s">
        <v>885</v>
      </c>
      <c r="F7" s="324">
        <v>43282</v>
      </c>
      <c r="G7" s="138"/>
      <c r="H7" s="325">
        <v>13000</v>
      </c>
      <c r="I7" s="326" t="s">
        <v>895</v>
      </c>
    </row>
    <row r="8" spans="1:10">
      <c r="B8" s="139"/>
    </row>
    <row r="9" spans="1:10">
      <c r="B9" s="139"/>
    </row>
    <row r="10" spans="1:10">
      <c r="B10" s="139"/>
    </row>
    <row r="11" spans="1:10">
      <c r="B11" s="139"/>
    </row>
    <row r="12" spans="1:10">
      <c r="B12" s="139"/>
    </row>
    <row r="13" spans="1:10">
      <c r="B13" s="139"/>
    </row>
    <row r="14" spans="1:10">
      <c r="B14" s="139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/>
    </row>
    <row r="63" spans="2:2">
      <c r="B63" s="2"/>
    </row>
    <row r="64" spans="2:2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  <row r="110" spans="2:2">
      <c r="B110" s="2"/>
    </row>
    <row r="111" spans="2:2">
      <c r="B111" s="2"/>
    </row>
    <row r="112" spans="2:2">
      <c r="B112" s="2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  <row r="121" spans="2:2">
      <c r="B121" s="2"/>
    </row>
    <row r="122" spans="2:2">
      <c r="B122" s="2"/>
    </row>
    <row r="123" spans="2:2">
      <c r="B123" s="2"/>
    </row>
    <row r="124" spans="2:2">
      <c r="B124" s="2"/>
    </row>
    <row r="125" spans="2:2">
      <c r="B125" s="2"/>
    </row>
    <row r="126" spans="2:2">
      <c r="B126" s="2"/>
    </row>
    <row r="127" spans="2:2">
      <c r="B127" s="2"/>
    </row>
    <row r="128" spans="2:2">
      <c r="B128" s="2"/>
    </row>
    <row r="129" spans="2:2">
      <c r="B129" s="2"/>
    </row>
    <row r="130" spans="2:2">
      <c r="B130" s="2"/>
    </row>
    <row r="131" spans="2:2">
      <c r="B131" s="2"/>
    </row>
    <row r="132" spans="2:2">
      <c r="B132" s="2"/>
    </row>
    <row r="133" spans="2:2">
      <c r="B133" s="2"/>
    </row>
    <row r="134" spans="2:2">
      <c r="B134" s="2"/>
    </row>
    <row r="135" spans="2:2">
      <c r="B135" s="2"/>
    </row>
    <row r="136" spans="2:2">
      <c r="B136" s="2"/>
    </row>
    <row r="137" spans="2:2">
      <c r="B137" s="2"/>
    </row>
    <row r="138" spans="2:2">
      <c r="B138" s="2"/>
    </row>
    <row r="139" spans="2:2">
      <c r="B139" s="2"/>
    </row>
    <row r="140" spans="2:2">
      <c r="B140" s="2"/>
    </row>
    <row r="141" spans="2:2">
      <c r="B141" s="2"/>
    </row>
    <row r="142" spans="2:2">
      <c r="B142" s="2"/>
    </row>
    <row r="143" spans="2:2">
      <c r="B143" s="2"/>
    </row>
    <row r="144" spans="2:2">
      <c r="B144" s="2"/>
    </row>
    <row r="145" spans="2:2">
      <c r="B145" s="2"/>
    </row>
    <row r="146" spans="2:2">
      <c r="B146" s="2"/>
    </row>
    <row r="147" spans="2:2">
      <c r="B147" s="2"/>
    </row>
    <row r="148" spans="2:2">
      <c r="B148" s="2"/>
    </row>
    <row r="149" spans="2:2">
      <c r="B149" s="2"/>
    </row>
    <row r="150" spans="2:2">
      <c r="B150" s="2"/>
    </row>
    <row r="151" spans="2:2">
      <c r="B151" s="2"/>
    </row>
    <row r="152" spans="2:2">
      <c r="B152" s="2"/>
    </row>
    <row r="153" spans="2:2">
      <c r="B153" s="2"/>
    </row>
    <row r="154" spans="2:2">
      <c r="B154" s="2"/>
    </row>
    <row r="155" spans="2:2">
      <c r="B155" s="2"/>
    </row>
    <row r="156" spans="2:2">
      <c r="B156" s="2"/>
    </row>
    <row r="157" spans="2:2">
      <c r="B157" s="2"/>
    </row>
    <row r="158" spans="2:2">
      <c r="B158" s="2"/>
    </row>
    <row r="159" spans="2:2">
      <c r="B159" s="2"/>
    </row>
    <row r="160" spans="2:2">
      <c r="B160" s="2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  <row r="172" spans="2:2">
      <c r="B172" s="2"/>
    </row>
    <row r="173" spans="2:2">
      <c r="B173" s="2"/>
    </row>
    <row r="174" spans="2:2">
      <c r="B174" s="2"/>
    </row>
  </sheetData>
  <protectedRanges>
    <protectedRange sqref="B2:B7" name="Intervalo2"/>
    <protectedRange sqref="A2:A7" name="Intervalo2_2"/>
    <protectedRange sqref="D2 D7" name="Intervalo2_1_1_1_1_1_1_1"/>
    <protectedRange sqref="D3" name="Intervalo2_2_3_1_1_1_1"/>
    <protectedRange sqref="D4" name="Intervalo2_2_2_1_1"/>
    <protectedRange sqref="D5" name="Intervalo2_2_1_1_1_1"/>
    <protectedRange sqref="D6" name="Intervalo2_2_1_1_2_1_1_1"/>
    <protectedRange sqref="E2:E7" name="Intervalo2_1_1_1_1_2_1_1"/>
    <protectedRange sqref="H2 H7" name="Intervalo2_1_1_1_1_3_1_1"/>
    <protectedRange sqref="H3:H4" name="Intervalo2_2_3_1_1"/>
    <protectedRange sqref="H5" name="Intervalo2_2_1_2_1_1"/>
    <protectedRange sqref="H6" name="Intervalo2_2_1_1_2_2_1_1"/>
    <protectedRange sqref="I2:I3" name="Intervalo2_1_1_1_1_4_1_1"/>
  </protectedRanges>
  <hyperlinks>
    <hyperlink ref="I4" r:id="rId1"/>
    <hyperlink ref="I3" r:id="rId2"/>
    <hyperlink ref="I5" r:id="rId3"/>
    <hyperlink ref="I6" r:id="rId4"/>
    <hyperlink ref="I7" r:id="rId5"/>
    <hyperlink ref="I2" r:id="rId6"/>
  </hyperlink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0" orientation="landscape" horizontalDpi="4294967294" verticalDpi="4294967294" r:id="rId7"/>
  <drawing r:id="rId8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4" zoomScale="89" zoomScaleNormal="89" workbookViewId="0">
      <selection activeCell="Q24" sqref="Q24"/>
    </sheetView>
  </sheetViews>
  <sheetFormatPr defaultColWidth="9.140625" defaultRowHeight="15"/>
  <cols>
    <col min="1" max="1" width="15.7109375" style="93" customWidth="1"/>
    <col min="2" max="2" width="50.5703125" style="93" customWidth="1"/>
    <col min="3" max="3" width="14.28515625" style="93" customWidth="1"/>
    <col min="4" max="4" width="8.5703125" style="93" customWidth="1"/>
    <col min="5" max="5" width="7.7109375" style="93" customWidth="1"/>
    <col min="6" max="6" width="9.140625" style="93"/>
    <col min="7" max="7" width="9.28515625" style="93" customWidth="1"/>
    <col min="8" max="8" width="6.140625" style="93" customWidth="1"/>
    <col min="9" max="11" width="9.140625" style="93"/>
    <col min="12" max="12" width="12" style="93" customWidth="1"/>
    <col min="13" max="16384" width="9.140625" style="93"/>
  </cols>
  <sheetData>
    <row r="1" spans="1:12" ht="21">
      <c r="A1" s="96"/>
      <c r="B1" s="580"/>
      <c r="C1" s="580"/>
      <c r="D1" s="96"/>
      <c r="E1" s="96"/>
      <c r="F1" s="96"/>
      <c r="G1" s="96"/>
      <c r="H1" s="96"/>
      <c r="I1" s="96"/>
      <c r="J1" s="96"/>
      <c r="K1" s="96"/>
      <c r="L1" s="96"/>
    </row>
    <row r="2" spans="1:12" ht="21">
      <c r="A2" s="96"/>
      <c r="B2" s="94"/>
      <c r="C2" s="94"/>
      <c r="D2" s="96"/>
      <c r="E2" s="96"/>
      <c r="F2" s="96"/>
      <c r="G2" s="96"/>
      <c r="H2" s="96"/>
      <c r="I2" s="96"/>
      <c r="J2" s="96"/>
      <c r="K2" s="96"/>
      <c r="L2" s="96"/>
    </row>
    <row r="3" spans="1:12" ht="21">
      <c r="A3" s="96"/>
      <c r="B3" s="94"/>
      <c r="C3" s="94"/>
      <c r="D3" s="96"/>
      <c r="E3" s="96"/>
      <c r="F3" s="96"/>
      <c r="G3" s="96"/>
      <c r="H3" s="96"/>
      <c r="I3" s="96"/>
      <c r="J3" s="96"/>
      <c r="K3" s="96"/>
      <c r="L3" s="96"/>
    </row>
    <row r="4" spans="1:12" ht="21">
      <c r="A4" s="96"/>
      <c r="B4" s="94"/>
      <c r="C4" s="94"/>
      <c r="D4" s="96"/>
      <c r="E4" s="96"/>
      <c r="F4" s="96"/>
      <c r="G4" s="96"/>
      <c r="H4" s="96"/>
      <c r="I4" s="96"/>
      <c r="J4" s="96"/>
      <c r="K4" s="96"/>
      <c r="L4" s="96"/>
    </row>
    <row r="5" spans="1:12" ht="21" customHeight="1">
      <c r="A5" s="587" t="s">
        <v>0</v>
      </c>
      <c r="B5" s="587"/>
      <c r="C5" s="587"/>
      <c r="D5" s="587"/>
      <c r="E5" s="587"/>
      <c r="F5" s="587"/>
      <c r="G5" s="587"/>
      <c r="H5" s="587"/>
      <c r="I5" s="587"/>
      <c r="J5" s="587"/>
      <c r="K5" s="587"/>
      <c r="L5" s="587"/>
    </row>
    <row r="6" spans="1:12" ht="21" customHeight="1">
      <c r="A6" s="587" t="s">
        <v>2</v>
      </c>
      <c r="B6" s="587"/>
      <c r="C6" s="587"/>
      <c r="D6" s="587"/>
      <c r="E6" s="587"/>
      <c r="F6" s="587"/>
      <c r="G6" s="587"/>
      <c r="H6" s="587"/>
      <c r="I6" s="587"/>
      <c r="J6" s="587"/>
      <c r="K6" s="587"/>
      <c r="L6" s="587"/>
    </row>
    <row r="7" spans="1:12" ht="21" customHeight="1">
      <c r="A7" s="595" t="s">
        <v>5</v>
      </c>
      <c r="B7" s="595"/>
      <c r="C7" s="595"/>
      <c r="D7" s="595"/>
      <c r="E7" s="595"/>
      <c r="F7" s="595"/>
      <c r="G7" s="595"/>
      <c r="H7" s="595"/>
      <c r="I7" s="595"/>
      <c r="J7" s="595"/>
      <c r="K7" s="595"/>
      <c r="L7" s="595"/>
    </row>
    <row r="8" spans="1:12" ht="21">
      <c r="A8" s="96"/>
      <c r="B8" s="95"/>
      <c r="C8" s="95"/>
      <c r="D8" s="96"/>
      <c r="E8" s="96"/>
      <c r="F8" s="96"/>
      <c r="G8" s="96"/>
      <c r="H8" s="96"/>
      <c r="I8" s="96"/>
    </row>
    <row r="9" spans="1:12" ht="21" customHeight="1">
      <c r="A9" s="596" t="s">
        <v>294</v>
      </c>
      <c r="B9" s="596"/>
      <c r="C9" s="596"/>
      <c r="D9" s="596"/>
      <c r="E9" s="596"/>
      <c r="F9" s="596"/>
      <c r="G9" s="596"/>
      <c r="H9" s="596"/>
      <c r="I9" s="596"/>
      <c r="J9" s="597" t="s">
        <v>1</v>
      </c>
      <c r="K9" s="598"/>
      <c r="L9" s="599"/>
    </row>
    <row r="10" spans="1:12" ht="21" customHeight="1">
      <c r="A10" s="596" t="s">
        <v>8</v>
      </c>
      <c r="B10" s="596"/>
      <c r="C10" s="596" t="s">
        <v>295</v>
      </c>
      <c r="D10" s="596"/>
      <c r="E10" s="596"/>
      <c r="F10" s="596"/>
      <c r="G10" s="596"/>
      <c r="H10" s="596"/>
      <c r="I10" s="596"/>
      <c r="J10" s="600" t="s">
        <v>296</v>
      </c>
      <c r="K10" s="600"/>
      <c r="L10" s="600"/>
    </row>
    <row r="11" spans="1:12" ht="42.75" customHeight="1">
      <c r="A11" s="486" t="s">
        <v>464</v>
      </c>
      <c r="B11" s="487"/>
      <c r="C11" s="601" t="s">
        <v>469</v>
      </c>
      <c r="D11" s="601"/>
      <c r="E11" s="601"/>
      <c r="F11" s="601"/>
      <c r="G11" s="601"/>
      <c r="H11" s="601"/>
      <c r="I11" s="601"/>
      <c r="J11" s="602" t="s">
        <v>6</v>
      </c>
      <c r="K11" s="602"/>
      <c r="L11" s="602"/>
    </row>
    <row r="12" spans="1:12" ht="21">
      <c r="A12" s="110"/>
      <c r="B12" s="110"/>
      <c r="C12" s="96"/>
      <c r="D12" s="96"/>
      <c r="E12" s="96"/>
      <c r="F12" s="96"/>
      <c r="G12" s="96"/>
      <c r="H12" s="96"/>
      <c r="I12" s="133"/>
      <c r="J12" s="133"/>
      <c r="K12" s="133"/>
      <c r="L12" s="96"/>
    </row>
    <row r="13" spans="1:12" ht="15.75">
      <c r="A13" s="111" t="s">
        <v>297</v>
      </c>
      <c r="B13" s="606" t="s">
        <v>298</v>
      </c>
      <c r="C13" s="607"/>
      <c r="D13" s="608" t="s">
        <v>299</v>
      </c>
      <c r="E13" s="608"/>
      <c r="F13" s="608"/>
      <c r="G13" s="608"/>
      <c r="H13" s="608"/>
      <c r="I13" s="608"/>
      <c r="J13" s="608"/>
      <c r="K13" s="608"/>
      <c r="L13" s="608"/>
    </row>
    <row r="14" spans="1:12" ht="34.5" customHeight="1">
      <c r="A14" s="112">
        <v>102</v>
      </c>
      <c r="B14" s="486" t="s">
        <v>464</v>
      </c>
      <c r="C14" s="487"/>
      <c r="D14" s="609" t="s">
        <v>300</v>
      </c>
      <c r="E14" s="610"/>
      <c r="F14" s="610"/>
      <c r="G14" s="610"/>
      <c r="H14" s="610"/>
      <c r="I14" s="610"/>
      <c r="J14" s="610"/>
      <c r="K14" s="610"/>
      <c r="L14" s="611"/>
    </row>
    <row r="15" spans="1:12" ht="21">
      <c r="A15" s="113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</row>
    <row r="16" spans="1:12" ht="21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</row>
    <row r="17" spans="1:12" ht="21">
      <c r="A17" s="114"/>
      <c r="B17" s="115"/>
      <c r="C17" s="605"/>
      <c r="D17" s="605"/>
      <c r="E17" s="116"/>
      <c r="F17" s="605"/>
      <c r="G17" s="605"/>
      <c r="H17" s="115"/>
      <c r="I17" s="115"/>
      <c r="J17" s="114"/>
      <c r="K17" s="96"/>
      <c r="L17" s="96"/>
    </row>
    <row r="18" spans="1:12" ht="21">
      <c r="A18" s="96"/>
      <c r="B18" s="117" t="s">
        <v>301</v>
      </c>
      <c r="C18" s="118" t="s">
        <v>302</v>
      </c>
      <c r="D18" s="119">
        <v>0</v>
      </c>
      <c r="E18" s="120" t="s">
        <v>303</v>
      </c>
      <c r="F18" s="119">
        <v>2</v>
      </c>
      <c r="G18" s="121" t="s">
        <v>304</v>
      </c>
      <c r="H18" s="120" t="s">
        <v>305</v>
      </c>
      <c r="I18" s="120">
        <v>2</v>
      </c>
      <c r="J18" s="96"/>
      <c r="K18" s="96"/>
      <c r="L18" s="96"/>
    </row>
    <row r="19" spans="1:12" ht="21">
      <c r="A19" s="96"/>
      <c r="B19" s="117" t="s">
        <v>306</v>
      </c>
      <c r="C19" s="603">
        <v>138</v>
      </c>
      <c r="D19" s="603"/>
      <c r="E19" s="122"/>
      <c r="F19" s="123" t="s">
        <v>307</v>
      </c>
      <c r="G19" s="124"/>
      <c r="H19" s="604">
        <v>100</v>
      </c>
      <c r="I19" s="604"/>
      <c r="J19" s="96"/>
      <c r="K19" s="96"/>
      <c r="L19" s="96"/>
    </row>
    <row r="20" spans="1:12" ht="21">
      <c r="A20" s="96"/>
      <c r="B20" s="125"/>
      <c r="C20" s="605"/>
      <c r="D20" s="605"/>
      <c r="E20" s="125"/>
      <c r="F20" s="125"/>
      <c r="G20" s="125"/>
      <c r="H20" s="125"/>
      <c r="I20" s="125"/>
      <c r="J20" s="96"/>
      <c r="K20" s="96"/>
      <c r="L20" s="96"/>
    </row>
    <row r="21" spans="1:12" ht="21">
      <c r="A21" s="126"/>
      <c r="B21" s="117" t="s">
        <v>308</v>
      </c>
      <c r="C21" s="127">
        <f>(D18+F18)/I18/C19*H19</f>
        <v>0.72463768115942029</v>
      </c>
      <c r="D21" s="128"/>
      <c r="E21" s="128"/>
      <c r="F21" s="125"/>
      <c r="G21" s="125"/>
      <c r="H21" s="125"/>
      <c r="I21" s="125"/>
      <c r="J21" s="96"/>
      <c r="K21" s="96"/>
      <c r="L21" s="96"/>
    </row>
    <row r="22" spans="1:12" ht="21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</row>
    <row r="23" spans="1:12" ht="21">
      <c r="A23" s="96"/>
      <c r="B23" s="129"/>
      <c r="C23" s="130"/>
      <c r="D23" s="96"/>
      <c r="E23" s="96"/>
      <c r="F23" s="96"/>
      <c r="G23" s="96"/>
      <c r="H23" s="96"/>
      <c r="I23" s="96"/>
      <c r="J23" s="96"/>
      <c r="K23" s="96"/>
      <c r="L23" s="96"/>
    </row>
    <row r="24" spans="1:12" ht="21">
      <c r="A24" s="96"/>
      <c r="B24" s="129"/>
      <c r="C24" s="131"/>
      <c r="D24" s="132"/>
      <c r="E24" s="96"/>
      <c r="F24" s="96"/>
      <c r="G24" s="96"/>
      <c r="H24" s="96"/>
      <c r="I24" s="96"/>
      <c r="J24" s="96"/>
      <c r="K24" s="96"/>
      <c r="L24" s="96"/>
    </row>
  </sheetData>
  <sheetProtection password="B090" sheet="1" objects="1" scenarios="1"/>
  <mergeCells count="21">
    <mergeCell ref="C19:D19"/>
    <mergeCell ref="H19:I19"/>
    <mergeCell ref="C20:D20"/>
    <mergeCell ref="B13:C13"/>
    <mergeCell ref="D13:L13"/>
    <mergeCell ref="B14:C14"/>
    <mergeCell ref="D14:L14"/>
    <mergeCell ref="C17:D17"/>
    <mergeCell ref="F17:G17"/>
    <mergeCell ref="A10:B10"/>
    <mergeCell ref="C10:I10"/>
    <mergeCell ref="J10:L10"/>
    <mergeCell ref="A11:B11"/>
    <mergeCell ref="C11:I11"/>
    <mergeCell ref="J11:L11"/>
    <mergeCell ref="B1:C1"/>
    <mergeCell ref="A5:L5"/>
    <mergeCell ref="A6:L6"/>
    <mergeCell ref="A7:L7"/>
    <mergeCell ref="A9:I9"/>
    <mergeCell ref="J9:L9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5" orientation="landscape" horizontalDpi="4294967294" verticalDpi="4294967294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6"/>
  <sheetViews>
    <sheetView topLeftCell="A10" zoomScaleNormal="100" workbookViewId="0">
      <selection activeCell="E26" sqref="E26"/>
    </sheetView>
  </sheetViews>
  <sheetFormatPr defaultColWidth="9.140625" defaultRowHeight="15"/>
  <cols>
    <col min="1" max="1" width="38.42578125" style="93" customWidth="1"/>
    <col min="2" max="2" width="9.140625" style="93"/>
    <col min="3" max="14" width="15.85546875" style="93" customWidth="1"/>
    <col min="15" max="16384" width="9.140625" style="93"/>
  </cols>
  <sheetData>
    <row r="6" spans="1:14" ht="21" customHeight="1">
      <c r="A6" s="580" t="s">
        <v>0</v>
      </c>
      <c r="B6" s="580"/>
      <c r="C6" s="580"/>
      <c r="D6" s="580"/>
      <c r="E6" s="580"/>
      <c r="F6" s="580"/>
      <c r="G6" s="580"/>
      <c r="H6" s="580"/>
      <c r="I6" s="580"/>
      <c r="J6" s="580"/>
      <c r="K6" s="580"/>
      <c r="L6" s="580"/>
    </row>
    <row r="7" spans="1:14" ht="21" customHeight="1">
      <c r="A7" s="580" t="s">
        <v>2</v>
      </c>
      <c r="B7" s="580"/>
      <c r="C7" s="580"/>
      <c r="D7" s="580"/>
      <c r="E7" s="580"/>
      <c r="F7" s="580"/>
      <c r="G7" s="580"/>
      <c r="H7" s="580"/>
      <c r="I7" s="580"/>
      <c r="J7" s="580"/>
      <c r="K7" s="580"/>
      <c r="L7" s="580"/>
    </row>
    <row r="8" spans="1:14" ht="21" customHeight="1">
      <c r="A8" s="581" t="s">
        <v>5</v>
      </c>
      <c r="B8" s="581"/>
      <c r="C8" s="581"/>
      <c r="D8" s="581"/>
      <c r="E8" s="581"/>
      <c r="F8" s="581"/>
      <c r="G8" s="581"/>
      <c r="H8" s="581"/>
      <c r="I8" s="581"/>
      <c r="J8" s="581"/>
      <c r="K8" s="581"/>
      <c r="L8" s="581"/>
    </row>
    <row r="9" spans="1:14" ht="21">
      <c r="A9" s="96"/>
      <c r="B9" s="96"/>
      <c r="C9" s="97"/>
      <c r="D9" s="96"/>
      <c r="E9" s="96"/>
      <c r="F9" s="96"/>
      <c r="G9" s="96"/>
      <c r="H9" s="96"/>
      <c r="I9" s="96"/>
    </row>
    <row r="10" spans="1:14" ht="38.25" customHeight="1">
      <c r="A10" s="612" t="s">
        <v>309</v>
      </c>
      <c r="B10" s="612"/>
      <c r="C10" s="612"/>
      <c r="D10" s="612"/>
      <c r="E10" s="612"/>
      <c r="F10" s="612"/>
      <c r="G10" s="612"/>
      <c r="H10" s="612"/>
      <c r="I10" s="612"/>
      <c r="J10" s="612"/>
      <c r="K10" s="612"/>
      <c r="L10" s="612"/>
      <c r="M10" s="613" t="s">
        <v>1</v>
      </c>
      <c r="N10" s="613"/>
    </row>
    <row r="11" spans="1:14" ht="21" customHeight="1">
      <c r="A11" s="614" t="s">
        <v>8</v>
      </c>
      <c r="B11" s="614"/>
      <c r="C11" s="614"/>
      <c r="D11" s="614"/>
      <c r="E11" s="614"/>
      <c r="F11" s="614"/>
      <c r="G11" s="614" t="s">
        <v>295</v>
      </c>
      <c r="H11" s="614"/>
      <c r="I11" s="614"/>
      <c r="J11" s="614"/>
      <c r="K11" s="614"/>
      <c r="L11" s="614"/>
      <c r="M11" s="600" t="s">
        <v>296</v>
      </c>
      <c r="N11" s="600"/>
    </row>
    <row r="12" spans="1:14" ht="23.25" customHeight="1">
      <c r="A12" s="615" t="s">
        <v>464</v>
      </c>
      <c r="B12" s="616"/>
      <c r="C12" s="616"/>
      <c r="D12" s="616"/>
      <c r="E12" s="616"/>
      <c r="F12" s="617"/>
      <c r="G12" s="601" t="s">
        <v>469</v>
      </c>
      <c r="H12" s="601"/>
      <c r="I12" s="601"/>
      <c r="J12" s="601"/>
      <c r="K12" s="601"/>
      <c r="L12" s="601"/>
      <c r="M12" s="618" t="s">
        <v>6</v>
      </c>
      <c r="N12" s="618"/>
    </row>
    <row r="13" spans="1:14" ht="15.75">
      <c r="A13" s="98"/>
      <c r="B13" s="99"/>
      <c r="C13" s="100"/>
      <c r="D13" s="101"/>
      <c r="E13" s="101"/>
      <c r="F13" s="101"/>
      <c r="G13" s="101"/>
      <c r="H13" s="101"/>
    </row>
    <row r="14" spans="1:14">
      <c r="A14" s="98"/>
      <c r="B14" s="102"/>
      <c r="C14" s="98"/>
    </row>
    <row r="15" spans="1:14" ht="18" customHeight="1">
      <c r="A15" s="619" t="s">
        <v>310</v>
      </c>
      <c r="B15" s="620"/>
      <c r="C15" s="620"/>
      <c r="D15" s="620"/>
      <c r="E15" s="620"/>
      <c r="F15" s="620"/>
      <c r="G15" s="620"/>
      <c r="H15" s="620"/>
      <c r="I15" s="620"/>
      <c r="J15" s="620"/>
      <c r="K15" s="620"/>
      <c r="L15" s="620"/>
      <c r="M15" s="620"/>
      <c r="N15" s="620"/>
    </row>
    <row r="16" spans="1:14">
      <c r="A16" s="623" t="s">
        <v>309</v>
      </c>
      <c r="B16" s="624" t="s">
        <v>311</v>
      </c>
      <c r="C16" s="103" t="s">
        <v>312</v>
      </c>
      <c r="D16" s="103" t="s">
        <v>313</v>
      </c>
      <c r="E16" s="103" t="s">
        <v>314</v>
      </c>
      <c r="F16" s="103" t="s">
        <v>315</v>
      </c>
      <c r="G16" s="103" t="s">
        <v>316</v>
      </c>
      <c r="H16" s="103" t="s">
        <v>317</v>
      </c>
      <c r="I16" s="103" t="s">
        <v>318</v>
      </c>
      <c r="J16" s="103" t="s">
        <v>319</v>
      </c>
      <c r="K16" s="103" t="s">
        <v>320</v>
      </c>
      <c r="L16" s="103" t="s">
        <v>321</v>
      </c>
      <c r="M16" s="103" t="s">
        <v>322</v>
      </c>
      <c r="N16" s="103" t="s">
        <v>323</v>
      </c>
    </row>
    <row r="17" spans="1:14">
      <c r="A17" s="623"/>
      <c r="B17" s="624"/>
      <c r="C17" s="103" t="s">
        <v>324</v>
      </c>
      <c r="D17" s="103" t="s">
        <v>324</v>
      </c>
      <c r="E17" s="103" t="s">
        <v>324</v>
      </c>
      <c r="F17" s="103" t="s">
        <v>324</v>
      </c>
      <c r="G17" s="103" t="s">
        <v>324</v>
      </c>
      <c r="H17" s="103" t="s">
        <v>324</v>
      </c>
      <c r="I17" s="103" t="s">
        <v>324</v>
      </c>
      <c r="J17" s="103" t="s">
        <v>324</v>
      </c>
      <c r="K17" s="103" t="s">
        <v>324</v>
      </c>
      <c r="L17" s="103" t="s">
        <v>324</v>
      </c>
      <c r="M17" s="103" t="s">
        <v>324</v>
      </c>
      <c r="N17" s="103" t="s">
        <v>324</v>
      </c>
    </row>
    <row r="18" spans="1:14">
      <c r="A18" s="104" t="s">
        <v>325</v>
      </c>
      <c r="B18" s="625" t="s">
        <v>326</v>
      </c>
      <c r="C18" s="105">
        <v>0</v>
      </c>
      <c r="D18" s="105">
        <v>0</v>
      </c>
      <c r="E18" s="105">
        <v>0</v>
      </c>
      <c r="F18" s="105">
        <v>0</v>
      </c>
      <c r="G18" s="105">
        <v>0</v>
      </c>
      <c r="H18" s="105">
        <v>0</v>
      </c>
      <c r="I18" s="105">
        <v>0</v>
      </c>
      <c r="J18" s="105">
        <v>0</v>
      </c>
      <c r="K18" s="105">
        <v>0</v>
      </c>
      <c r="L18" s="105">
        <v>0</v>
      </c>
      <c r="M18" s="105">
        <v>0</v>
      </c>
      <c r="N18" s="105">
        <v>0</v>
      </c>
    </row>
    <row r="19" spans="1:14" ht="25.5">
      <c r="A19" s="106" t="s">
        <v>327</v>
      </c>
      <c r="B19" s="625"/>
      <c r="C19" s="105">
        <v>77</v>
      </c>
      <c r="D19" s="105">
        <v>0</v>
      </c>
      <c r="E19" s="105">
        <v>0</v>
      </c>
      <c r="F19" s="105">
        <v>0</v>
      </c>
      <c r="G19" s="105">
        <v>0</v>
      </c>
      <c r="H19" s="105">
        <v>0</v>
      </c>
      <c r="I19" s="105">
        <v>0</v>
      </c>
      <c r="J19" s="105">
        <v>0</v>
      </c>
      <c r="K19" s="105">
        <v>0</v>
      </c>
      <c r="L19" s="105">
        <v>0</v>
      </c>
      <c r="M19" s="105">
        <v>0</v>
      </c>
      <c r="N19" s="105">
        <v>0</v>
      </c>
    </row>
    <row r="20" spans="1:14">
      <c r="A20" s="104" t="s">
        <v>328</v>
      </c>
      <c r="B20" s="625"/>
      <c r="C20" s="105">
        <v>59</v>
      </c>
      <c r="D20" s="105">
        <v>0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</row>
    <row r="21" spans="1:14">
      <c r="A21" s="621" t="s">
        <v>329</v>
      </c>
      <c r="B21" s="621"/>
      <c r="C21" s="107">
        <f t="shared" ref="C21:N21" si="0">SUM(C18:C20)</f>
        <v>136</v>
      </c>
      <c r="D21" s="107">
        <f t="shared" si="0"/>
        <v>0</v>
      </c>
      <c r="E21" s="107">
        <f t="shared" si="0"/>
        <v>0</v>
      </c>
      <c r="F21" s="107">
        <f t="shared" si="0"/>
        <v>0</v>
      </c>
      <c r="G21" s="107">
        <f t="shared" si="0"/>
        <v>0</v>
      </c>
      <c r="H21" s="107">
        <f t="shared" si="0"/>
        <v>0</v>
      </c>
      <c r="I21" s="107">
        <f t="shared" si="0"/>
        <v>0</v>
      </c>
      <c r="J21" s="107">
        <f t="shared" si="0"/>
        <v>0</v>
      </c>
      <c r="K21" s="107">
        <f t="shared" si="0"/>
        <v>0</v>
      </c>
      <c r="L21" s="107">
        <f t="shared" si="0"/>
        <v>0</v>
      </c>
      <c r="M21" s="107">
        <f t="shared" si="0"/>
        <v>0</v>
      </c>
      <c r="N21" s="107">
        <f t="shared" si="0"/>
        <v>0</v>
      </c>
    </row>
    <row r="22" spans="1:14">
      <c r="A22" s="104" t="s">
        <v>330</v>
      </c>
      <c r="B22" s="626" t="s">
        <v>331</v>
      </c>
      <c r="C22" s="108">
        <v>21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</row>
    <row r="23" spans="1:14">
      <c r="A23" s="104" t="s">
        <v>332</v>
      </c>
      <c r="B23" s="626"/>
      <c r="C23" s="105">
        <v>0</v>
      </c>
      <c r="D23" s="105">
        <v>0</v>
      </c>
      <c r="E23" s="105">
        <v>0</v>
      </c>
      <c r="F23" s="105">
        <v>0</v>
      </c>
      <c r="G23" s="105">
        <v>0</v>
      </c>
      <c r="H23" s="105">
        <v>0</v>
      </c>
      <c r="I23" s="105">
        <v>0</v>
      </c>
      <c r="J23" s="105">
        <v>0</v>
      </c>
      <c r="K23" s="105">
        <v>0</v>
      </c>
      <c r="L23" s="105">
        <v>0</v>
      </c>
      <c r="M23" s="105">
        <v>0</v>
      </c>
      <c r="N23" s="105">
        <v>0</v>
      </c>
    </row>
    <row r="24" spans="1:14">
      <c r="A24" s="621" t="s">
        <v>333</v>
      </c>
      <c r="B24" s="621"/>
      <c r="C24" s="107">
        <f t="shared" ref="C24:N24" si="1">SUM(C22:C23)</f>
        <v>21</v>
      </c>
      <c r="D24" s="107">
        <f t="shared" si="1"/>
        <v>0</v>
      </c>
      <c r="E24" s="107">
        <f t="shared" si="1"/>
        <v>0</v>
      </c>
      <c r="F24" s="107">
        <f t="shared" si="1"/>
        <v>0</v>
      </c>
      <c r="G24" s="107">
        <f t="shared" si="1"/>
        <v>0</v>
      </c>
      <c r="H24" s="107">
        <f t="shared" si="1"/>
        <v>0</v>
      </c>
      <c r="I24" s="107">
        <f t="shared" si="1"/>
        <v>0</v>
      </c>
      <c r="J24" s="107">
        <f t="shared" si="1"/>
        <v>0</v>
      </c>
      <c r="K24" s="107">
        <f t="shared" si="1"/>
        <v>0</v>
      </c>
      <c r="L24" s="107">
        <f t="shared" si="1"/>
        <v>0</v>
      </c>
      <c r="M24" s="107">
        <f t="shared" si="1"/>
        <v>0</v>
      </c>
      <c r="N24" s="107">
        <f t="shared" si="1"/>
        <v>0</v>
      </c>
    </row>
    <row r="25" spans="1:14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</row>
    <row r="26" spans="1:14">
      <c r="A26" s="622" t="s">
        <v>334</v>
      </c>
      <c r="B26" s="622"/>
      <c r="C26" s="109">
        <f t="shared" ref="C26:N26" si="2">C24+C21</f>
        <v>157</v>
      </c>
      <c r="D26" s="109">
        <f t="shared" si="2"/>
        <v>0</v>
      </c>
      <c r="E26" s="109">
        <f t="shared" si="2"/>
        <v>0</v>
      </c>
      <c r="F26" s="109">
        <f t="shared" si="2"/>
        <v>0</v>
      </c>
      <c r="G26" s="109">
        <f t="shared" si="2"/>
        <v>0</v>
      </c>
      <c r="H26" s="109">
        <f t="shared" si="2"/>
        <v>0</v>
      </c>
      <c r="I26" s="109">
        <f t="shared" si="2"/>
        <v>0</v>
      </c>
      <c r="J26" s="109">
        <f t="shared" si="2"/>
        <v>0</v>
      </c>
      <c r="K26" s="109">
        <f t="shared" si="2"/>
        <v>0</v>
      </c>
      <c r="L26" s="109">
        <f t="shared" si="2"/>
        <v>0</v>
      </c>
      <c r="M26" s="109">
        <f t="shared" si="2"/>
        <v>0</v>
      </c>
      <c r="N26" s="109">
        <f t="shared" si="2"/>
        <v>0</v>
      </c>
    </row>
  </sheetData>
  <sheetProtection password="B090" sheet="1" objects="1" scenarios="1"/>
  <mergeCells count="19">
    <mergeCell ref="A15:N15"/>
    <mergeCell ref="A21:B21"/>
    <mergeCell ref="A24:B24"/>
    <mergeCell ref="A26:B26"/>
    <mergeCell ref="A16:A17"/>
    <mergeCell ref="B16:B17"/>
    <mergeCell ref="B18:B20"/>
    <mergeCell ref="B22:B23"/>
    <mergeCell ref="A11:F11"/>
    <mergeCell ref="G11:L11"/>
    <mergeCell ref="M11:N11"/>
    <mergeCell ref="A12:F12"/>
    <mergeCell ref="G12:L12"/>
    <mergeCell ref="M12:N12"/>
    <mergeCell ref="A6:L6"/>
    <mergeCell ref="A7:L7"/>
    <mergeCell ref="A8:L8"/>
    <mergeCell ref="A10:L10"/>
    <mergeCell ref="M10:N10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5"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74"/>
  <sheetViews>
    <sheetView topLeftCell="A13" zoomScale="86" zoomScaleNormal="86" workbookViewId="0">
      <selection activeCell="H72" sqref="H72"/>
    </sheetView>
  </sheetViews>
  <sheetFormatPr defaultColWidth="8.7109375" defaultRowHeight="15.75"/>
  <cols>
    <col min="1" max="1" width="8.140625" style="16" customWidth="1"/>
    <col min="2" max="2" width="33.28515625" style="16" customWidth="1"/>
    <col min="3" max="3" width="35.140625" style="16" customWidth="1"/>
    <col min="4" max="4" width="40" style="16" customWidth="1"/>
    <col min="5" max="5" width="29.42578125" style="16" customWidth="1"/>
    <col min="6" max="6" width="47" style="16" customWidth="1"/>
    <col min="7" max="7" width="27.140625" style="16" customWidth="1"/>
    <col min="8" max="8" width="41" style="16" customWidth="1"/>
    <col min="9" max="9" width="19.7109375" style="16" customWidth="1"/>
    <col min="10" max="256" width="8.7109375" style="16"/>
    <col min="257" max="257" width="8.140625" style="16" customWidth="1"/>
    <col min="258" max="258" width="40.140625" style="16" customWidth="1"/>
    <col min="259" max="259" width="43.42578125" style="16" customWidth="1"/>
    <col min="260" max="260" width="30.7109375" style="16" customWidth="1"/>
    <col min="261" max="261" width="24.85546875" style="16" customWidth="1"/>
    <col min="262" max="262" width="34.42578125" style="16" customWidth="1"/>
    <col min="263" max="263" width="27.140625" style="16" customWidth="1"/>
    <col min="264" max="264" width="23.5703125" style="16" customWidth="1"/>
    <col min="265" max="512" width="8.7109375" style="16"/>
    <col min="513" max="513" width="8.140625" style="16" customWidth="1"/>
    <col min="514" max="514" width="40.140625" style="16" customWidth="1"/>
    <col min="515" max="515" width="43.42578125" style="16" customWidth="1"/>
    <col min="516" max="516" width="30.7109375" style="16" customWidth="1"/>
    <col min="517" max="517" width="24.85546875" style="16" customWidth="1"/>
    <col min="518" max="518" width="34.42578125" style="16" customWidth="1"/>
    <col min="519" max="519" width="27.140625" style="16" customWidth="1"/>
    <col min="520" max="520" width="23.5703125" style="16" customWidth="1"/>
    <col min="521" max="768" width="8.7109375" style="16"/>
    <col min="769" max="769" width="8.140625" style="16" customWidth="1"/>
    <col min="770" max="770" width="40.140625" style="16" customWidth="1"/>
    <col min="771" max="771" width="43.42578125" style="16" customWidth="1"/>
    <col min="772" max="772" width="30.7109375" style="16" customWidth="1"/>
    <col min="773" max="773" width="24.85546875" style="16" customWidth="1"/>
    <col min="774" max="774" width="34.42578125" style="16" customWidth="1"/>
    <col min="775" max="775" width="27.140625" style="16" customWidth="1"/>
    <col min="776" max="776" width="23.5703125" style="16" customWidth="1"/>
    <col min="777" max="1024" width="8.7109375" style="16"/>
    <col min="1025" max="1025" width="8.140625" style="16" customWidth="1"/>
    <col min="1026" max="1026" width="40.140625" style="16" customWidth="1"/>
    <col min="1027" max="1027" width="43.42578125" style="16" customWidth="1"/>
    <col min="1028" max="1028" width="30.7109375" style="16" customWidth="1"/>
    <col min="1029" max="1029" width="24.85546875" style="16" customWidth="1"/>
    <col min="1030" max="1030" width="34.42578125" style="16" customWidth="1"/>
    <col min="1031" max="1031" width="27.140625" style="16" customWidth="1"/>
    <col min="1032" max="1032" width="23.5703125" style="16" customWidth="1"/>
    <col min="1033" max="1280" width="8.7109375" style="16"/>
    <col min="1281" max="1281" width="8.140625" style="16" customWidth="1"/>
    <col min="1282" max="1282" width="40.140625" style="16" customWidth="1"/>
    <col min="1283" max="1283" width="43.42578125" style="16" customWidth="1"/>
    <col min="1284" max="1284" width="30.7109375" style="16" customWidth="1"/>
    <col min="1285" max="1285" width="24.85546875" style="16" customWidth="1"/>
    <col min="1286" max="1286" width="34.42578125" style="16" customWidth="1"/>
    <col min="1287" max="1287" width="27.140625" style="16" customWidth="1"/>
    <col min="1288" max="1288" width="23.5703125" style="16" customWidth="1"/>
    <col min="1289" max="1536" width="8.7109375" style="16"/>
    <col min="1537" max="1537" width="8.140625" style="16" customWidth="1"/>
    <col min="1538" max="1538" width="40.140625" style="16" customWidth="1"/>
    <col min="1539" max="1539" width="43.42578125" style="16" customWidth="1"/>
    <col min="1540" max="1540" width="30.7109375" style="16" customWidth="1"/>
    <col min="1541" max="1541" width="24.85546875" style="16" customWidth="1"/>
    <col min="1542" max="1542" width="34.42578125" style="16" customWidth="1"/>
    <col min="1543" max="1543" width="27.140625" style="16" customWidth="1"/>
    <col min="1544" max="1544" width="23.5703125" style="16" customWidth="1"/>
    <col min="1545" max="1792" width="8.7109375" style="16"/>
    <col min="1793" max="1793" width="8.140625" style="16" customWidth="1"/>
    <col min="1794" max="1794" width="40.140625" style="16" customWidth="1"/>
    <col min="1795" max="1795" width="43.42578125" style="16" customWidth="1"/>
    <col min="1796" max="1796" width="30.7109375" style="16" customWidth="1"/>
    <col min="1797" max="1797" width="24.85546875" style="16" customWidth="1"/>
    <col min="1798" max="1798" width="34.42578125" style="16" customWidth="1"/>
    <col min="1799" max="1799" width="27.140625" style="16" customWidth="1"/>
    <col min="1800" max="1800" width="23.5703125" style="16" customWidth="1"/>
    <col min="1801" max="2048" width="8.7109375" style="16"/>
    <col min="2049" max="2049" width="8.140625" style="16" customWidth="1"/>
    <col min="2050" max="2050" width="40.140625" style="16" customWidth="1"/>
    <col min="2051" max="2051" width="43.42578125" style="16" customWidth="1"/>
    <col min="2052" max="2052" width="30.7109375" style="16" customWidth="1"/>
    <col min="2053" max="2053" width="24.85546875" style="16" customWidth="1"/>
    <col min="2054" max="2054" width="34.42578125" style="16" customWidth="1"/>
    <col min="2055" max="2055" width="27.140625" style="16" customWidth="1"/>
    <col min="2056" max="2056" width="23.5703125" style="16" customWidth="1"/>
    <col min="2057" max="2304" width="8.7109375" style="16"/>
    <col min="2305" max="2305" width="8.140625" style="16" customWidth="1"/>
    <col min="2306" max="2306" width="40.140625" style="16" customWidth="1"/>
    <col min="2307" max="2307" width="43.42578125" style="16" customWidth="1"/>
    <col min="2308" max="2308" width="30.7109375" style="16" customWidth="1"/>
    <col min="2309" max="2309" width="24.85546875" style="16" customWidth="1"/>
    <col min="2310" max="2310" width="34.42578125" style="16" customWidth="1"/>
    <col min="2311" max="2311" width="27.140625" style="16" customWidth="1"/>
    <col min="2312" max="2312" width="23.5703125" style="16" customWidth="1"/>
    <col min="2313" max="2560" width="8.7109375" style="16"/>
    <col min="2561" max="2561" width="8.140625" style="16" customWidth="1"/>
    <col min="2562" max="2562" width="40.140625" style="16" customWidth="1"/>
    <col min="2563" max="2563" width="43.42578125" style="16" customWidth="1"/>
    <col min="2564" max="2564" width="30.7109375" style="16" customWidth="1"/>
    <col min="2565" max="2565" width="24.85546875" style="16" customWidth="1"/>
    <col min="2566" max="2566" width="34.42578125" style="16" customWidth="1"/>
    <col min="2567" max="2567" width="27.140625" style="16" customWidth="1"/>
    <col min="2568" max="2568" width="23.5703125" style="16" customWidth="1"/>
    <col min="2569" max="2816" width="8.7109375" style="16"/>
    <col min="2817" max="2817" width="8.140625" style="16" customWidth="1"/>
    <col min="2818" max="2818" width="40.140625" style="16" customWidth="1"/>
    <col min="2819" max="2819" width="43.42578125" style="16" customWidth="1"/>
    <col min="2820" max="2820" width="30.7109375" style="16" customWidth="1"/>
    <col min="2821" max="2821" width="24.85546875" style="16" customWidth="1"/>
    <col min="2822" max="2822" width="34.42578125" style="16" customWidth="1"/>
    <col min="2823" max="2823" width="27.140625" style="16" customWidth="1"/>
    <col min="2824" max="2824" width="23.5703125" style="16" customWidth="1"/>
    <col min="2825" max="3072" width="8.7109375" style="16"/>
    <col min="3073" max="3073" width="8.140625" style="16" customWidth="1"/>
    <col min="3074" max="3074" width="40.140625" style="16" customWidth="1"/>
    <col min="3075" max="3075" width="43.42578125" style="16" customWidth="1"/>
    <col min="3076" max="3076" width="30.7109375" style="16" customWidth="1"/>
    <col min="3077" max="3077" width="24.85546875" style="16" customWidth="1"/>
    <col min="3078" max="3078" width="34.42578125" style="16" customWidth="1"/>
    <col min="3079" max="3079" width="27.140625" style="16" customWidth="1"/>
    <col min="3080" max="3080" width="23.5703125" style="16" customWidth="1"/>
    <col min="3081" max="3328" width="8.7109375" style="16"/>
    <col min="3329" max="3329" width="8.140625" style="16" customWidth="1"/>
    <col min="3330" max="3330" width="40.140625" style="16" customWidth="1"/>
    <col min="3331" max="3331" width="43.42578125" style="16" customWidth="1"/>
    <col min="3332" max="3332" width="30.7109375" style="16" customWidth="1"/>
    <col min="3333" max="3333" width="24.85546875" style="16" customWidth="1"/>
    <col min="3334" max="3334" width="34.42578125" style="16" customWidth="1"/>
    <col min="3335" max="3335" width="27.140625" style="16" customWidth="1"/>
    <col min="3336" max="3336" width="23.5703125" style="16" customWidth="1"/>
    <col min="3337" max="3584" width="8.7109375" style="16"/>
    <col min="3585" max="3585" width="8.140625" style="16" customWidth="1"/>
    <col min="3586" max="3586" width="40.140625" style="16" customWidth="1"/>
    <col min="3587" max="3587" width="43.42578125" style="16" customWidth="1"/>
    <col min="3588" max="3588" width="30.7109375" style="16" customWidth="1"/>
    <col min="3589" max="3589" width="24.85546875" style="16" customWidth="1"/>
    <col min="3590" max="3590" width="34.42578125" style="16" customWidth="1"/>
    <col min="3591" max="3591" width="27.140625" style="16" customWidth="1"/>
    <col min="3592" max="3592" width="23.5703125" style="16" customWidth="1"/>
    <col min="3593" max="3840" width="8.7109375" style="16"/>
    <col min="3841" max="3841" width="8.140625" style="16" customWidth="1"/>
    <col min="3842" max="3842" width="40.140625" style="16" customWidth="1"/>
    <col min="3843" max="3843" width="43.42578125" style="16" customWidth="1"/>
    <col min="3844" max="3844" width="30.7109375" style="16" customWidth="1"/>
    <col min="3845" max="3845" width="24.85546875" style="16" customWidth="1"/>
    <col min="3846" max="3846" width="34.42578125" style="16" customWidth="1"/>
    <col min="3847" max="3847" width="27.140625" style="16" customWidth="1"/>
    <col min="3848" max="3848" width="23.5703125" style="16" customWidth="1"/>
    <col min="3849" max="4096" width="8.7109375" style="16"/>
    <col min="4097" max="4097" width="8.140625" style="16" customWidth="1"/>
    <col min="4098" max="4098" width="40.140625" style="16" customWidth="1"/>
    <col min="4099" max="4099" width="43.42578125" style="16" customWidth="1"/>
    <col min="4100" max="4100" width="30.7109375" style="16" customWidth="1"/>
    <col min="4101" max="4101" width="24.85546875" style="16" customWidth="1"/>
    <col min="4102" max="4102" width="34.42578125" style="16" customWidth="1"/>
    <col min="4103" max="4103" width="27.140625" style="16" customWidth="1"/>
    <col min="4104" max="4104" width="23.5703125" style="16" customWidth="1"/>
    <col min="4105" max="4352" width="8.7109375" style="16"/>
    <col min="4353" max="4353" width="8.140625" style="16" customWidth="1"/>
    <col min="4354" max="4354" width="40.140625" style="16" customWidth="1"/>
    <col min="4355" max="4355" width="43.42578125" style="16" customWidth="1"/>
    <col min="4356" max="4356" width="30.7109375" style="16" customWidth="1"/>
    <col min="4357" max="4357" width="24.85546875" style="16" customWidth="1"/>
    <col min="4358" max="4358" width="34.42578125" style="16" customWidth="1"/>
    <col min="4359" max="4359" width="27.140625" style="16" customWidth="1"/>
    <col min="4360" max="4360" width="23.5703125" style="16" customWidth="1"/>
    <col min="4361" max="4608" width="8.7109375" style="16"/>
    <col min="4609" max="4609" width="8.140625" style="16" customWidth="1"/>
    <col min="4610" max="4610" width="40.140625" style="16" customWidth="1"/>
    <col min="4611" max="4611" width="43.42578125" style="16" customWidth="1"/>
    <col min="4612" max="4612" width="30.7109375" style="16" customWidth="1"/>
    <col min="4613" max="4613" width="24.85546875" style="16" customWidth="1"/>
    <col min="4614" max="4614" width="34.42578125" style="16" customWidth="1"/>
    <col min="4615" max="4615" width="27.140625" style="16" customWidth="1"/>
    <col min="4616" max="4616" width="23.5703125" style="16" customWidth="1"/>
    <col min="4617" max="4864" width="8.7109375" style="16"/>
    <col min="4865" max="4865" width="8.140625" style="16" customWidth="1"/>
    <col min="4866" max="4866" width="40.140625" style="16" customWidth="1"/>
    <col min="4867" max="4867" width="43.42578125" style="16" customWidth="1"/>
    <col min="4868" max="4868" width="30.7109375" style="16" customWidth="1"/>
    <col min="4869" max="4869" width="24.85546875" style="16" customWidth="1"/>
    <col min="4870" max="4870" width="34.42578125" style="16" customWidth="1"/>
    <col min="4871" max="4871" width="27.140625" style="16" customWidth="1"/>
    <col min="4872" max="4872" width="23.5703125" style="16" customWidth="1"/>
    <col min="4873" max="5120" width="8.7109375" style="16"/>
    <col min="5121" max="5121" width="8.140625" style="16" customWidth="1"/>
    <col min="5122" max="5122" width="40.140625" style="16" customWidth="1"/>
    <col min="5123" max="5123" width="43.42578125" style="16" customWidth="1"/>
    <col min="5124" max="5124" width="30.7109375" style="16" customWidth="1"/>
    <col min="5125" max="5125" width="24.85546875" style="16" customWidth="1"/>
    <col min="5126" max="5126" width="34.42578125" style="16" customWidth="1"/>
    <col min="5127" max="5127" width="27.140625" style="16" customWidth="1"/>
    <col min="5128" max="5128" width="23.5703125" style="16" customWidth="1"/>
    <col min="5129" max="5376" width="8.7109375" style="16"/>
    <col min="5377" max="5377" width="8.140625" style="16" customWidth="1"/>
    <col min="5378" max="5378" width="40.140625" style="16" customWidth="1"/>
    <col min="5379" max="5379" width="43.42578125" style="16" customWidth="1"/>
    <col min="5380" max="5380" width="30.7109375" style="16" customWidth="1"/>
    <col min="5381" max="5381" width="24.85546875" style="16" customWidth="1"/>
    <col min="5382" max="5382" width="34.42578125" style="16" customWidth="1"/>
    <col min="5383" max="5383" width="27.140625" style="16" customWidth="1"/>
    <col min="5384" max="5384" width="23.5703125" style="16" customWidth="1"/>
    <col min="5385" max="5632" width="8.7109375" style="16"/>
    <col min="5633" max="5633" width="8.140625" style="16" customWidth="1"/>
    <col min="5634" max="5634" width="40.140625" style="16" customWidth="1"/>
    <col min="5635" max="5635" width="43.42578125" style="16" customWidth="1"/>
    <col min="5636" max="5636" width="30.7109375" style="16" customWidth="1"/>
    <col min="5637" max="5637" width="24.85546875" style="16" customWidth="1"/>
    <col min="5638" max="5638" width="34.42578125" style="16" customWidth="1"/>
    <col min="5639" max="5639" width="27.140625" style="16" customWidth="1"/>
    <col min="5640" max="5640" width="23.5703125" style="16" customWidth="1"/>
    <col min="5641" max="5888" width="8.7109375" style="16"/>
    <col min="5889" max="5889" width="8.140625" style="16" customWidth="1"/>
    <col min="5890" max="5890" width="40.140625" style="16" customWidth="1"/>
    <col min="5891" max="5891" width="43.42578125" style="16" customWidth="1"/>
    <col min="5892" max="5892" width="30.7109375" style="16" customWidth="1"/>
    <col min="5893" max="5893" width="24.85546875" style="16" customWidth="1"/>
    <col min="5894" max="5894" width="34.42578125" style="16" customWidth="1"/>
    <col min="5895" max="5895" width="27.140625" style="16" customWidth="1"/>
    <col min="5896" max="5896" width="23.5703125" style="16" customWidth="1"/>
    <col min="5897" max="6144" width="8.7109375" style="16"/>
    <col min="6145" max="6145" width="8.140625" style="16" customWidth="1"/>
    <col min="6146" max="6146" width="40.140625" style="16" customWidth="1"/>
    <col min="6147" max="6147" width="43.42578125" style="16" customWidth="1"/>
    <col min="6148" max="6148" width="30.7109375" style="16" customWidth="1"/>
    <col min="6149" max="6149" width="24.85546875" style="16" customWidth="1"/>
    <col min="6150" max="6150" width="34.42578125" style="16" customWidth="1"/>
    <col min="6151" max="6151" width="27.140625" style="16" customWidth="1"/>
    <col min="6152" max="6152" width="23.5703125" style="16" customWidth="1"/>
    <col min="6153" max="6400" width="8.7109375" style="16"/>
    <col min="6401" max="6401" width="8.140625" style="16" customWidth="1"/>
    <col min="6402" max="6402" width="40.140625" style="16" customWidth="1"/>
    <col min="6403" max="6403" width="43.42578125" style="16" customWidth="1"/>
    <col min="6404" max="6404" width="30.7109375" style="16" customWidth="1"/>
    <col min="6405" max="6405" width="24.85546875" style="16" customWidth="1"/>
    <col min="6406" max="6406" width="34.42578125" style="16" customWidth="1"/>
    <col min="6407" max="6407" width="27.140625" style="16" customWidth="1"/>
    <col min="6408" max="6408" width="23.5703125" style="16" customWidth="1"/>
    <col min="6409" max="6656" width="8.7109375" style="16"/>
    <col min="6657" max="6657" width="8.140625" style="16" customWidth="1"/>
    <col min="6658" max="6658" width="40.140625" style="16" customWidth="1"/>
    <col min="6659" max="6659" width="43.42578125" style="16" customWidth="1"/>
    <col min="6660" max="6660" width="30.7109375" style="16" customWidth="1"/>
    <col min="6661" max="6661" width="24.85546875" style="16" customWidth="1"/>
    <col min="6662" max="6662" width="34.42578125" style="16" customWidth="1"/>
    <col min="6663" max="6663" width="27.140625" style="16" customWidth="1"/>
    <col min="6664" max="6664" width="23.5703125" style="16" customWidth="1"/>
    <col min="6665" max="6912" width="8.7109375" style="16"/>
    <col min="6913" max="6913" width="8.140625" style="16" customWidth="1"/>
    <col min="6914" max="6914" width="40.140625" style="16" customWidth="1"/>
    <col min="6915" max="6915" width="43.42578125" style="16" customWidth="1"/>
    <col min="6916" max="6916" width="30.7109375" style="16" customWidth="1"/>
    <col min="6917" max="6917" width="24.85546875" style="16" customWidth="1"/>
    <col min="6918" max="6918" width="34.42578125" style="16" customWidth="1"/>
    <col min="6919" max="6919" width="27.140625" style="16" customWidth="1"/>
    <col min="6920" max="6920" width="23.5703125" style="16" customWidth="1"/>
    <col min="6921" max="7168" width="8.7109375" style="16"/>
    <col min="7169" max="7169" width="8.140625" style="16" customWidth="1"/>
    <col min="7170" max="7170" width="40.140625" style="16" customWidth="1"/>
    <col min="7171" max="7171" width="43.42578125" style="16" customWidth="1"/>
    <col min="7172" max="7172" width="30.7109375" style="16" customWidth="1"/>
    <col min="7173" max="7173" width="24.85546875" style="16" customWidth="1"/>
    <col min="7174" max="7174" width="34.42578125" style="16" customWidth="1"/>
    <col min="7175" max="7175" width="27.140625" style="16" customWidth="1"/>
    <col min="7176" max="7176" width="23.5703125" style="16" customWidth="1"/>
    <col min="7177" max="7424" width="8.7109375" style="16"/>
    <col min="7425" max="7425" width="8.140625" style="16" customWidth="1"/>
    <col min="7426" max="7426" width="40.140625" style="16" customWidth="1"/>
    <col min="7427" max="7427" width="43.42578125" style="16" customWidth="1"/>
    <col min="7428" max="7428" width="30.7109375" style="16" customWidth="1"/>
    <col min="7429" max="7429" width="24.85546875" style="16" customWidth="1"/>
    <col min="7430" max="7430" width="34.42578125" style="16" customWidth="1"/>
    <col min="7431" max="7431" width="27.140625" style="16" customWidth="1"/>
    <col min="7432" max="7432" width="23.5703125" style="16" customWidth="1"/>
    <col min="7433" max="7680" width="8.7109375" style="16"/>
    <col min="7681" max="7681" width="8.140625" style="16" customWidth="1"/>
    <col min="7682" max="7682" width="40.140625" style="16" customWidth="1"/>
    <col min="7683" max="7683" width="43.42578125" style="16" customWidth="1"/>
    <col min="7684" max="7684" width="30.7109375" style="16" customWidth="1"/>
    <col min="7685" max="7685" width="24.85546875" style="16" customWidth="1"/>
    <col min="7686" max="7686" width="34.42578125" style="16" customWidth="1"/>
    <col min="7687" max="7687" width="27.140625" style="16" customWidth="1"/>
    <col min="7688" max="7688" width="23.5703125" style="16" customWidth="1"/>
    <col min="7689" max="7936" width="8.7109375" style="16"/>
    <col min="7937" max="7937" width="8.140625" style="16" customWidth="1"/>
    <col min="7938" max="7938" width="40.140625" style="16" customWidth="1"/>
    <col min="7939" max="7939" width="43.42578125" style="16" customWidth="1"/>
    <col min="7940" max="7940" width="30.7109375" style="16" customWidth="1"/>
    <col min="7941" max="7941" width="24.85546875" style="16" customWidth="1"/>
    <col min="7942" max="7942" width="34.42578125" style="16" customWidth="1"/>
    <col min="7943" max="7943" width="27.140625" style="16" customWidth="1"/>
    <col min="7944" max="7944" width="23.5703125" style="16" customWidth="1"/>
    <col min="7945" max="8192" width="8.7109375" style="16"/>
    <col min="8193" max="8193" width="8.140625" style="16" customWidth="1"/>
    <col min="8194" max="8194" width="40.140625" style="16" customWidth="1"/>
    <col min="8195" max="8195" width="43.42578125" style="16" customWidth="1"/>
    <col min="8196" max="8196" width="30.7109375" style="16" customWidth="1"/>
    <col min="8197" max="8197" width="24.85546875" style="16" customWidth="1"/>
    <col min="8198" max="8198" width="34.42578125" style="16" customWidth="1"/>
    <col min="8199" max="8199" width="27.140625" style="16" customWidth="1"/>
    <col min="8200" max="8200" width="23.5703125" style="16" customWidth="1"/>
    <col min="8201" max="8448" width="8.7109375" style="16"/>
    <col min="8449" max="8449" width="8.140625" style="16" customWidth="1"/>
    <col min="8450" max="8450" width="40.140625" style="16" customWidth="1"/>
    <col min="8451" max="8451" width="43.42578125" style="16" customWidth="1"/>
    <col min="8452" max="8452" width="30.7109375" style="16" customWidth="1"/>
    <col min="8453" max="8453" width="24.85546875" style="16" customWidth="1"/>
    <col min="8454" max="8454" width="34.42578125" style="16" customWidth="1"/>
    <col min="8455" max="8455" width="27.140625" style="16" customWidth="1"/>
    <col min="8456" max="8456" width="23.5703125" style="16" customWidth="1"/>
    <col min="8457" max="8704" width="8.7109375" style="16"/>
    <col min="8705" max="8705" width="8.140625" style="16" customWidth="1"/>
    <col min="8706" max="8706" width="40.140625" style="16" customWidth="1"/>
    <col min="8707" max="8707" width="43.42578125" style="16" customWidth="1"/>
    <col min="8708" max="8708" width="30.7109375" style="16" customWidth="1"/>
    <col min="8709" max="8709" width="24.85546875" style="16" customWidth="1"/>
    <col min="8710" max="8710" width="34.42578125" style="16" customWidth="1"/>
    <col min="8711" max="8711" width="27.140625" style="16" customWidth="1"/>
    <col min="8712" max="8712" width="23.5703125" style="16" customWidth="1"/>
    <col min="8713" max="8960" width="8.7109375" style="16"/>
    <col min="8961" max="8961" width="8.140625" style="16" customWidth="1"/>
    <col min="8962" max="8962" width="40.140625" style="16" customWidth="1"/>
    <col min="8963" max="8963" width="43.42578125" style="16" customWidth="1"/>
    <col min="8964" max="8964" width="30.7109375" style="16" customWidth="1"/>
    <col min="8965" max="8965" width="24.85546875" style="16" customWidth="1"/>
    <col min="8966" max="8966" width="34.42578125" style="16" customWidth="1"/>
    <col min="8967" max="8967" width="27.140625" style="16" customWidth="1"/>
    <col min="8968" max="8968" width="23.5703125" style="16" customWidth="1"/>
    <col min="8969" max="9216" width="8.7109375" style="16"/>
    <col min="9217" max="9217" width="8.140625" style="16" customWidth="1"/>
    <col min="9218" max="9218" width="40.140625" style="16" customWidth="1"/>
    <col min="9219" max="9219" width="43.42578125" style="16" customWidth="1"/>
    <col min="9220" max="9220" width="30.7109375" style="16" customWidth="1"/>
    <col min="9221" max="9221" width="24.85546875" style="16" customWidth="1"/>
    <col min="9222" max="9222" width="34.42578125" style="16" customWidth="1"/>
    <col min="9223" max="9223" width="27.140625" style="16" customWidth="1"/>
    <col min="9224" max="9224" width="23.5703125" style="16" customWidth="1"/>
    <col min="9225" max="9472" width="8.7109375" style="16"/>
    <col min="9473" max="9473" width="8.140625" style="16" customWidth="1"/>
    <col min="9474" max="9474" width="40.140625" style="16" customWidth="1"/>
    <col min="9475" max="9475" width="43.42578125" style="16" customWidth="1"/>
    <col min="9476" max="9476" width="30.7109375" style="16" customWidth="1"/>
    <col min="9477" max="9477" width="24.85546875" style="16" customWidth="1"/>
    <col min="9478" max="9478" width="34.42578125" style="16" customWidth="1"/>
    <col min="9479" max="9479" width="27.140625" style="16" customWidth="1"/>
    <col min="9480" max="9480" width="23.5703125" style="16" customWidth="1"/>
    <col min="9481" max="9728" width="8.7109375" style="16"/>
    <col min="9729" max="9729" width="8.140625" style="16" customWidth="1"/>
    <col min="9730" max="9730" width="40.140625" style="16" customWidth="1"/>
    <col min="9731" max="9731" width="43.42578125" style="16" customWidth="1"/>
    <col min="9732" max="9732" width="30.7109375" style="16" customWidth="1"/>
    <col min="9733" max="9733" width="24.85546875" style="16" customWidth="1"/>
    <col min="9734" max="9734" width="34.42578125" style="16" customWidth="1"/>
    <col min="9735" max="9735" width="27.140625" style="16" customWidth="1"/>
    <col min="9736" max="9736" width="23.5703125" style="16" customWidth="1"/>
    <col min="9737" max="9984" width="8.7109375" style="16"/>
    <col min="9985" max="9985" width="8.140625" style="16" customWidth="1"/>
    <col min="9986" max="9986" width="40.140625" style="16" customWidth="1"/>
    <col min="9987" max="9987" width="43.42578125" style="16" customWidth="1"/>
    <col min="9988" max="9988" width="30.7109375" style="16" customWidth="1"/>
    <col min="9989" max="9989" width="24.85546875" style="16" customWidth="1"/>
    <col min="9990" max="9990" width="34.42578125" style="16" customWidth="1"/>
    <col min="9991" max="9991" width="27.140625" style="16" customWidth="1"/>
    <col min="9992" max="9992" width="23.5703125" style="16" customWidth="1"/>
    <col min="9993" max="10240" width="8.7109375" style="16"/>
    <col min="10241" max="10241" width="8.140625" style="16" customWidth="1"/>
    <col min="10242" max="10242" width="40.140625" style="16" customWidth="1"/>
    <col min="10243" max="10243" width="43.42578125" style="16" customWidth="1"/>
    <col min="10244" max="10244" width="30.7109375" style="16" customWidth="1"/>
    <col min="10245" max="10245" width="24.85546875" style="16" customWidth="1"/>
    <col min="10246" max="10246" width="34.42578125" style="16" customWidth="1"/>
    <col min="10247" max="10247" width="27.140625" style="16" customWidth="1"/>
    <col min="10248" max="10248" width="23.5703125" style="16" customWidth="1"/>
    <col min="10249" max="10496" width="8.7109375" style="16"/>
    <col min="10497" max="10497" width="8.140625" style="16" customWidth="1"/>
    <col min="10498" max="10498" width="40.140625" style="16" customWidth="1"/>
    <col min="10499" max="10499" width="43.42578125" style="16" customWidth="1"/>
    <col min="10500" max="10500" width="30.7109375" style="16" customWidth="1"/>
    <col min="10501" max="10501" width="24.85546875" style="16" customWidth="1"/>
    <col min="10502" max="10502" width="34.42578125" style="16" customWidth="1"/>
    <col min="10503" max="10503" width="27.140625" style="16" customWidth="1"/>
    <col min="10504" max="10504" width="23.5703125" style="16" customWidth="1"/>
    <col min="10505" max="10752" width="8.7109375" style="16"/>
    <col min="10753" max="10753" width="8.140625" style="16" customWidth="1"/>
    <col min="10754" max="10754" width="40.140625" style="16" customWidth="1"/>
    <col min="10755" max="10755" width="43.42578125" style="16" customWidth="1"/>
    <col min="10756" max="10756" width="30.7109375" style="16" customWidth="1"/>
    <col min="10757" max="10757" width="24.85546875" style="16" customWidth="1"/>
    <col min="10758" max="10758" width="34.42578125" style="16" customWidth="1"/>
    <col min="10759" max="10759" width="27.140625" style="16" customWidth="1"/>
    <col min="10760" max="10760" width="23.5703125" style="16" customWidth="1"/>
    <col min="10761" max="11008" width="8.7109375" style="16"/>
    <col min="11009" max="11009" width="8.140625" style="16" customWidth="1"/>
    <col min="11010" max="11010" width="40.140625" style="16" customWidth="1"/>
    <col min="11011" max="11011" width="43.42578125" style="16" customWidth="1"/>
    <col min="11012" max="11012" width="30.7109375" style="16" customWidth="1"/>
    <col min="11013" max="11013" width="24.85546875" style="16" customWidth="1"/>
    <col min="11014" max="11014" width="34.42578125" style="16" customWidth="1"/>
    <col min="11015" max="11015" width="27.140625" style="16" customWidth="1"/>
    <col min="11016" max="11016" width="23.5703125" style="16" customWidth="1"/>
    <col min="11017" max="11264" width="8.7109375" style="16"/>
    <col min="11265" max="11265" width="8.140625" style="16" customWidth="1"/>
    <col min="11266" max="11266" width="40.140625" style="16" customWidth="1"/>
    <col min="11267" max="11267" width="43.42578125" style="16" customWidth="1"/>
    <col min="11268" max="11268" width="30.7109375" style="16" customWidth="1"/>
    <col min="11269" max="11269" width="24.85546875" style="16" customWidth="1"/>
    <col min="11270" max="11270" width="34.42578125" style="16" customWidth="1"/>
    <col min="11271" max="11271" width="27.140625" style="16" customWidth="1"/>
    <col min="11272" max="11272" width="23.5703125" style="16" customWidth="1"/>
    <col min="11273" max="11520" width="8.7109375" style="16"/>
    <col min="11521" max="11521" width="8.140625" style="16" customWidth="1"/>
    <col min="11522" max="11522" width="40.140625" style="16" customWidth="1"/>
    <col min="11523" max="11523" width="43.42578125" style="16" customWidth="1"/>
    <col min="11524" max="11524" width="30.7109375" style="16" customWidth="1"/>
    <col min="11525" max="11525" width="24.85546875" style="16" customWidth="1"/>
    <col min="11526" max="11526" width="34.42578125" style="16" customWidth="1"/>
    <col min="11527" max="11527" width="27.140625" style="16" customWidth="1"/>
    <col min="11528" max="11528" width="23.5703125" style="16" customWidth="1"/>
    <col min="11529" max="11776" width="8.7109375" style="16"/>
    <col min="11777" max="11777" width="8.140625" style="16" customWidth="1"/>
    <col min="11778" max="11778" width="40.140625" style="16" customWidth="1"/>
    <col min="11779" max="11779" width="43.42578125" style="16" customWidth="1"/>
    <col min="11780" max="11780" width="30.7109375" style="16" customWidth="1"/>
    <col min="11781" max="11781" width="24.85546875" style="16" customWidth="1"/>
    <col min="11782" max="11782" width="34.42578125" style="16" customWidth="1"/>
    <col min="11783" max="11783" width="27.140625" style="16" customWidth="1"/>
    <col min="11784" max="11784" width="23.5703125" style="16" customWidth="1"/>
    <col min="11785" max="12032" width="8.7109375" style="16"/>
    <col min="12033" max="12033" width="8.140625" style="16" customWidth="1"/>
    <col min="12034" max="12034" width="40.140625" style="16" customWidth="1"/>
    <col min="12035" max="12035" width="43.42578125" style="16" customWidth="1"/>
    <col min="12036" max="12036" width="30.7109375" style="16" customWidth="1"/>
    <col min="12037" max="12037" width="24.85546875" style="16" customWidth="1"/>
    <col min="12038" max="12038" width="34.42578125" style="16" customWidth="1"/>
    <col min="12039" max="12039" width="27.140625" style="16" customWidth="1"/>
    <col min="12040" max="12040" width="23.5703125" style="16" customWidth="1"/>
    <col min="12041" max="12288" width="8.7109375" style="16"/>
    <col min="12289" max="12289" width="8.140625" style="16" customWidth="1"/>
    <col min="12290" max="12290" width="40.140625" style="16" customWidth="1"/>
    <col min="12291" max="12291" width="43.42578125" style="16" customWidth="1"/>
    <col min="12292" max="12292" width="30.7109375" style="16" customWidth="1"/>
    <col min="12293" max="12293" width="24.85546875" style="16" customWidth="1"/>
    <col min="12294" max="12294" width="34.42578125" style="16" customWidth="1"/>
    <col min="12295" max="12295" width="27.140625" style="16" customWidth="1"/>
    <col min="12296" max="12296" width="23.5703125" style="16" customWidth="1"/>
    <col min="12297" max="12544" width="8.7109375" style="16"/>
    <col min="12545" max="12545" width="8.140625" style="16" customWidth="1"/>
    <col min="12546" max="12546" width="40.140625" style="16" customWidth="1"/>
    <col min="12547" max="12547" width="43.42578125" style="16" customWidth="1"/>
    <col min="12548" max="12548" width="30.7109375" style="16" customWidth="1"/>
    <col min="12549" max="12549" width="24.85546875" style="16" customWidth="1"/>
    <col min="12550" max="12550" width="34.42578125" style="16" customWidth="1"/>
    <col min="12551" max="12551" width="27.140625" style="16" customWidth="1"/>
    <col min="12552" max="12552" width="23.5703125" style="16" customWidth="1"/>
    <col min="12553" max="12800" width="8.7109375" style="16"/>
    <col min="12801" max="12801" width="8.140625" style="16" customWidth="1"/>
    <col min="12802" max="12802" width="40.140625" style="16" customWidth="1"/>
    <col min="12803" max="12803" width="43.42578125" style="16" customWidth="1"/>
    <col min="12804" max="12804" width="30.7109375" style="16" customWidth="1"/>
    <col min="12805" max="12805" width="24.85546875" style="16" customWidth="1"/>
    <col min="12806" max="12806" width="34.42578125" style="16" customWidth="1"/>
    <col min="12807" max="12807" width="27.140625" style="16" customWidth="1"/>
    <col min="12808" max="12808" width="23.5703125" style="16" customWidth="1"/>
    <col min="12809" max="13056" width="8.7109375" style="16"/>
    <col min="13057" max="13057" width="8.140625" style="16" customWidth="1"/>
    <col min="13058" max="13058" width="40.140625" style="16" customWidth="1"/>
    <col min="13059" max="13059" width="43.42578125" style="16" customWidth="1"/>
    <col min="13060" max="13060" width="30.7109375" style="16" customWidth="1"/>
    <col min="13061" max="13061" width="24.85546875" style="16" customWidth="1"/>
    <col min="13062" max="13062" width="34.42578125" style="16" customWidth="1"/>
    <col min="13063" max="13063" width="27.140625" style="16" customWidth="1"/>
    <col min="13064" max="13064" width="23.5703125" style="16" customWidth="1"/>
    <col min="13065" max="13312" width="8.7109375" style="16"/>
    <col min="13313" max="13313" width="8.140625" style="16" customWidth="1"/>
    <col min="13314" max="13314" width="40.140625" style="16" customWidth="1"/>
    <col min="13315" max="13315" width="43.42578125" style="16" customWidth="1"/>
    <col min="13316" max="13316" width="30.7109375" style="16" customWidth="1"/>
    <col min="13317" max="13317" width="24.85546875" style="16" customWidth="1"/>
    <col min="13318" max="13318" width="34.42578125" style="16" customWidth="1"/>
    <col min="13319" max="13319" width="27.140625" style="16" customWidth="1"/>
    <col min="13320" max="13320" width="23.5703125" style="16" customWidth="1"/>
    <col min="13321" max="13568" width="8.7109375" style="16"/>
    <col min="13569" max="13569" width="8.140625" style="16" customWidth="1"/>
    <col min="13570" max="13570" width="40.140625" style="16" customWidth="1"/>
    <col min="13571" max="13571" width="43.42578125" style="16" customWidth="1"/>
    <col min="13572" max="13572" width="30.7109375" style="16" customWidth="1"/>
    <col min="13573" max="13573" width="24.85546875" style="16" customWidth="1"/>
    <col min="13574" max="13574" width="34.42578125" style="16" customWidth="1"/>
    <col min="13575" max="13575" width="27.140625" style="16" customWidth="1"/>
    <col min="13576" max="13576" width="23.5703125" style="16" customWidth="1"/>
    <col min="13577" max="13824" width="8.7109375" style="16"/>
    <col min="13825" max="13825" width="8.140625" style="16" customWidth="1"/>
    <col min="13826" max="13826" width="40.140625" style="16" customWidth="1"/>
    <col min="13827" max="13827" width="43.42578125" style="16" customWidth="1"/>
    <col min="13828" max="13828" width="30.7109375" style="16" customWidth="1"/>
    <col min="13829" max="13829" width="24.85546875" style="16" customWidth="1"/>
    <col min="13830" max="13830" width="34.42578125" style="16" customWidth="1"/>
    <col min="13831" max="13831" width="27.140625" style="16" customWidth="1"/>
    <col min="13832" max="13832" width="23.5703125" style="16" customWidth="1"/>
    <col min="13833" max="14080" width="8.7109375" style="16"/>
    <col min="14081" max="14081" width="8.140625" style="16" customWidth="1"/>
    <col min="14082" max="14082" width="40.140625" style="16" customWidth="1"/>
    <col min="14083" max="14083" width="43.42578125" style="16" customWidth="1"/>
    <col min="14084" max="14084" width="30.7109375" style="16" customWidth="1"/>
    <col min="14085" max="14085" width="24.85546875" style="16" customWidth="1"/>
    <col min="14086" max="14086" width="34.42578125" style="16" customWidth="1"/>
    <col min="14087" max="14087" width="27.140625" style="16" customWidth="1"/>
    <col min="14088" max="14088" width="23.5703125" style="16" customWidth="1"/>
    <col min="14089" max="14336" width="8.7109375" style="16"/>
    <col min="14337" max="14337" width="8.140625" style="16" customWidth="1"/>
    <col min="14338" max="14338" width="40.140625" style="16" customWidth="1"/>
    <col min="14339" max="14339" width="43.42578125" style="16" customWidth="1"/>
    <col min="14340" max="14340" width="30.7109375" style="16" customWidth="1"/>
    <col min="14341" max="14341" width="24.85546875" style="16" customWidth="1"/>
    <col min="14342" max="14342" width="34.42578125" style="16" customWidth="1"/>
    <col min="14343" max="14343" width="27.140625" style="16" customWidth="1"/>
    <col min="14344" max="14344" width="23.5703125" style="16" customWidth="1"/>
    <col min="14345" max="14592" width="8.7109375" style="16"/>
    <col min="14593" max="14593" width="8.140625" style="16" customWidth="1"/>
    <col min="14594" max="14594" width="40.140625" style="16" customWidth="1"/>
    <col min="14595" max="14595" width="43.42578125" style="16" customWidth="1"/>
    <col min="14596" max="14596" width="30.7109375" style="16" customWidth="1"/>
    <col min="14597" max="14597" width="24.85546875" style="16" customWidth="1"/>
    <col min="14598" max="14598" width="34.42578125" style="16" customWidth="1"/>
    <col min="14599" max="14599" width="27.140625" style="16" customWidth="1"/>
    <col min="14600" max="14600" width="23.5703125" style="16" customWidth="1"/>
    <col min="14601" max="14848" width="8.7109375" style="16"/>
    <col min="14849" max="14849" width="8.140625" style="16" customWidth="1"/>
    <col min="14850" max="14850" width="40.140625" style="16" customWidth="1"/>
    <col min="14851" max="14851" width="43.42578125" style="16" customWidth="1"/>
    <col min="14852" max="14852" width="30.7109375" style="16" customWidth="1"/>
    <col min="14853" max="14853" width="24.85546875" style="16" customWidth="1"/>
    <col min="14854" max="14854" width="34.42578125" style="16" customWidth="1"/>
    <col min="14855" max="14855" width="27.140625" style="16" customWidth="1"/>
    <col min="14856" max="14856" width="23.5703125" style="16" customWidth="1"/>
    <col min="14857" max="15104" width="8.7109375" style="16"/>
    <col min="15105" max="15105" width="8.140625" style="16" customWidth="1"/>
    <col min="15106" max="15106" width="40.140625" style="16" customWidth="1"/>
    <col min="15107" max="15107" width="43.42578125" style="16" customWidth="1"/>
    <col min="15108" max="15108" width="30.7109375" style="16" customWidth="1"/>
    <col min="15109" max="15109" width="24.85546875" style="16" customWidth="1"/>
    <col min="15110" max="15110" width="34.42578125" style="16" customWidth="1"/>
    <col min="15111" max="15111" width="27.140625" style="16" customWidth="1"/>
    <col min="15112" max="15112" width="23.5703125" style="16" customWidth="1"/>
    <col min="15113" max="15360" width="8.7109375" style="16"/>
    <col min="15361" max="15361" width="8.140625" style="16" customWidth="1"/>
    <col min="15362" max="15362" width="40.140625" style="16" customWidth="1"/>
    <col min="15363" max="15363" width="43.42578125" style="16" customWidth="1"/>
    <col min="15364" max="15364" width="30.7109375" style="16" customWidth="1"/>
    <col min="15365" max="15365" width="24.85546875" style="16" customWidth="1"/>
    <col min="15366" max="15366" width="34.42578125" style="16" customWidth="1"/>
    <col min="15367" max="15367" width="27.140625" style="16" customWidth="1"/>
    <col min="15368" max="15368" width="23.5703125" style="16" customWidth="1"/>
    <col min="15369" max="15616" width="8.7109375" style="16"/>
    <col min="15617" max="15617" width="8.140625" style="16" customWidth="1"/>
    <col min="15618" max="15618" width="40.140625" style="16" customWidth="1"/>
    <col min="15619" max="15619" width="43.42578125" style="16" customWidth="1"/>
    <col min="15620" max="15620" width="30.7109375" style="16" customWidth="1"/>
    <col min="15621" max="15621" width="24.85546875" style="16" customWidth="1"/>
    <col min="15622" max="15622" width="34.42578125" style="16" customWidth="1"/>
    <col min="15623" max="15623" width="27.140625" style="16" customWidth="1"/>
    <col min="15624" max="15624" width="23.5703125" style="16" customWidth="1"/>
    <col min="15625" max="15872" width="8.7109375" style="16"/>
    <col min="15873" max="15873" width="8.140625" style="16" customWidth="1"/>
    <col min="15874" max="15874" width="40.140625" style="16" customWidth="1"/>
    <col min="15875" max="15875" width="43.42578125" style="16" customWidth="1"/>
    <col min="15876" max="15876" width="30.7109375" style="16" customWidth="1"/>
    <col min="15877" max="15877" width="24.85546875" style="16" customWidth="1"/>
    <col min="15878" max="15878" width="34.42578125" style="16" customWidth="1"/>
    <col min="15879" max="15879" width="27.140625" style="16" customWidth="1"/>
    <col min="15880" max="15880" width="23.5703125" style="16" customWidth="1"/>
    <col min="15881" max="16128" width="8.7109375" style="16"/>
    <col min="16129" max="16129" width="8.140625" style="16" customWidth="1"/>
    <col min="16130" max="16130" width="40.140625" style="16" customWidth="1"/>
    <col min="16131" max="16131" width="43.42578125" style="16" customWidth="1"/>
    <col min="16132" max="16132" width="30.7109375" style="16" customWidth="1"/>
    <col min="16133" max="16133" width="24.85546875" style="16" customWidth="1"/>
    <col min="16134" max="16134" width="34.42578125" style="16" customWidth="1"/>
    <col min="16135" max="16135" width="27.140625" style="16" customWidth="1"/>
    <col min="16136" max="16136" width="23.5703125" style="16" customWidth="1"/>
    <col min="16137" max="16384" width="8.7109375" style="16"/>
  </cols>
  <sheetData>
    <row r="1" spans="2:9">
      <c r="C1" s="17"/>
      <c r="D1" s="17"/>
      <c r="E1" s="17"/>
    </row>
    <row r="2" spans="2:9">
      <c r="C2" s="17"/>
      <c r="D2" s="17"/>
      <c r="E2" s="17"/>
    </row>
    <row r="3" spans="2:9">
      <c r="C3" s="17"/>
      <c r="D3" s="17"/>
      <c r="E3" s="17"/>
    </row>
    <row r="4" spans="2:9">
      <c r="C4" s="17"/>
      <c r="D4" s="17"/>
      <c r="E4" s="17"/>
    </row>
    <row r="5" spans="2:9">
      <c r="C5" s="17"/>
      <c r="D5" s="17"/>
      <c r="E5" s="17"/>
    </row>
    <row r="6" spans="2:9" ht="15.75" customHeight="1">
      <c r="B6" s="587" t="s">
        <v>0</v>
      </c>
      <c r="C6" s="587"/>
      <c r="D6" s="587"/>
      <c r="E6" s="587"/>
      <c r="F6" s="587"/>
      <c r="G6" s="587"/>
      <c r="H6" s="587"/>
    </row>
    <row r="7" spans="2:9" ht="15.75" customHeight="1">
      <c r="B7" s="587" t="s">
        <v>2</v>
      </c>
      <c r="C7" s="587"/>
      <c r="D7" s="587"/>
      <c r="E7" s="587"/>
      <c r="F7" s="587"/>
      <c r="G7" s="587"/>
      <c r="H7" s="587"/>
    </row>
    <row r="8" spans="2:9" ht="15" customHeight="1">
      <c r="B8" s="595" t="s">
        <v>5</v>
      </c>
      <c r="C8" s="595"/>
      <c r="D8" s="595"/>
      <c r="E8" s="595"/>
      <c r="F8" s="595"/>
      <c r="G8" s="595"/>
      <c r="H8" s="595"/>
    </row>
    <row r="11" spans="2:9" s="15" customFormat="1" ht="46.5" customHeight="1">
      <c r="B11" s="627" t="s">
        <v>471</v>
      </c>
      <c r="C11" s="628"/>
      <c r="D11" s="628"/>
      <c r="E11" s="628"/>
      <c r="F11" s="628"/>
      <c r="G11" s="628"/>
      <c r="H11" s="628"/>
    </row>
    <row r="12" spans="2:9">
      <c r="B12" s="629"/>
      <c r="C12" s="629"/>
      <c r="D12" s="629"/>
      <c r="E12" s="629"/>
      <c r="F12" s="629"/>
      <c r="G12" s="629"/>
      <c r="H12" s="18"/>
    </row>
    <row r="13" spans="2:9" s="15" customFormat="1">
      <c r="B13" s="629"/>
      <c r="C13" s="629"/>
      <c r="D13" s="629"/>
      <c r="E13" s="19" t="s">
        <v>335</v>
      </c>
      <c r="F13" s="19" t="s">
        <v>336</v>
      </c>
      <c r="G13" s="20"/>
      <c r="H13" s="21"/>
    </row>
    <row r="14" spans="2:9" ht="15.75" customHeight="1">
      <c r="B14" s="630" t="s">
        <v>337</v>
      </c>
      <c r="C14" s="630"/>
      <c r="D14" s="22">
        <f>1210.28+403.42+2090.48+696.83+41.43+71.55+4581.92</f>
        <v>9095.91</v>
      </c>
      <c r="E14" s="23">
        <f>D14*0.08</f>
        <v>727.67280000000005</v>
      </c>
      <c r="F14" s="24"/>
      <c r="G14" s="25"/>
      <c r="H14" s="26">
        <f>D14+E14+F14+G14</f>
        <v>9823.5828000000001</v>
      </c>
      <c r="I14" s="638">
        <f>H14+H16</f>
        <v>9823.5828000000001</v>
      </c>
    </row>
    <row r="15" spans="2:9">
      <c r="B15" s="27"/>
      <c r="C15" s="27"/>
      <c r="D15" s="27"/>
      <c r="E15" s="19" t="s">
        <v>335</v>
      </c>
      <c r="F15" s="19" t="s">
        <v>336</v>
      </c>
      <c r="G15" s="20"/>
      <c r="H15" s="27"/>
      <c r="I15" s="639"/>
    </row>
    <row r="16" spans="2:9" ht="21" customHeight="1">
      <c r="B16" s="631" t="s">
        <v>338</v>
      </c>
      <c r="C16" s="631"/>
      <c r="D16" s="28">
        <v>0</v>
      </c>
      <c r="E16" s="23">
        <f>D16*0.08</f>
        <v>0</v>
      </c>
      <c r="F16" s="29"/>
      <c r="G16" s="30"/>
      <c r="H16" s="26">
        <f>D16+E16+F16+G16</f>
        <v>0</v>
      </c>
      <c r="I16" s="640"/>
    </row>
    <row r="17" spans="2:9">
      <c r="B17" s="27"/>
      <c r="C17" s="27"/>
      <c r="D17" s="27"/>
      <c r="E17" s="19" t="s">
        <v>335</v>
      </c>
      <c r="F17" s="19" t="s">
        <v>336</v>
      </c>
      <c r="G17" s="19" t="s">
        <v>243</v>
      </c>
      <c r="H17" s="27"/>
    </row>
    <row r="18" spans="2:9">
      <c r="B18" s="632" t="s">
        <v>339</v>
      </c>
      <c r="C18" s="632"/>
      <c r="D18" s="28">
        <f>SUM(6138.07-D58)</f>
        <v>3953.18</v>
      </c>
      <c r="E18" s="29">
        <f>(64.96+234.81)*0.08</f>
        <v>23.9816</v>
      </c>
      <c r="F18" s="29"/>
      <c r="G18" s="31">
        <f>G56</f>
        <v>0</v>
      </c>
      <c r="H18" s="26">
        <f>D18+E18+F18+G18</f>
        <v>3977.1615999999999</v>
      </c>
    </row>
    <row r="19" spans="2:9">
      <c r="B19" s="633"/>
      <c r="C19" s="633"/>
      <c r="D19" s="33"/>
      <c r="E19" s="18"/>
      <c r="F19" s="18"/>
      <c r="G19" s="18"/>
      <c r="H19" s="18"/>
    </row>
    <row r="20" spans="2:9">
      <c r="B20" s="18"/>
      <c r="C20" s="18"/>
      <c r="D20" s="18"/>
      <c r="E20" s="18"/>
      <c r="F20" s="18"/>
      <c r="G20" s="18"/>
      <c r="H20" s="18"/>
    </row>
    <row r="21" spans="2:9">
      <c r="B21" s="34" t="s">
        <v>340</v>
      </c>
      <c r="C21" s="35">
        <v>0</v>
      </c>
      <c r="D21" s="36" t="s">
        <v>341</v>
      </c>
      <c r="E21" s="37"/>
      <c r="F21" s="38" t="s">
        <v>342</v>
      </c>
      <c r="G21" s="39">
        <v>23275.17</v>
      </c>
      <c r="H21" s="36" t="s">
        <v>343</v>
      </c>
      <c r="I21" s="18"/>
    </row>
    <row r="22" spans="2:9">
      <c r="B22" s="40" t="s">
        <v>344</v>
      </c>
      <c r="C22" s="41">
        <f>C21-C23-C24-C25-C26</f>
        <v>0</v>
      </c>
      <c r="D22" s="37" t="s">
        <v>345</v>
      </c>
      <c r="E22" s="37"/>
      <c r="F22" s="42" t="s">
        <v>346</v>
      </c>
      <c r="G22" s="41">
        <f>G21-G23-G24-G25-G26</f>
        <v>22523.515599999999</v>
      </c>
      <c r="H22" s="37" t="s">
        <v>347</v>
      </c>
      <c r="I22" s="18"/>
    </row>
    <row r="23" spans="2:9">
      <c r="B23" s="43" t="s">
        <v>348</v>
      </c>
      <c r="C23" s="44">
        <v>0</v>
      </c>
      <c r="D23" s="37" t="s">
        <v>349</v>
      </c>
      <c r="E23" s="37"/>
      <c r="F23" s="42" t="s">
        <v>350</v>
      </c>
      <c r="G23" s="45">
        <v>0</v>
      </c>
      <c r="H23" s="37" t="s">
        <v>351</v>
      </c>
      <c r="I23" s="18"/>
    </row>
    <row r="24" spans="2:9">
      <c r="B24" s="40" t="s">
        <v>352</v>
      </c>
      <c r="C24" s="44">
        <v>0</v>
      </c>
      <c r="D24" s="645" t="s">
        <v>353</v>
      </c>
      <c r="E24" s="645"/>
      <c r="F24" s="42" t="s">
        <v>354</v>
      </c>
      <c r="G24" s="47">
        <f>E14</f>
        <v>727.67280000000005</v>
      </c>
      <c r="H24" s="37" t="s">
        <v>355</v>
      </c>
      <c r="I24" s="18"/>
    </row>
    <row r="25" spans="2:9">
      <c r="B25" s="40" t="s">
        <v>356</v>
      </c>
      <c r="C25" s="44">
        <v>0</v>
      </c>
      <c r="D25" s="645" t="s">
        <v>357</v>
      </c>
      <c r="E25" s="645"/>
      <c r="F25" s="42" t="s">
        <v>358</v>
      </c>
      <c r="G25" s="48">
        <f>E16</f>
        <v>0</v>
      </c>
      <c r="H25" s="37" t="s">
        <v>359</v>
      </c>
      <c r="I25" s="18"/>
    </row>
    <row r="26" spans="2:9">
      <c r="B26" s="40" t="s">
        <v>360</v>
      </c>
      <c r="C26" s="44">
        <v>0</v>
      </c>
      <c r="D26" s="46" t="s">
        <v>361</v>
      </c>
      <c r="E26" s="46"/>
      <c r="F26" s="49" t="s">
        <v>362</v>
      </c>
      <c r="G26" s="48">
        <f>E18</f>
        <v>23.9816</v>
      </c>
      <c r="H26" s="37" t="s">
        <v>363</v>
      </c>
      <c r="I26" s="18"/>
    </row>
    <row r="27" spans="2:9">
      <c r="B27" s="18"/>
      <c r="C27" s="18"/>
      <c r="D27" s="18"/>
      <c r="E27" s="18"/>
      <c r="F27" s="18"/>
      <c r="G27" s="18"/>
      <c r="H27" s="18"/>
    </row>
    <row r="28" spans="2:9">
      <c r="B28" s="18"/>
      <c r="C28" s="18"/>
      <c r="D28" s="18"/>
      <c r="E28" s="18"/>
      <c r="F28" s="18"/>
      <c r="G28" s="18"/>
      <c r="H28" s="18"/>
    </row>
    <row r="29" spans="2:9">
      <c r="B29" s="646" t="s">
        <v>364</v>
      </c>
      <c r="C29" s="646"/>
      <c r="D29" s="646"/>
      <c r="E29" s="646"/>
      <c r="F29" s="646"/>
      <c r="G29" s="646"/>
      <c r="H29" s="646"/>
    </row>
    <row r="30" spans="2:9" ht="21" customHeight="1">
      <c r="B30" s="50">
        <f>B34+B35-B31-B32-B33</f>
        <v>277711.47000000003</v>
      </c>
      <c r="C30" s="51" t="s">
        <v>365</v>
      </c>
      <c r="D30" s="52"/>
      <c r="E30" s="52"/>
      <c r="F30" s="52"/>
      <c r="G30" s="18"/>
      <c r="H30" s="18"/>
    </row>
    <row r="31" spans="2:9">
      <c r="B31" s="53">
        <f>D14</f>
        <v>9095.91</v>
      </c>
      <c r="C31" s="641" t="s">
        <v>366</v>
      </c>
      <c r="D31" s="641"/>
      <c r="E31" s="641"/>
      <c r="F31" s="641"/>
      <c r="G31" s="18"/>
      <c r="H31" s="18"/>
    </row>
    <row r="32" spans="2:9" ht="15.75" customHeight="1">
      <c r="B32" s="54">
        <f>D16</f>
        <v>0</v>
      </c>
      <c r="C32" s="641" t="s">
        <v>367</v>
      </c>
      <c r="D32" s="641"/>
      <c r="E32" s="641"/>
      <c r="F32" s="641"/>
      <c r="G32" s="18"/>
      <c r="H32" s="18"/>
    </row>
    <row r="33" spans="1:8">
      <c r="B33" s="55">
        <f>D39</f>
        <v>11431.17</v>
      </c>
      <c r="C33" s="641" t="s">
        <v>368</v>
      </c>
      <c r="D33" s="641"/>
      <c r="E33" s="641"/>
      <c r="F33" s="641"/>
      <c r="G33" s="18"/>
      <c r="H33" s="18"/>
    </row>
    <row r="34" spans="1:8" ht="21" customHeight="1">
      <c r="A34" s="56"/>
      <c r="B34" s="57">
        <f>298238.55</f>
        <v>298238.55</v>
      </c>
      <c r="C34" s="642" t="s">
        <v>369</v>
      </c>
      <c r="D34" s="642"/>
      <c r="E34" s="642"/>
      <c r="F34" s="642"/>
      <c r="G34" s="18"/>
      <c r="H34" s="18"/>
    </row>
    <row r="35" spans="1:8">
      <c r="A35" s="56"/>
      <c r="B35" s="58">
        <v>0</v>
      </c>
      <c r="C35" s="643" t="s">
        <v>370</v>
      </c>
      <c r="D35" s="643"/>
      <c r="E35" s="643"/>
      <c r="F35" s="643"/>
      <c r="G35" s="18"/>
      <c r="H35" s="18"/>
    </row>
    <row r="36" spans="1:8">
      <c r="B36" s="55">
        <f>D18</f>
        <v>3953.18</v>
      </c>
      <c r="C36" s="643" t="s">
        <v>371</v>
      </c>
      <c r="D36" s="643"/>
      <c r="E36" s="643"/>
      <c r="F36" s="643"/>
      <c r="G36" s="18"/>
      <c r="H36" s="18"/>
    </row>
    <row r="37" spans="1:8">
      <c r="B37" s="59">
        <f>SUM(B34:B36)</f>
        <v>302191.73</v>
      </c>
      <c r="C37" s="644" t="s">
        <v>372</v>
      </c>
      <c r="D37" s="644"/>
      <c r="E37" s="644"/>
      <c r="F37" s="644"/>
      <c r="G37" s="18"/>
      <c r="H37" s="18"/>
    </row>
    <row r="38" spans="1:8">
      <c r="B38" s="18"/>
      <c r="C38" s="18"/>
      <c r="D38" s="18"/>
      <c r="E38" s="18"/>
      <c r="F38" s="18"/>
      <c r="G38" s="18"/>
      <c r="H38" s="18"/>
    </row>
    <row r="39" spans="1:8" ht="31.5">
      <c r="B39" s="60" t="s">
        <v>373</v>
      </c>
      <c r="C39" s="61" t="s">
        <v>374</v>
      </c>
      <c r="D39" s="62">
        <f>SUM(D40:D55)</f>
        <v>11431.17</v>
      </c>
      <c r="E39" s="18"/>
      <c r="F39" s="634" t="s">
        <v>375</v>
      </c>
      <c r="G39" s="634"/>
      <c r="H39" s="634"/>
    </row>
    <row r="40" spans="1:8">
      <c r="B40" s="385">
        <v>47</v>
      </c>
      <c r="C40" s="386" t="s">
        <v>899</v>
      </c>
      <c r="D40" s="65">
        <v>1230.48</v>
      </c>
      <c r="E40" s="18"/>
      <c r="F40" s="66" t="s">
        <v>376</v>
      </c>
      <c r="G40" s="67" t="s">
        <v>377</v>
      </c>
      <c r="H40" s="67" t="s">
        <v>242</v>
      </c>
    </row>
    <row r="41" spans="1:8">
      <c r="B41" s="385">
        <v>94</v>
      </c>
      <c r="C41" s="386" t="s">
        <v>900</v>
      </c>
      <c r="D41" s="65">
        <v>1639.28</v>
      </c>
      <c r="E41" s="18"/>
      <c r="F41" s="68"/>
      <c r="G41" s="69">
        <v>0</v>
      </c>
      <c r="H41" s="69">
        <v>0</v>
      </c>
    </row>
    <row r="42" spans="1:8">
      <c r="B42" s="385">
        <v>5</v>
      </c>
      <c r="C42" s="386" t="s">
        <v>901</v>
      </c>
      <c r="D42" s="65">
        <v>7956.34</v>
      </c>
      <c r="E42" s="18"/>
      <c r="F42" s="71"/>
      <c r="G42" s="69">
        <v>0</v>
      </c>
      <c r="H42" s="69">
        <v>0</v>
      </c>
    </row>
    <row r="43" spans="1:8">
      <c r="B43" s="385">
        <v>221</v>
      </c>
      <c r="C43" s="386" t="s">
        <v>902</v>
      </c>
      <c r="D43" s="65">
        <v>31.52</v>
      </c>
      <c r="E43" s="18"/>
      <c r="F43" s="72"/>
      <c r="G43" s="69">
        <v>0</v>
      </c>
      <c r="H43" s="69">
        <v>0</v>
      </c>
    </row>
    <row r="44" spans="1:8">
      <c r="B44" s="63">
        <v>553</v>
      </c>
      <c r="C44" s="64" t="s">
        <v>903</v>
      </c>
      <c r="D44" s="65">
        <v>573.54999999999995</v>
      </c>
      <c r="E44" s="18"/>
      <c r="F44" s="72"/>
      <c r="G44" s="69">
        <v>0</v>
      </c>
      <c r="H44" s="69">
        <v>0</v>
      </c>
    </row>
    <row r="45" spans="1:8">
      <c r="B45" s="63"/>
      <c r="C45" s="64"/>
      <c r="D45" s="65">
        <v>0</v>
      </c>
      <c r="E45" s="18"/>
      <c r="F45" s="72"/>
      <c r="G45" s="69">
        <v>0</v>
      </c>
      <c r="H45" s="69">
        <v>0</v>
      </c>
    </row>
    <row r="46" spans="1:8">
      <c r="B46" s="63"/>
      <c r="C46" s="64"/>
      <c r="D46" s="65">
        <v>0</v>
      </c>
      <c r="E46" s="18"/>
      <c r="F46" s="72"/>
      <c r="G46" s="69">
        <v>0</v>
      </c>
      <c r="H46" s="69">
        <v>0</v>
      </c>
    </row>
    <row r="47" spans="1:8">
      <c r="B47" s="63"/>
      <c r="C47" s="64"/>
      <c r="D47" s="65">
        <v>0</v>
      </c>
      <c r="E47" s="18"/>
      <c r="F47" s="72"/>
      <c r="G47" s="69">
        <v>0</v>
      </c>
      <c r="H47" s="69">
        <v>0</v>
      </c>
    </row>
    <row r="48" spans="1:8">
      <c r="B48" s="63"/>
      <c r="C48" s="64"/>
      <c r="D48" s="65">
        <v>0</v>
      </c>
      <c r="E48" s="18"/>
      <c r="F48" s="72"/>
      <c r="G48" s="69">
        <v>0</v>
      </c>
      <c r="H48" s="69">
        <v>0</v>
      </c>
    </row>
    <row r="49" spans="2:9">
      <c r="B49" s="63"/>
      <c r="C49" s="64"/>
      <c r="D49" s="65">
        <v>0</v>
      </c>
      <c r="E49" s="18"/>
      <c r="F49" s="72"/>
      <c r="G49" s="69">
        <v>0</v>
      </c>
      <c r="H49" s="69">
        <v>0</v>
      </c>
    </row>
    <row r="50" spans="2:9">
      <c r="B50" s="63"/>
      <c r="C50" s="64"/>
      <c r="D50" s="65">
        <v>0</v>
      </c>
      <c r="E50" s="18"/>
      <c r="F50" s="72"/>
      <c r="G50" s="69">
        <v>0</v>
      </c>
      <c r="H50" s="69">
        <v>0</v>
      </c>
    </row>
    <row r="51" spans="2:9">
      <c r="B51" s="63"/>
      <c r="C51" s="64"/>
      <c r="D51" s="65">
        <v>0</v>
      </c>
      <c r="E51" s="18"/>
      <c r="F51" s="72"/>
      <c r="G51" s="69">
        <v>0</v>
      </c>
      <c r="H51" s="69">
        <v>0</v>
      </c>
    </row>
    <row r="52" spans="2:9">
      <c r="B52" s="63"/>
      <c r="C52" s="64"/>
      <c r="D52" s="65">
        <v>0</v>
      </c>
      <c r="E52" s="18"/>
      <c r="F52" s="73"/>
      <c r="G52" s="69">
        <v>0</v>
      </c>
      <c r="H52" s="69">
        <v>0</v>
      </c>
    </row>
    <row r="53" spans="2:9">
      <c r="B53" s="63"/>
      <c r="C53" s="64"/>
      <c r="D53" s="65">
        <v>0</v>
      </c>
      <c r="E53" s="18"/>
      <c r="F53" s="73"/>
      <c r="G53" s="69">
        <v>0</v>
      </c>
      <c r="H53" s="69">
        <v>0</v>
      </c>
    </row>
    <row r="54" spans="2:9">
      <c r="B54" s="64"/>
      <c r="C54" s="70"/>
      <c r="D54" s="65">
        <v>0</v>
      </c>
      <c r="E54" s="18"/>
      <c r="F54" s="73"/>
      <c r="G54" s="69">
        <v>0</v>
      </c>
      <c r="H54" s="69">
        <v>0</v>
      </c>
    </row>
    <row r="55" spans="2:9">
      <c r="B55" s="63"/>
      <c r="C55" s="64"/>
      <c r="D55" s="65">
        <v>0</v>
      </c>
      <c r="E55" s="18"/>
      <c r="F55" s="73"/>
      <c r="G55" s="69">
        <v>0</v>
      </c>
      <c r="H55" s="69">
        <v>0</v>
      </c>
    </row>
    <row r="56" spans="2:9">
      <c r="B56" s="18"/>
      <c r="C56" s="18"/>
      <c r="D56" s="18"/>
      <c r="E56" s="18"/>
      <c r="F56" s="74" t="s">
        <v>139</v>
      </c>
      <c r="G56" s="75">
        <f>SUM(G41:G55)</f>
        <v>0</v>
      </c>
      <c r="H56" s="75">
        <f>SUM(H41:H55)</f>
        <v>0</v>
      </c>
    </row>
    <row r="57" spans="2:9">
      <c r="D57" s="18"/>
      <c r="E57" s="18"/>
    </row>
    <row r="58" spans="2:9" ht="33.950000000000003" customHeight="1">
      <c r="B58" s="60" t="s">
        <v>373</v>
      </c>
      <c r="C58" s="61" t="s">
        <v>378</v>
      </c>
      <c r="D58" s="62">
        <f>SUM(D59:D74)</f>
        <v>2184.89</v>
      </c>
      <c r="F58" s="635" t="s">
        <v>379</v>
      </c>
      <c r="G58" s="636"/>
      <c r="H58" s="636"/>
      <c r="I58" s="86"/>
    </row>
    <row r="59" spans="2:9">
      <c r="B59" s="385">
        <v>47</v>
      </c>
      <c r="C59" s="386" t="s">
        <v>899</v>
      </c>
      <c r="D59" s="65">
        <v>34.18</v>
      </c>
      <c r="F59" s="76" t="s">
        <v>380</v>
      </c>
      <c r="G59" s="77">
        <f>G22+G23</f>
        <v>22523.515599999999</v>
      </c>
      <c r="H59" s="78" t="s">
        <v>381</v>
      </c>
      <c r="I59" s="87"/>
    </row>
    <row r="60" spans="2:9">
      <c r="B60" s="63">
        <v>535</v>
      </c>
      <c r="C60" s="64" t="s">
        <v>904</v>
      </c>
      <c r="D60" s="65">
        <v>1254.55</v>
      </c>
      <c r="F60" s="76" t="s">
        <v>382</v>
      </c>
      <c r="G60" s="77">
        <f>C22+C23</f>
        <v>0</v>
      </c>
      <c r="H60" s="78" t="s">
        <v>383</v>
      </c>
      <c r="I60" s="87"/>
    </row>
    <row r="61" spans="2:9">
      <c r="B61" s="63">
        <v>553</v>
      </c>
      <c r="C61" s="70" t="s">
        <v>903</v>
      </c>
      <c r="D61" s="65">
        <v>704</v>
      </c>
      <c r="F61" s="20"/>
      <c r="G61" s="79"/>
      <c r="H61" s="80"/>
      <c r="I61" s="20"/>
    </row>
    <row r="62" spans="2:9" ht="15.75" customHeight="1">
      <c r="B62" s="63">
        <v>558</v>
      </c>
      <c r="C62" s="64" t="s">
        <v>905</v>
      </c>
      <c r="D62" s="65">
        <v>192.16</v>
      </c>
      <c r="F62" s="637" t="s">
        <v>384</v>
      </c>
      <c r="G62" s="637"/>
      <c r="H62" s="81"/>
      <c r="I62" s="88"/>
    </row>
    <row r="63" spans="2:9">
      <c r="B63" s="63"/>
      <c r="C63" s="64"/>
      <c r="D63" s="65">
        <v>0</v>
      </c>
      <c r="F63" s="82" t="s">
        <v>385</v>
      </c>
      <c r="G63" s="26">
        <f>G64-G70</f>
        <v>51203.650000000009</v>
      </c>
      <c r="H63" s="83"/>
      <c r="I63" s="88"/>
    </row>
    <row r="64" spans="2:9">
      <c r="B64" s="63"/>
      <c r="C64" s="64"/>
      <c r="D64" s="65">
        <v>0</v>
      </c>
      <c r="F64" s="84" t="s">
        <v>386</v>
      </c>
      <c r="G64" s="85">
        <f>SUM(G65:G69)</f>
        <v>58204.850000000006</v>
      </c>
      <c r="H64" s="83"/>
      <c r="I64" s="88"/>
    </row>
    <row r="65" spans="2:9">
      <c r="B65" s="63"/>
      <c r="C65" s="64"/>
      <c r="D65" s="65">
        <v>0</v>
      </c>
      <c r="F65" s="42" t="s">
        <v>387</v>
      </c>
      <c r="G65" s="45">
        <v>11297.7</v>
      </c>
      <c r="H65" s="89"/>
      <c r="I65" s="91"/>
    </row>
    <row r="66" spans="2:9">
      <c r="B66" s="63"/>
      <c r="C66" s="64"/>
      <c r="D66" s="65">
        <v>0</v>
      </c>
      <c r="F66" s="42" t="s">
        <v>388</v>
      </c>
      <c r="G66" s="45">
        <v>503.53</v>
      </c>
      <c r="I66" s="92"/>
    </row>
    <row r="67" spans="2:9">
      <c r="B67" s="63"/>
      <c r="C67" s="64"/>
      <c r="D67" s="65">
        <v>0</v>
      </c>
      <c r="F67" s="42" t="s">
        <v>389</v>
      </c>
      <c r="G67" s="45">
        <f>D41+D42</f>
        <v>9595.6200000000008</v>
      </c>
      <c r="I67" s="92"/>
    </row>
    <row r="68" spans="2:9">
      <c r="B68" s="63"/>
      <c r="C68" s="64"/>
      <c r="D68" s="65">
        <v>0</v>
      </c>
      <c r="F68" s="42" t="s">
        <v>390</v>
      </c>
      <c r="G68" s="45">
        <v>0</v>
      </c>
      <c r="I68" s="92"/>
    </row>
    <row r="69" spans="2:9">
      <c r="B69" s="63"/>
      <c r="C69" s="64"/>
      <c r="D69" s="65">
        <v>0</v>
      </c>
      <c r="F69" s="90" t="s">
        <v>391</v>
      </c>
      <c r="G69" s="45">
        <f>21848+14960</f>
        <v>36808</v>
      </c>
      <c r="I69" s="92"/>
    </row>
    <row r="70" spans="2:9">
      <c r="B70" s="63"/>
      <c r="C70" s="64"/>
      <c r="D70" s="65">
        <v>0</v>
      </c>
      <c r="F70" s="84" t="s">
        <v>392</v>
      </c>
      <c r="G70" s="85">
        <f>SUM(G71:G73)</f>
        <v>7001.2</v>
      </c>
      <c r="H70" s="18"/>
      <c r="I70" s="18"/>
    </row>
    <row r="71" spans="2:9">
      <c r="B71" s="63"/>
      <c r="C71" s="64"/>
      <c r="D71" s="65">
        <v>0</v>
      </c>
      <c r="F71" s="42" t="s">
        <v>393</v>
      </c>
      <c r="G71" s="45">
        <v>4296.1499999999996</v>
      </c>
      <c r="H71" s="32"/>
      <c r="I71" s="32"/>
    </row>
    <row r="72" spans="2:9">
      <c r="B72" s="63"/>
      <c r="C72" s="64"/>
      <c r="D72" s="65">
        <v>0</v>
      </c>
      <c r="F72" s="90" t="s">
        <v>394</v>
      </c>
      <c r="G72" s="45">
        <v>0</v>
      </c>
      <c r="H72" s="32"/>
      <c r="I72" s="32"/>
    </row>
    <row r="73" spans="2:9">
      <c r="B73" s="64"/>
      <c r="C73" s="70"/>
      <c r="D73" s="65">
        <v>0</v>
      </c>
      <c r="F73" s="42" t="s">
        <v>395</v>
      </c>
      <c r="G73" s="45">
        <f>2683.05+22</f>
        <v>2705.05</v>
      </c>
      <c r="H73" s="633"/>
      <c r="I73" s="633"/>
    </row>
    <row r="74" spans="2:9">
      <c r="B74" s="63"/>
      <c r="C74" s="64"/>
      <c r="D74" s="65">
        <v>0</v>
      </c>
    </row>
  </sheetData>
  <sheetProtection password="B090" sheet="1" objects="1"/>
  <mergeCells count="26">
    <mergeCell ref="F39:H39"/>
    <mergeCell ref="F58:H58"/>
    <mergeCell ref="F62:G62"/>
    <mergeCell ref="H73:I73"/>
    <mergeCell ref="I14:I16"/>
    <mergeCell ref="C33:F33"/>
    <mergeCell ref="C34:F34"/>
    <mergeCell ref="C35:F35"/>
    <mergeCell ref="C36:F36"/>
    <mergeCell ref="C37:F37"/>
    <mergeCell ref="D24:E24"/>
    <mergeCell ref="D25:E25"/>
    <mergeCell ref="B29:H29"/>
    <mergeCell ref="C31:F31"/>
    <mergeCell ref="C32:F32"/>
    <mergeCell ref="B13:D13"/>
    <mergeCell ref="B14:C14"/>
    <mergeCell ref="B16:C16"/>
    <mergeCell ref="B18:C18"/>
    <mergeCell ref="B19:C19"/>
    <mergeCell ref="B6:H6"/>
    <mergeCell ref="B7:H7"/>
    <mergeCell ref="B8:H8"/>
    <mergeCell ref="B11:H11"/>
    <mergeCell ref="B12:D12"/>
    <mergeCell ref="E12:G12"/>
  </mergeCells>
  <pageMargins left="0.511811023622047" right="0.511811023622047" top="0.78740157480314998" bottom="0.78740157480314998" header="0.31496062992126" footer="0.31496062992126"/>
  <pageSetup paperSize="9" scale="40" orientation="landscape" horizontalDpi="4294967294" verticalDpi="4294967294" r:id="rId1"/>
  <colBreaks count="1" manualBreakCount="1">
    <brk id="9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zoomScaleNormal="100" workbookViewId="0">
      <selection activeCell="J12" sqref="J12"/>
    </sheetView>
  </sheetViews>
  <sheetFormatPr defaultColWidth="9.140625" defaultRowHeight="15"/>
  <cols>
    <col min="1" max="1" width="16.140625" style="1" customWidth="1"/>
    <col min="2" max="2" width="46" style="1" customWidth="1"/>
    <col min="3" max="3" width="14.28515625" style="1" customWidth="1"/>
    <col min="4" max="4" width="8.7109375" style="1" customWidth="1"/>
    <col min="5" max="5" width="12.5703125" style="1" customWidth="1"/>
    <col min="6" max="6" width="61.28515625" style="1" customWidth="1"/>
    <col min="7" max="7" width="16" style="1" customWidth="1"/>
    <col min="8" max="9" width="8.7109375" style="1" customWidth="1"/>
    <col min="10" max="10" width="29.140625" style="1" customWidth="1"/>
    <col min="11" max="996" width="8.7109375" style="1" customWidth="1"/>
    <col min="997" max="16384" width="9.140625" style="1"/>
  </cols>
  <sheetData>
    <row r="1" spans="1:7">
      <c r="B1" s="2"/>
      <c r="C1" s="2"/>
      <c r="D1" s="2"/>
    </row>
    <row r="2" spans="1:7">
      <c r="B2" s="2"/>
      <c r="C2" s="2"/>
      <c r="D2" s="2"/>
    </row>
    <row r="3" spans="1:7">
      <c r="B3" s="2"/>
      <c r="C3" s="2"/>
      <c r="D3" s="2"/>
    </row>
    <row r="4" spans="1:7">
      <c r="B4" s="2"/>
      <c r="C4" s="2"/>
      <c r="D4" s="2"/>
    </row>
    <row r="5" spans="1:7">
      <c r="B5" s="2"/>
      <c r="C5" s="2"/>
      <c r="D5" s="2"/>
    </row>
    <row r="6" spans="1:7" ht="15.75" customHeight="1">
      <c r="A6" s="587" t="s">
        <v>0</v>
      </c>
      <c r="B6" s="587"/>
      <c r="C6" s="587"/>
      <c r="D6" s="587"/>
      <c r="E6" s="587"/>
      <c r="F6" s="587"/>
      <c r="G6" s="587"/>
    </row>
    <row r="7" spans="1:7" ht="15.75" customHeight="1">
      <c r="A7" s="587" t="s">
        <v>2</v>
      </c>
      <c r="B7" s="587"/>
      <c r="C7" s="587"/>
      <c r="D7" s="587"/>
      <c r="E7" s="587"/>
      <c r="F7" s="587"/>
      <c r="G7" s="587"/>
    </row>
    <row r="8" spans="1:7" ht="15" customHeight="1">
      <c r="A8" s="595" t="s">
        <v>396</v>
      </c>
      <c r="B8" s="595"/>
      <c r="C8" s="595"/>
      <c r="D8" s="595"/>
      <c r="E8" s="595"/>
      <c r="F8" s="595"/>
      <c r="G8" s="595"/>
    </row>
    <row r="9" spans="1:7">
      <c r="B9" s="3"/>
      <c r="C9" s="3"/>
      <c r="D9" s="3"/>
    </row>
    <row r="10" spans="1:7" ht="41.25" customHeight="1">
      <c r="A10" s="647" t="s">
        <v>472</v>
      </c>
      <c r="B10" s="647"/>
      <c r="C10" s="647"/>
      <c r="D10" s="647"/>
      <c r="E10" s="647"/>
      <c r="F10" s="647"/>
      <c r="G10" s="647"/>
    </row>
    <row r="12" spans="1:7" ht="28.5" customHeight="1">
      <c r="A12" s="648" t="s">
        <v>397</v>
      </c>
      <c r="B12" s="649"/>
      <c r="C12" s="649"/>
      <c r="D12" s="649"/>
      <c r="E12" s="649"/>
      <c r="F12" s="649"/>
      <c r="G12" s="650"/>
    </row>
    <row r="13" spans="1:7" ht="30.75" customHeight="1">
      <c r="A13" s="651" t="s">
        <v>398</v>
      </c>
      <c r="B13" s="651"/>
      <c r="C13" s="651"/>
      <c r="E13" s="652" t="s">
        <v>399</v>
      </c>
      <c r="F13" s="652"/>
      <c r="G13" s="652"/>
    </row>
    <row r="14" spans="1:7" ht="27.75" customHeight="1">
      <c r="A14" s="660" t="s">
        <v>400</v>
      </c>
      <c r="B14" s="4" t="s">
        <v>401</v>
      </c>
      <c r="C14" s="5" t="s">
        <v>473</v>
      </c>
      <c r="E14" s="653" t="s">
        <v>402</v>
      </c>
      <c r="F14" s="653"/>
      <c r="G14" s="6">
        <v>1</v>
      </c>
    </row>
    <row r="15" spans="1:7" ht="27.75" customHeight="1">
      <c r="A15" s="661"/>
      <c r="B15" s="4" t="s">
        <v>403</v>
      </c>
      <c r="C15" s="5" t="s">
        <v>473</v>
      </c>
      <c r="E15" s="663" t="s">
        <v>404</v>
      </c>
      <c r="F15" s="7" t="s">
        <v>405</v>
      </c>
      <c r="G15" s="5" t="s">
        <v>473</v>
      </c>
    </row>
    <row r="16" spans="1:7" ht="38.25">
      <c r="A16" s="661"/>
      <c r="B16" s="8" t="s">
        <v>406</v>
      </c>
      <c r="C16" s="5" t="s">
        <v>473</v>
      </c>
      <c r="E16" s="663"/>
      <c r="F16" s="7" t="s">
        <v>407</v>
      </c>
      <c r="G16" s="5" t="s">
        <v>473</v>
      </c>
    </row>
    <row r="17" spans="1:7" ht="27.75" customHeight="1">
      <c r="A17" s="661"/>
      <c r="B17" s="8" t="s">
        <v>408</v>
      </c>
      <c r="C17" s="5" t="s">
        <v>1389</v>
      </c>
      <c r="E17" s="663"/>
      <c r="F17" s="7" t="s">
        <v>409</v>
      </c>
      <c r="G17" s="5" t="s">
        <v>473</v>
      </c>
    </row>
    <row r="18" spans="1:7" ht="27.75" customHeight="1">
      <c r="A18" s="661"/>
      <c r="B18" s="8" t="s">
        <v>410</v>
      </c>
      <c r="C18" s="5" t="s">
        <v>473</v>
      </c>
      <c r="E18" s="663"/>
      <c r="F18" s="7" t="s">
        <v>23</v>
      </c>
      <c r="G18" s="5" t="s">
        <v>473</v>
      </c>
    </row>
    <row r="19" spans="1:7" ht="89.25">
      <c r="A19" s="661"/>
      <c r="B19" s="8" t="s">
        <v>411</v>
      </c>
      <c r="C19" s="5" t="s">
        <v>473</v>
      </c>
      <c r="E19" s="663"/>
      <c r="F19" s="7" t="s">
        <v>412</v>
      </c>
      <c r="G19" s="5" t="s">
        <v>473</v>
      </c>
    </row>
    <row r="20" spans="1:7" ht="27.75" customHeight="1">
      <c r="A20" s="661"/>
      <c r="B20" s="4" t="s">
        <v>413</v>
      </c>
      <c r="C20" s="5" t="s">
        <v>473</v>
      </c>
      <c r="E20" s="663"/>
      <c r="F20" s="7" t="s">
        <v>414</v>
      </c>
      <c r="G20" s="5" t="s">
        <v>1389</v>
      </c>
    </row>
    <row r="21" spans="1:7" ht="27.75" customHeight="1">
      <c r="A21" s="661"/>
      <c r="B21" s="4" t="s">
        <v>415</v>
      </c>
      <c r="C21" s="5" t="s">
        <v>473</v>
      </c>
      <c r="E21" s="663"/>
      <c r="F21" s="7" t="s">
        <v>416</v>
      </c>
      <c r="G21" s="5" t="s">
        <v>473</v>
      </c>
    </row>
    <row r="22" spans="1:7" ht="27.75" customHeight="1">
      <c r="A22" s="661"/>
      <c r="B22" s="4" t="s">
        <v>417</v>
      </c>
      <c r="C22" s="5" t="s">
        <v>473</v>
      </c>
      <c r="E22" s="663"/>
      <c r="F22" s="7" t="s">
        <v>418</v>
      </c>
      <c r="G22" s="5" t="s">
        <v>473</v>
      </c>
    </row>
    <row r="23" spans="1:7" ht="27.75" customHeight="1">
      <c r="A23" s="661"/>
      <c r="B23" s="4" t="s">
        <v>419</v>
      </c>
      <c r="C23" s="5" t="s">
        <v>473</v>
      </c>
      <c r="E23" s="663"/>
      <c r="F23" s="7" t="s">
        <v>420</v>
      </c>
      <c r="G23" s="5" t="s">
        <v>473</v>
      </c>
    </row>
    <row r="24" spans="1:7" ht="27.75" customHeight="1">
      <c r="A24" s="661"/>
      <c r="B24" s="4" t="s">
        <v>421</v>
      </c>
      <c r="C24" s="5" t="s">
        <v>473</v>
      </c>
      <c r="E24" s="663"/>
      <c r="F24" s="7" t="s">
        <v>422</v>
      </c>
      <c r="G24" s="5" t="s">
        <v>473</v>
      </c>
    </row>
    <row r="25" spans="1:7" ht="27.75" customHeight="1">
      <c r="A25" s="661"/>
      <c r="B25" s="4" t="s">
        <v>423</v>
      </c>
      <c r="C25" s="5" t="s">
        <v>473</v>
      </c>
      <c r="E25" s="663"/>
      <c r="F25" s="7" t="s">
        <v>424</v>
      </c>
      <c r="G25" s="5" t="s">
        <v>473</v>
      </c>
    </row>
    <row r="26" spans="1:7" ht="38.25">
      <c r="A26" s="661"/>
      <c r="B26" s="4" t="s">
        <v>425</v>
      </c>
      <c r="C26" s="5" t="s">
        <v>473</v>
      </c>
      <c r="E26" s="663"/>
      <c r="F26" s="7" t="s">
        <v>426</v>
      </c>
      <c r="G26" s="5" t="s">
        <v>473</v>
      </c>
    </row>
    <row r="27" spans="1:7" ht="25.5">
      <c r="A27" s="661"/>
      <c r="B27" s="4" t="s">
        <v>418</v>
      </c>
      <c r="C27" s="5" t="s">
        <v>473</v>
      </c>
      <c r="E27" s="663"/>
      <c r="F27" s="7" t="s">
        <v>427</v>
      </c>
      <c r="G27" s="5" t="s">
        <v>473</v>
      </c>
    </row>
    <row r="28" spans="1:7" ht="27.75" customHeight="1">
      <c r="A28" s="661"/>
      <c r="B28" s="4" t="s">
        <v>428</v>
      </c>
      <c r="C28" s="5" t="s">
        <v>473</v>
      </c>
      <c r="E28" s="663"/>
      <c r="F28" s="7" t="s">
        <v>429</v>
      </c>
      <c r="G28" s="5" t="s">
        <v>1389</v>
      </c>
    </row>
    <row r="29" spans="1:7" ht="25.5" customHeight="1">
      <c r="A29" s="661"/>
      <c r="B29" s="4" t="s">
        <v>430</v>
      </c>
      <c r="C29" s="5" t="s">
        <v>473</v>
      </c>
      <c r="E29" s="663"/>
      <c r="F29" s="7" t="s">
        <v>431</v>
      </c>
      <c r="G29" s="5" t="s">
        <v>473</v>
      </c>
    </row>
    <row r="30" spans="1:7" ht="27.75" customHeight="1">
      <c r="A30" s="660" t="s">
        <v>432</v>
      </c>
      <c r="B30" s="7" t="s">
        <v>433</v>
      </c>
      <c r="C30" s="5" t="s">
        <v>473</v>
      </c>
      <c r="E30" s="663"/>
      <c r="F30" s="7" t="s">
        <v>434</v>
      </c>
      <c r="G30" s="5" t="s">
        <v>473</v>
      </c>
    </row>
    <row r="31" spans="1:7" ht="27.75" customHeight="1">
      <c r="A31" s="662"/>
      <c r="B31" s="9" t="s">
        <v>435</v>
      </c>
      <c r="C31" s="5" t="s">
        <v>473</v>
      </c>
      <c r="E31" s="663"/>
      <c r="F31" s="7" t="s">
        <v>410</v>
      </c>
      <c r="G31" s="5" t="s">
        <v>473</v>
      </c>
    </row>
    <row r="32" spans="1:7" ht="27.75" customHeight="1">
      <c r="A32" s="662"/>
      <c r="B32" s="9" t="s">
        <v>436</v>
      </c>
      <c r="C32" s="5" t="s">
        <v>473</v>
      </c>
      <c r="E32" s="663"/>
      <c r="F32" s="7" t="s">
        <v>437</v>
      </c>
      <c r="G32" s="5" t="s">
        <v>473</v>
      </c>
    </row>
    <row r="33" spans="1:7" ht="27.75" customHeight="1">
      <c r="A33" s="662"/>
      <c r="B33" s="9" t="s">
        <v>438</v>
      </c>
      <c r="C33" s="5" t="s">
        <v>473</v>
      </c>
      <c r="E33" s="663"/>
      <c r="F33" s="7" t="s">
        <v>439</v>
      </c>
      <c r="G33" s="5" t="s">
        <v>473</v>
      </c>
    </row>
    <row r="34" spans="1:7" ht="27.75" customHeight="1">
      <c r="A34" s="662"/>
      <c r="B34" s="7" t="s">
        <v>414</v>
      </c>
      <c r="C34" s="5" t="s">
        <v>1389</v>
      </c>
      <c r="E34" s="663"/>
      <c r="F34" s="7" t="s">
        <v>440</v>
      </c>
      <c r="G34" s="5" t="s">
        <v>473</v>
      </c>
    </row>
    <row r="35" spans="1:7" ht="27.75" customHeight="1">
      <c r="A35" s="662"/>
      <c r="B35" s="7" t="s">
        <v>441</v>
      </c>
      <c r="C35" s="5" t="s">
        <v>1389</v>
      </c>
      <c r="E35" s="663"/>
      <c r="F35" s="7" t="s">
        <v>442</v>
      </c>
      <c r="G35" s="5" t="s">
        <v>473</v>
      </c>
    </row>
    <row r="36" spans="1:7" ht="27.75" customHeight="1">
      <c r="A36" s="662"/>
      <c r="B36" s="7" t="s">
        <v>443</v>
      </c>
      <c r="C36" s="5" t="s">
        <v>473</v>
      </c>
      <c r="E36" s="663"/>
      <c r="F36" s="7" t="s">
        <v>444</v>
      </c>
      <c r="G36" s="5" t="s">
        <v>473</v>
      </c>
    </row>
    <row r="37" spans="1:7" ht="27.75" customHeight="1">
      <c r="A37" s="662"/>
      <c r="B37" s="7" t="s">
        <v>445</v>
      </c>
      <c r="C37" s="5" t="s">
        <v>473</v>
      </c>
      <c r="E37" s="663"/>
      <c r="F37" s="7" t="s">
        <v>441</v>
      </c>
      <c r="G37" s="5" t="s">
        <v>473</v>
      </c>
    </row>
    <row r="38" spans="1:7" ht="27.75" customHeight="1">
      <c r="A38" s="662"/>
      <c r="B38" s="7" t="s">
        <v>446</v>
      </c>
      <c r="C38" s="5" t="s">
        <v>473</v>
      </c>
      <c r="E38" s="663"/>
      <c r="F38" s="7" t="s">
        <v>443</v>
      </c>
      <c r="G38" s="5" t="s">
        <v>473</v>
      </c>
    </row>
    <row r="39" spans="1:7" ht="27.75" customHeight="1">
      <c r="A39" s="662"/>
      <c r="B39" s="7" t="s">
        <v>447</v>
      </c>
      <c r="C39" s="5" t="s">
        <v>473</v>
      </c>
      <c r="E39" s="663"/>
      <c r="F39" s="7" t="s">
        <v>447</v>
      </c>
      <c r="G39" s="5" t="s">
        <v>473</v>
      </c>
    </row>
    <row r="40" spans="1:7" ht="27.75" customHeight="1">
      <c r="A40" s="662"/>
      <c r="B40" s="7" t="s">
        <v>448</v>
      </c>
      <c r="C40" s="5" t="s">
        <v>473</v>
      </c>
      <c r="E40" s="663"/>
      <c r="F40" s="7" t="s">
        <v>449</v>
      </c>
      <c r="G40" s="5" t="s">
        <v>473</v>
      </c>
    </row>
    <row r="41" spans="1:7" ht="27.75" customHeight="1">
      <c r="A41" s="662"/>
      <c r="B41" s="7" t="s">
        <v>416</v>
      </c>
      <c r="C41" s="5" t="s">
        <v>473</v>
      </c>
      <c r="E41" s="663"/>
      <c r="F41" s="7" t="s">
        <v>448</v>
      </c>
      <c r="G41" s="5" t="s">
        <v>473</v>
      </c>
    </row>
    <row r="42" spans="1:7" ht="38.25">
      <c r="A42" s="662"/>
      <c r="B42" s="7" t="s">
        <v>426</v>
      </c>
      <c r="C42" s="5" t="s">
        <v>473</v>
      </c>
      <c r="E42" s="663"/>
      <c r="F42" s="7" t="s">
        <v>450</v>
      </c>
      <c r="G42" s="5" t="s">
        <v>473</v>
      </c>
    </row>
    <row r="43" spans="1:7" ht="27.75" customHeight="1">
      <c r="A43" s="662"/>
      <c r="B43" s="7" t="s">
        <v>451</v>
      </c>
      <c r="C43" s="5" t="s">
        <v>473</v>
      </c>
      <c r="E43" s="663"/>
      <c r="F43" s="7" t="s">
        <v>452</v>
      </c>
      <c r="G43" s="5" t="s">
        <v>473</v>
      </c>
    </row>
    <row r="44" spans="1:7" ht="27.75" customHeight="1">
      <c r="A44" s="662"/>
      <c r="B44" s="7" t="s">
        <v>453</v>
      </c>
      <c r="C44" s="5" t="s">
        <v>473</v>
      </c>
      <c r="E44" s="663"/>
      <c r="F44" s="7" t="s">
        <v>454</v>
      </c>
      <c r="G44" s="5" t="s">
        <v>473</v>
      </c>
    </row>
    <row r="45" spans="1:7" ht="27.75" customHeight="1">
      <c r="A45" s="662"/>
      <c r="B45" s="7" t="s">
        <v>422</v>
      </c>
      <c r="C45" s="5" t="s">
        <v>473</v>
      </c>
      <c r="E45" s="663"/>
      <c r="F45" s="7" t="s">
        <v>455</v>
      </c>
      <c r="G45" s="5" t="s">
        <v>473</v>
      </c>
    </row>
    <row r="46" spans="1:7" ht="27.75" customHeight="1">
      <c r="A46" s="662"/>
      <c r="B46" s="7" t="s">
        <v>427</v>
      </c>
      <c r="C46" s="5" t="s">
        <v>473</v>
      </c>
      <c r="E46" s="10"/>
      <c r="F46" s="11"/>
      <c r="G46" s="12"/>
    </row>
    <row r="47" spans="1:7" ht="38.25">
      <c r="A47" s="662"/>
      <c r="B47" s="7" t="s">
        <v>429</v>
      </c>
      <c r="C47" s="5" t="s">
        <v>473</v>
      </c>
      <c r="E47" s="10"/>
      <c r="F47" s="11"/>
      <c r="G47" s="12"/>
    </row>
    <row r="48" spans="1:7" ht="27.75" customHeight="1">
      <c r="A48" s="662"/>
      <c r="B48" s="7" t="s">
        <v>431</v>
      </c>
      <c r="C48" s="5" t="s">
        <v>473</v>
      </c>
      <c r="E48" s="10"/>
      <c r="F48" s="11"/>
      <c r="G48" s="12"/>
    </row>
    <row r="49" spans="1:7" ht="27.75" customHeight="1">
      <c r="A49" s="662"/>
      <c r="B49" s="7" t="s">
        <v>437</v>
      </c>
      <c r="C49" s="5" t="s">
        <v>473</v>
      </c>
      <c r="E49" s="10"/>
      <c r="F49" s="11"/>
      <c r="G49" s="12"/>
    </row>
    <row r="50" spans="1:7" ht="27.75" customHeight="1">
      <c r="A50" s="662"/>
      <c r="B50" s="7" t="s">
        <v>439</v>
      </c>
      <c r="C50" s="5" t="s">
        <v>473</v>
      </c>
      <c r="E50" s="10"/>
      <c r="F50" s="11"/>
      <c r="G50" s="12"/>
    </row>
    <row r="51" spans="1:7" ht="27.75" customHeight="1">
      <c r="A51" s="662"/>
      <c r="B51" s="7" t="s">
        <v>440</v>
      </c>
      <c r="C51" s="5" t="s">
        <v>473</v>
      </c>
      <c r="E51" s="10"/>
      <c r="F51" s="11"/>
      <c r="G51" s="12"/>
    </row>
    <row r="52" spans="1:7" ht="27.75" customHeight="1">
      <c r="A52" s="662"/>
      <c r="B52" s="7" t="s">
        <v>442</v>
      </c>
      <c r="C52" s="5" t="s">
        <v>473</v>
      </c>
      <c r="E52" s="10"/>
      <c r="F52" s="11"/>
      <c r="G52" s="12"/>
    </row>
    <row r="53" spans="1:7" ht="27.75" customHeight="1">
      <c r="A53" s="662"/>
      <c r="B53" s="7" t="s">
        <v>452</v>
      </c>
      <c r="C53" s="5" t="s">
        <v>473</v>
      </c>
      <c r="E53" s="10"/>
      <c r="F53" s="11"/>
      <c r="G53" s="12"/>
    </row>
    <row r="54" spans="1:7" ht="27.75" customHeight="1">
      <c r="A54" s="662"/>
      <c r="B54" s="7" t="s">
        <v>455</v>
      </c>
      <c r="C54" s="5" t="s">
        <v>473</v>
      </c>
      <c r="E54" s="10"/>
      <c r="F54" s="11"/>
      <c r="G54" s="12"/>
    </row>
    <row r="55" spans="1:7" ht="27.75" customHeight="1">
      <c r="A55" s="662"/>
      <c r="B55" s="7" t="s">
        <v>456</v>
      </c>
      <c r="C55" s="5" t="s">
        <v>473</v>
      </c>
      <c r="E55" s="10"/>
      <c r="F55" s="11"/>
      <c r="G55" s="12"/>
    </row>
    <row r="56" spans="1:7">
      <c r="E56" s="13"/>
      <c r="F56" s="14"/>
      <c r="G56" s="12"/>
    </row>
    <row r="57" spans="1:7">
      <c r="E57" s="13"/>
      <c r="F57" s="14"/>
      <c r="G57" s="12"/>
    </row>
    <row r="60" spans="1:7">
      <c r="A60" s="654" t="s">
        <v>457</v>
      </c>
      <c r="B60" s="655"/>
      <c r="C60" s="655"/>
      <c r="D60" s="656"/>
    </row>
    <row r="61" spans="1:7">
      <c r="A61" s="657" t="s">
        <v>458</v>
      </c>
      <c r="B61" s="658"/>
      <c r="C61" s="658"/>
      <c r="D61" s="659"/>
    </row>
    <row r="62" spans="1:7">
      <c r="A62" s="657" t="s">
        <v>459</v>
      </c>
      <c r="B62" s="658"/>
      <c r="C62" s="658"/>
      <c r="D62" s="659"/>
    </row>
    <row r="63" spans="1:7">
      <c r="A63" s="657" t="s">
        <v>460</v>
      </c>
      <c r="B63" s="658"/>
      <c r="C63" s="658"/>
      <c r="D63" s="659"/>
    </row>
  </sheetData>
  <sheetProtection password="B090" sheet="1" objects="1" scenarios="1"/>
  <mergeCells count="15">
    <mergeCell ref="A62:D62"/>
    <mergeCell ref="A63:D63"/>
    <mergeCell ref="A14:A29"/>
    <mergeCell ref="A30:A55"/>
    <mergeCell ref="E15:E45"/>
    <mergeCell ref="A13:C13"/>
    <mergeCell ref="E13:G13"/>
    <mergeCell ref="E14:F14"/>
    <mergeCell ref="A60:D60"/>
    <mergeCell ref="A61:D61"/>
    <mergeCell ref="A6:G6"/>
    <mergeCell ref="A7:G7"/>
    <mergeCell ref="A8:G8"/>
    <mergeCell ref="A10:G10"/>
    <mergeCell ref="A12:G12"/>
  </mergeCells>
  <pageMargins left="0.511811024" right="0.511811024" top="0.78740157499999996" bottom="0.78740157499999996" header="0.31496062000000002" footer="0.31496062000000002"/>
  <pageSetup paperSize="9" scale="45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3"/>
  <sheetViews>
    <sheetView topLeftCell="A9" zoomScaleNormal="100" workbookViewId="0">
      <selection activeCell="C24" sqref="C24"/>
    </sheetView>
  </sheetViews>
  <sheetFormatPr defaultColWidth="9.140625" defaultRowHeight="15"/>
  <cols>
    <col min="1" max="1" width="26" style="1" customWidth="1"/>
    <col min="2" max="2" width="23.7109375" style="1" customWidth="1"/>
    <col min="3" max="3" width="26.85546875" style="1" customWidth="1"/>
    <col min="4" max="4" width="45.7109375" style="1" customWidth="1"/>
    <col min="5" max="5" width="57.140625" style="1" customWidth="1"/>
    <col min="6" max="7" width="27.85546875" style="1" customWidth="1"/>
    <col min="8" max="16384" width="9.140625" style="1"/>
  </cols>
  <sheetData>
    <row r="2" spans="1:7" ht="18" customHeight="1">
      <c r="B2" s="197"/>
      <c r="C2" s="558" t="s">
        <v>0</v>
      </c>
      <c r="D2" s="558"/>
      <c r="E2" s="558"/>
      <c r="F2" s="197"/>
      <c r="G2" s="96"/>
    </row>
    <row r="3" spans="1:7" ht="15.75">
      <c r="B3" s="197"/>
      <c r="C3" s="558" t="s">
        <v>2</v>
      </c>
      <c r="D3" s="558"/>
      <c r="E3" s="558"/>
      <c r="F3" s="197"/>
      <c r="G3" s="94"/>
    </row>
    <row r="4" spans="1:7" ht="15" customHeight="1">
      <c r="B4" s="198"/>
      <c r="C4" s="558" t="s">
        <v>5</v>
      </c>
      <c r="D4" s="558"/>
      <c r="E4" s="558"/>
      <c r="F4" s="198"/>
      <c r="G4" s="95"/>
    </row>
    <row r="7" spans="1:7" ht="61.5" customHeight="1">
      <c r="A7" s="559" t="s">
        <v>470</v>
      </c>
      <c r="B7" s="560"/>
      <c r="C7" s="560"/>
      <c r="D7" s="560"/>
      <c r="E7" s="560"/>
      <c r="F7" s="560"/>
      <c r="G7" s="560"/>
    </row>
    <row r="9" spans="1:7">
      <c r="A9" s="199" t="s">
        <v>156</v>
      </c>
      <c r="B9" s="199" t="s">
        <v>157</v>
      </c>
      <c r="C9" s="199" t="s">
        <v>158</v>
      </c>
      <c r="D9" s="199" t="s">
        <v>159</v>
      </c>
      <c r="E9" s="199" t="s">
        <v>12</v>
      </c>
      <c r="F9" s="199" t="s">
        <v>160</v>
      </c>
      <c r="G9" s="199" t="s">
        <v>161</v>
      </c>
    </row>
    <row r="10" spans="1:7">
      <c r="A10" s="200" t="s">
        <v>922</v>
      </c>
      <c r="B10" s="387">
        <v>44214</v>
      </c>
      <c r="C10" s="388">
        <v>67085</v>
      </c>
      <c r="D10" s="389" t="s">
        <v>907</v>
      </c>
      <c r="E10" s="389" t="s">
        <v>908</v>
      </c>
      <c r="F10" s="390">
        <v>18.489999999999998</v>
      </c>
      <c r="G10" s="390">
        <v>2000</v>
      </c>
    </row>
    <row r="11" spans="1:7">
      <c r="A11" s="200" t="s">
        <v>923</v>
      </c>
      <c r="B11" s="387">
        <v>44218</v>
      </c>
      <c r="C11" s="389">
        <v>22041</v>
      </c>
      <c r="D11" s="389" t="s">
        <v>909</v>
      </c>
      <c r="E11" s="389" t="s">
        <v>910</v>
      </c>
      <c r="F11" s="390">
        <v>32</v>
      </c>
      <c r="G11" s="390">
        <v>0</v>
      </c>
    </row>
    <row r="12" spans="1:7">
      <c r="A12" s="200" t="s">
        <v>923</v>
      </c>
      <c r="B12" s="387">
        <v>44221</v>
      </c>
      <c r="C12" s="389">
        <v>1283719</v>
      </c>
      <c r="D12" s="389" t="s">
        <v>911</v>
      </c>
      <c r="E12" s="389" t="s">
        <v>910</v>
      </c>
      <c r="F12" s="390">
        <v>450</v>
      </c>
      <c r="G12" s="390">
        <v>0</v>
      </c>
    </row>
    <row r="13" spans="1:7">
      <c r="A13" s="200" t="s">
        <v>924</v>
      </c>
      <c r="B13" s="387">
        <v>44222</v>
      </c>
      <c r="C13" s="389">
        <v>1</v>
      </c>
      <c r="D13" s="389" t="s">
        <v>912</v>
      </c>
      <c r="E13" s="389" t="s">
        <v>913</v>
      </c>
      <c r="F13" s="390">
        <v>15.05</v>
      </c>
      <c r="G13" s="390">
        <v>0</v>
      </c>
    </row>
    <row r="14" spans="1:7">
      <c r="A14" s="200" t="s">
        <v>924</v>
      </c>
      <c r="B14" s="387">
        <v>44222</v>
      </c>
      <c r="C14" s="389">
        <v>2</v>
      </c>
      <c r="D14" s="389" t="s">
        <v>912</v>
      </c>
      <c r="E14" s="389" t="s">
        <v>914</v>
      </c>
      <c r="F14" s="390">
        <v>15.99</v>
      </c>
      <c r="G14" s="390">
        <v>0</v>
      </c>
    </row>
    <row r="15" spans="1:7">
      <c r="A15" s="200" t="s">
        <v>925</v>
      </c>
      <c r="B15" s="387">
        <v>44222</v>
      </c>
      <c r="C15" s="389">
        <v>1284872</v>
      </c>
      <c r="D15" s="389" t="s">
        <v>911</v>
      </c>
      <c r="E15" s="389" t="s">
        <v>910</v>
      </c>
      <c r="F15" s="390">
        <v>620</v>
      </c>
      <c r="G15" s="390">
        <v>0</v>
      </c>
    </row>
    <row r="16" spans="1:7">
      <c r="A16" s="200" t="s">
        <v>924</v>
      </c>
      <c r="B16" s="387">
        <v>44223</v>
      </c>
      <c r="C16" s="389">
        <v>3</v>
      </c>
      <c r="D16" s="389" t="s">
        <v>912</v>
      </c>
      <c r="E16" s="389" t="s">
        <v>915</v>
      </c>
      <c r="F16" s="390">
        <v>12.94</v>
      </c>
      <c r="G16" s="390">
        <v>0</v>
      </c>
    </row>
    <row r="17" spans="1:7">
      <c r="A17" s="200" t="s">
        <v>924</v>
      </c>
      <c r="B17" s="387">
        <v>44223</v>
      </c>
      <c r="C17" s="389">
        <v>4</v>
      </c>
      <c r="D17" s="389" t="s">
        <v>912</v>
      </c>
      <c r="E17" s="389" t="s">
        <v>916</v>
      </c>
      <c r="F17" s="390">
        <v>14</v>
      </c>
      <c r="G17" s="390">
        <v>0</v>
      </c>
    </row>
    <row r="18" spans="1:7">
      <c r="A18" s="200" t="s">
        <v>214</v>
      </c>
      <c r="B18" s="387">
        <v>44224</v>
      </c>
      <c r="C18" s="389">
        <v>258</v>
      </c>
      <c r="D18" s="389" t="s">
        <v>917</v>
      </c>
      <c r="E18" s="389" t="s">
        <v>918</v>
      </c>
      <c r="F18" s="390">
        <v>334.8</v>
      </c>
      <c r="G18" s="390">
        <v>0</v>
      </c>
    </row>
    <row r="19" spans="1:7">
      <c r="A19" s="200" t="s">
        <v>194</v>
      </c>
      <c r="B19" s="387">
        <v>44225</v>
      </c>
      <c r="C19" s="389">
        <v>10154</v>
      </c>
      <c r="D19" s="389" t="s">
        <v>919</v>
      </c>
      <c r="E19" s="389" t="s">
        <v>920</v>
      </c>
      <c r="F19" s="390">
        <v>268.25</v>
      </c>
      <c r="G19" s="390">
        <v>0</v>
      </c>
    </row>
    <row r="20" spans="1:7">
      <c r="A20" s="200" t="s">
        <v>926</v>
      </c>
      <c r="B20" s="387">
        <v>44225</v>
      </c>
      <c r="C20" s="389">
        <v>1286587</v>
      </c>
      <c r="D20" s="389" t="s">
        <v>911</v>
      </c>
      <c r="E20" s="389" t="s">
        <v>910</v>
      </c>
      <c r="F20" s="390">
        <v>182.8</v>
      </c>
      <c r="G20" s="390">
        <v>0</v>
      </c>
    </row>
    <row r="21" spans="1:7">
      <c r="A21" s="200" t="s">
        <v>927</v>
      </c>
      <c r="B21" s="387">
        <v>44225</v>
      </c>
      <c r="C21" s="389">
        <v>2890</v>
      </c>
      <c r="D21" s="389" t="s">
        <v>921</v>
      </c>
      <c r="E21" s="389" t="s">
        <v>910</v>
      </c>
      <c r="F21" s="390">
        <v>23.2</v>
      </c>
      <c r="G21" s="390">
        <v>0</v>
      </c>
    </row>
    <row r="22" spans="1:7">
      <c r="A22" s="200"/>
      <c r="B22" s="200"/>
      <c r="C22" s="201"/>
      <c r="D22" s="201"/>
      <c r="E22" s="201"/>
      <c r="F22" s="202">
        <v>0</v>
      </c>
      <c r="G22" s="202">
        <v>0</v>
      </c>
    </row>
    <row r="23" spans="1:7">
      <c r="A23" s="200"/>
      <c r="B23" s="200"/>
      <c r="C23" s="201"/>
      <c r="D23" s="201"/>
      <c r="E23" s="201"/>
      <c r="F23" s="202">
        <v>0</v>
      </c>
      <c r="G23" s="202">
        <v>0</v>
      </c>
    </row>
    <row r="24" spans="1:7">
      <c r="A24" s="200"/>
      <c r="B24" s="200"/>
      <c r="C24" s="201"/>
      <c r="D24" s="201"/>
      <c r="E24" s="201"/>
      <c r="F24" s="202">
        <v>0</v>
      </c>
      <c r="G24" s="202">
        <v>0</v>
      </c>
    </row>
    <row r="25" spans="1:7">
      <c r="A25" s="200"/>
      <c r="B25" s="200"/>
      <c r="C25" s="201"/>
      <c r="D25" s="201"/>
      <c r="E25" s="201"/>
      <c r="F25" s="202">
        <v>0</v>
      </c>
      <c r="G25" s="202">
        <v>0</v>
      </c>
    </row>
    <row r="26" spans="1:7">
      <c r="A26" s="200"/>
      <c r="B26" s="200"/>
      <c r="C26" s="201"/>
      <c r="D26" s="201"/>
      <c r="E26" s="201"/>
      <c r="F26" s="202">
        <v>0</v>
      </c>
      <c r="G26" s="202">
        <v>0</v>
      </c>
    </row>
    <row r="27" spans="1:7">
      <c r="A27" s="200"/>
      <c r="B27" s="200"/>
      <c r="C27" s="201"/>
      <c r="D27" s="201"/>
      <c r="E27" s="201"/>
      <c r="F27" s="202">
        <v>0</v>
      </c>
      <c r="G27" s="202">
        <v>0</v>
      </c>
    </row>
    <row r="28" spans="1:7">
      <c r="A28" s="200"/>
      <c r="B28" s="200"/>
      <c r="C28" s="201"/>
      <c r="D28" s="201"/>
      <c r="E28" s="201"/>
      <c r="F28" s="202">
        <v>0</v>
      </c>
      <c r="G28" s="202">
        <v>0</v>
      </c>
    </row>
    <row r="29" spans="1:7">
      <c r="A29" s="200"/>
      <c r="B29" s="200"/>
      <c r="C29" s="201"/>
      <c r="D29" s="201"/>
      <c r="E29" s="201"/>
      <c r="F29" s="202">
        <v>0</v>
      </c>
      <c r="G29" s="202">
        <v>0</v>
      </c>
    </row>
    <row r="30" spans="1:7">
      <c r="A30" s="200"/>
      <c r="B30" s="200"/>
      <c r="C30" s="201"/>
      <c r="D30" s="201"/>
      <c r="E30" s="201"/>
      <c r="F30" s="202">
        <v>0</v>
      </c>
      <c r="G30" s="202">
        <v>0</v>
      </c>
    </row>
    <row r="31" spans="1:7">
      <c r="A31" s="200"/>
      <c r="B31" s="200"/>
      <c r="C31" s="201"/>
      <c r="D31" s="201"/>
      <c r="E31" s="201"/>
      <c r="F31" s="202">
        <v>0</v>
      </c>
      <c r="G31" s="202">
        <v>0</v>
      </c>
    </row>
    <row r="32" spans="1:7">
      <c r="A32" s="200"/>
      <c r="B32" s="200"/>
      <c r="C32" s="201"/>
      <c r="D32" s="201"/>
      <c r="E32" s="201"/>
      <c r="F32" s="202">
        <v>0</v>
      </c>
      <c r="G32" s="202">
        <v>0</v>
      </c>
    </row>
    <row r="33" spans="1:7">
      <c r="A33" s="200"/>
      <c r="B33" s="200"/>
      <c r="C33" s="201"/>
      <c r="D33" s="201"/>
      <c r="E33" s="201"/>
      <c r="F33" s="202">
        <v>0</v>
      </c>
      <c r="G33" s="202">
        <v>0</v>
      </c>
    </row>
    <row r="34" spans="1:7">
      <c r="A34" s="200"/>
      <c r="B34" s="200"/>
      <c r="C34" s="201"/>
      <c r="D34" s="201"/>
      <c r="E34" s="201"/>
      <c r="F34" s="202">
        <v>0</v>
      </c>
      <c r="G34" s="202">
        <v>0</v>
      </c>
    </row>
    <row r="35" spans="1:7">
      <c r="A35" s="200"/>
      <c r="B35" s="201"/>
      <c r="C35" s="201"/>
      <c r="D35" s="201"/>
      <c r="E35" s="201"/>
      <c r="F35" s="202">
        <v>0</v>
      </c>
      <c r="G35" s="202">
        <v>0</v>
      </c>
    </row>
    <row r="36" spans="1:7">
      <c r="A36" s="200"/>
      <c r="B36" s="201"/>
      <c r="C36" s="201"/>
      <c r="D36" s="201"/>
      <c r="E36" s="201"/>
      <c r="F36" s="202">
        <v>0</v>
      </c>
      <c r="G36" s="202">
        <v>0</v>
      </c>
    </row>
    <row r="37" spans="1:7">
      <c r="A37" s="200"/>
      <c r="B37" s="201"/>
      <c r="C37" s="201"/>
      <c r="D37" s="201"/>
      <c r="E37" s="201"/>
      <c r="F37" s="202">
        <v>0</v>
      </c>
      <c r="G37" s="202">
        <v>0</v>
      </c>
    </row>
    <row r="38" spans="1:7">
      <c r="A38" s="200"/>
      <c r="B38" s="201"/>
      <c r="C38" s="201"/>
      <c r="D38" s="201"/>
      <c r="E38" s="201"/>
      <c r="F38" s="202">
        <v>0</v>
      </c>
      <c r="G38" s="202">
        <v>0</v>
      </c>
    </row>
    <row r="39" spans="1:7">
      <c r="A39" s="201"/>
      <c r="B39" s="201"/>
      <c r="C39" s="201"/>
      <c r="D39" s="201"/>
      <c r="E39" s="201"/>
      <c r="F39" s="202">
        <v>0</v>
      </c>
      <c r="G39" s="202">
        <v>0</v>
      </c>
    </row>
    <row r="40" spans="1:7">
      <c r="A40" s="561" t="s">
        <v>139</v>
      </c>
      <c r="B40" s="562"/>
      <c r="C40" s="562"/>
      <c r="D40" s="562"/>
      <c r="E40" s="563"/>
      <c r="F40" s="203">
        <f>SUM(F10:F39)</f>
        <v>1987.52</v>
      </c>
      <c r="G40" s="203">
        <f>SUM(G10:G39)</f>
        <v>2000</v>
      </c>
    </row>
    <row r="41" spans="1:7">
      <c r="A41" s="204"/>
      <c r="B41" s="204"/>
      <c r="C41" s="204"/>
      <c r="D41" s="204"/>
      <c r="E41" s="204"/>
      <c r="F41" s="204"/>
    </row>
    <row r="42" spans="1:7">
      <c r="B42" s="205"/>
      <c r="C42" s="205"/>
      <c r="D42" s="205"/>
      <c r="E42" s="205"/>
      <c r="F42" s="205"/>
    </row>
    <row r="43" spans="1:7">
      <c r="A43" s="566" t="s">
        <v>162</v>
      </c>
      <c r="B43" s="566"/>
      <c r="C43" s="566"/>
      <c r="D43" s="206"/>
    </row>
    <row r="44" spans="1:7" ht="15" customHeight="1">
      <c r="A44" s="567" t="s">
        <v>163</v>
      </c>
      <c r="B44" s="567"/>
      <c r="C44" s="207">
        <v>-13.35</v>
      </c>
      <c r="D44" s="208"/>
    </row>
    <row r="45" spans="1:7" ht="15" customHeight="1">
      <c r="A45" s="567" t="s">
        <v>164</v>
      </c>
      <c r="B45" s="567"/>
      <c r="C45" s="209">
        <f>F40</f>
        <v>1987.52</v>
      </c>
      <c r="D45" s="210"/>
    </row>
    <row r="46" spans="1:7" ht="15" customHeight="1">
      <c r="A46" s="567" t="s">
        <v>165</v>
      </c>
      <c r="B46" s="567"/>
      <c r="C46" s="209">
        <f>G40</f>
        <v>2000</v>
      </c>
      <c r="D46" s="210"/>
    </row>
    <row r="47" spans="1:7">
      <c r="A47" s="568" t="s">
        <v>166</v>
      </c>
      <c r="B47" s="568"/>
      <c r="C47" s="211">
        <f>C44-C45+C46</f>
        <v>-0.86999999999989086</v>
      </c>
      <c r="D47" s="212"/>
    </row>
    <row r="48" spans="1:7">
      <c r="D48" s="213"/>
    </row>
    <row r="52" spans="2:5">
      <c r="B52" s="564" t="s">
        <v>167</v>
      </c>
      <c r="C52" s="564"/>
      <c r="D52" s="564"/>
      <c r="E52" s="564"/>
    </row>
    <row r="53" spans="2:5">
      <c r="B53" s="565" t="s">
        <v>168</v>
      </c>
      <c r="C53" s="565"/>
      <c r="D53" s="565"/>
      <c r="E53" s="565"/>
    </row>
  </sheetData>
  <sheetProtection password="B090" sheet="1" objects="1" scenarios="1"/>
  <mergeCells count="12">
    <mergeCell ref="B52:E52"/>
    <mergeCell ref="B53:E53"/>
    <mergeCell ref="A43:C43"/>
    <mergeCell ref="A44:B44"/>
    <mergeCell ref="A45:B45"/>
    <mergeCell ref="A46:B46"/>
    <mergeCell ref="A47:B47"/>
    <mergeCell ref="C2:E2"/>
    <mergeCell ref="C3:E3"/>
    <mergeCell ref="C4:E4"/>
    <mergeCell ref="A7:G7"/>
    <mergeCell ref="A40:E40"/>
  </mergeCells>
  <pageMargins left="0.511811024" right="0.511811024" top="0.78740157499999996" bottom="0.78740157499999996" header="0.31496062000000002" footer="0.31496062000000002"/>
  <pageSetup paperSize="9" scale="57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56"/>
  <sheetViews>
    <sheetView topLeftCell="A232" zoomScaleNormal="100" workbookViewId="0">
      <selection activeCell="E18" sqref="E18"/>
    </sheetView>
  </sheetViews>
  <sheetFormatPr defaultColWidth="9.140625" defaultRowHeight="15"/>
  <cols>
    <col min="1" max="1" width="25.5703125" style="1" customWidth="1"/>
    <col min="2" max="4" width="29.140625" style="1" customWidth="1"/>
    <col min="5" max="5" width="23.28515625" style="1" customWidth="1"/>
    <col min="6" max="16384" width="9.140625" style="1"/>
  </cols>
  <sheetData>
    <row r="3" spans="1:5" ht="15.75">
      <c r="B3" s="571" t="s">
        <v>0</v>
      </c>
      <c r="C3" s="571"/>
      <c r="D3" s="571"/>
    </row>
    <row r="4" spans="1:5" ht="15.75">
      <c r="B4" s="571" t="s">
        <v>2</v>
      </c>
      <c r="C4" s="571"/>
      <c r="D4" s="571"/>
    </row>
    <row r="5" spans="1:5" ht="15.75">
      <c r="B5" s="571" t="s">
        <v>5</v>
      </c>
      <c r="C5" s="571"/>
      <c r="D5" s="571"/>
    </row>
    <row r="8" spans="1:5" ht="50.25" customHeight="1">
      <c r="A8" s="572" t="s">
        <v>461</v>
      </c>
      <c r="B8" s="573"/>
      <c r="C8" s="573"/>
      <c r="D8" s="573"/>
      <c r="E8" s="573"/>
    </row>
    <row r="10" spans="1:5" ht="46.5" customHeight="1">
      <c r="A10" s="574" t="s">
        <v>462</v>
      </c>
      <c r="B10" s="575"/>
      <c r="C10" s="575"/>
      <c r="D10" s="575"/>
      <c r="E10" s="575"/>
    </row>
    <row r="13" spans="1:5">
      <c r="B13" s="569" t="s">
        <v>171</v>
      </c>
      <c r="C13" s="569"/>
      <c r="D13" s="191">
        <v>0</v>
      </c>
    </row>
    <row r="14" spans="1:5">
      <c r="B14" s="192" t="s">
        <v>157</v>
      </c>
      <c r="C14" s="192" t="s">
        <v>172</v>
      </c>
      <c r="D14" s="192" t="s">
        <v>173</v>
      </c>
    </row>
    <row r="15" spans="1:5">
      <c r="B15" s="387">
        <v>44194</v>
      </c>
      <c r="C15" s="468">
        <v>0</v>
      </c>
      <c r="D15" s="468">
        <v>0</v>
      </c>
    </row>
    <row r="16" spans="1:5">
      <c r="B16" s="387">
        <v>44204</v>
      </c>
      <c r="C16" s="469">
        <v>151.9</v>
      </c>
      <c r="D16" s="468">
        <v>0</v>
      </c>
    </row>
    <row r="17" spans="2:4">
      <c r="B17" s="387">
        <v>44204</v>
      </c>
      <c r="C17" s="468">
        <v>0</v>
      </c>
      <c r="D17" s="469">
        <v>151.9</v>
      </c>
    </row>
    <row r="18" spans="2:4">
      <c r="B18" s="387">
        <v>44208</v>
      </c>
      <c r="C18" s="468">
        <v>0</v>
      </c>
      <c r="D18" s="469">
        <v>891287.27</v>
      </c>
    </row>
    <row r="19" spans="2:4">
      <c r="B19" s="387">
        <v>44208</v>
      </c>
      <c r="C19" s="468">
        <v>0</v>
      </c>
      <c r="D19" s="469">
        <v>170000</v>
      </c>
    </row>
    <row r="20" spans="2:4">
      <c r="B20" s="387">
        <v>44208</v>
      </c>
      <c r="C20" s="469">
        <v>310</v>
      </c>
      <c r="D20" s="468">
        <v>0</v>
      </c>
    </row>
    <row r="21" spans="2:4">
      <c r="B21" s="387">
        <v>44208</v>
      </c>
      <c r="C21" s="469">
        <v>1800</v>
      </c>
      <c r="D21" s="468">
        <v>0</v>
      </c>
    </row>
    <row r="22" spans="2:4">
      <c r="B22" s="387">
        <v>44208</v>
      </c>
      <c r="C22" s="469">
        <v>27624</v>
      </c>
      <c r="D22" s="468">
        <v>0</v>
      </c>
    </row>
    <row r="23" spans="2:4">
      <c r="B23" s="387">
        <v>44208</v>
      </c>
      <c r="C23" s="469">
        <v>20000</v>
      </c>
      <c r="D23" s="468">
        <v>0</v>
      </c>
    </row>
    <row r="24" spans="2:4">
      <c r="B24" s="387">
        <v>44208</v>
      </c>
      <c r="C24" s="469">
        <v>22615.68</v>
      </c>
      <c r="D24" s="468">
        <v>0</v>
      </c>
    </row>
    <row r="25" spans="2:4">
      <c r="B25" s="387">
        <v>44208</v>
      </c>
      <c r="C25" s="469">
        <v>6000</v>
      </c>
      <c r="D25" s="468">
        <v>0</v>
      </c>
    </row>
    <row r="26" spans="2:4">
      <c r="B26" s="387">
        <v>44208</v>
      </c>
      <c r="C26" s="469">
        <v>656128.09</v>
      </c>
      <c r="D26" s="468">
        <v>0</v>
      </c>
    </row>
    <row r="27" spans="2:4">
      <c r="B27" s="387">
        <v>44208</v>
      </c>
      <c r="C27" s="469">
        <v>22087.279999999999</v>
      </c>
      <c r="D27" s="468">
        <v>0</v>
      </c>
    </row>
    <row r="28" spans="2:4">
      <c r="B28" s="387">
        <v>44208</v>
      </c>
      <c r="C28" s="469">
        <v>3146.24</v>
      </c>
      <c r="D28" s="468">
        <v>0</v>
      </c>
    </row>
    <row r="29" spans="2:4">
      <c r="B29" s="387">
        <v>44208</v>
      </c>
      <c r="C29" s="469">
        <v>3046.31</v>
      </c>
      <c r="D29" s="468">
        <v>0</v>
      </c>
    </row>
    <row r="30" spans="2:4">
      <c r="B30" s="387">
        <v>44208</v>
      </c>
      <c r="C30" s="469">
        <v>1322.58</v>
      </c>
      <c r="D30" s="468">
        <v>0</v>
      </c>
    </row>
    <row r="31" spans="2:4">
      <c r="B31" s="387">
        <v>44208</v>
      </c>
      <c r="C31" s="469">
        <v>3273.04</v>
      </c>
      <c r="D31" s="468">
        <v>0</v>
      </c>
    </row>
    <row r="32" spans="2:4">
      <c r="B32" s="387">
        <v>44208</v>
      </c>
      <c r="C32" s="469">
        <v>11318.31</v>
      </c>
      <c r="D32" s="468">
        <v>0</v>
      </c>
    </row>
    <row r="33" spans="2:4">
      <c r="B33" s="387">
        <v>44208</v>
      </c>
      <c r="C33" s="469">
        <v>1549.07</v>
      </c>
      <c r="D33" s="468">
        <v>0</v>
      </c>
    </row>
    <row r="34" spans="2:4">
      <c r="B34" s="387">
        <v>44208</v>
      </c>
      <c r="C34" s="469">
        <v>4380.92</v>
      </c>
      <c r="D34" s="468">
        <v>0</v>
      </c>
    </row>
    <row r="35" spans="2:4">
      <c r="B35" s="387">
        <v>44208</v>
      </c>
      <c r="C35" s="469">
        <v>40715.5</v>
      </c>
      <c r="D35" s="468">
        <v>0</v>
      </c>
    </row>
    <row r="36" spans="2:4">
      <c r="B36" s="387">
        <v>44208</v>
      </c>
      <c r="C36" s="469">
        <v>500</v>
      </c>
      <c r="D36" s="468">
        <v>0</v>
      </c>
    </row>
    <row r="37" spans="2:4">
      <c r="B37" s="387">
        <v>44208</v>
      </c>
      <c r="C37" s="469">
        <v>4880.04</v>
      </c>
      <c r="D37" s="468">
        <v>0</v>
      </c>
    </row>
    <row r="38" spans="2:4">
      <c r="B38" s="387">
        <v>44208</v>
      </c>
      <c r="C38" s="469">
        <v>820</v>
      </c>
      <c r="D38" s="468">
        <v>0</v>
      </c>
    </row>
    <row r="39" spans="2:4">
      <c r="B39" s="387">
        <v>44208</v>
      </c>
      <c r="C39" s="469">
        <v>12967.68</v>
      </c>
      <c r="D39" s="468">
        <v>0</v>
      </c>
    </row>
    <row r="40" spans="2:4">
      <c r="B40" s="387">
        <v>44208</v>
      </c>
      <c r="C40" s="469">
        <v>12060</v>
      </c>
      <c r="D40" s="468">
        <v>0</v>
      </c>
    </row>
    <row r="41" spans="2:4">
      <c r="B41" s="387">
        <v>44208</v>
      </c>
      <c r="C41" s="469">
        <v>4349.9399999999996</v>
      </c>
      <c r="D41" s="468">
        <v>0</v>
      </c>
    </row>
    <row r="42" spans="2:4">
      <c r="B42" s="387">
        <v>44208</v>
      </c>
      <c r="C42" s="469">
        <v>5149.63</v>
      </c>
      <c r="D42" s="468">
        <v>0</v>
      </c>
    </row>
    <row r="43" spans="2:4">
      <c r="B43" s="387">
        <v>44208</v>
      </c>
      <c r="C43" s="469">
        <v>34986.99</v>
      </c>
      <c r="D43" s="468">
        <v>0</v>
      </c>
    </row>
    <row r="44" spans="2:4">
      <c r="B44" s="387">
        <v>44208</v>
      </c>
      <c r="C44" s="469">
        <v>300</v>
      </c>
      <c r="D44" s="468">
        <v>0</v>
      </c>
    </row>
    <row r="45" spans="2:4">
      <c r="B45" s="387">
        <v>44208</v>
      </c>
      <c r="C45" s="469">
        <v>1411.75</v>
      </c>
      <c r="D45" s="468">
        <v>0</v>
      </c>
    </row>
    <row r="46" spans="2:4">
      <c r="B46" s="387">
        <v>44208</v>
      </c>
      <c r="C46" s="469">
        <v>3289.51</v>
      </c>
      <c r="D46" s="468">
        <v>0</v>
      </c>
    </row>
    <row r="47" spans="2:4">
      <c r="B47" s="387">
        <v>44208</v>
      </c>
      <c r="C47" s="469">
        <v>500</v>
      </c>
      <c r="D47" s="468">
        <v>0</v>
      </c>
    </row>
    <row r="48" spans="2:4">
      <c r="B48" s="387">
        <v>44208</v>
      </c>
      <c r="C48" s="469">
        <v>998</v>
      </c>
      <c r="D48" s="468">
        <v>0</v>
      </c>
    </row>
    <row r="49" spans="2:4">
      <c r="B49" s="387">
        <v>44208</v>
      </c>
      <c r="C49" s="469">
        <v>14000</v>
      </c>
      <c r="D49" s="468">
        <v>0</v>
      </c>
    </row>
    <row r="50" spans="2:4">
      <c r="B50" s="387">
        <v>44208</v>
      </c>
      <c r="C50" s="469">
        <v>13000</v>
      </c>
      <c r="D50" s="468">
        <v>0</v>
      </c>
    </row>
    <row r="51" spans="2:4">
      <c r="B51" s="387">
        <v>44208</v>
      </c>
      <c r="C51" s="469">
        <v>22000</v>
      </c>
      <c r="D51" s="468">
        <v>0</v>
      </c>
    </row>
    <row r="52" spans="2:4">
      <c r="B52" s="387">
        <v>44208</v>
      </c>
      <c r="C52" s="469">
        <v>2412</v>
      </c>
      <c r="D52" s="468">
        <v>0</v>
      </c>
    </row>
    <row r="53" spans="2:4">
      <c r="B53" s="387">
        <v>44208</v>
      </c>
      <c r="C53" s="469">
        <v>10152</v>
      </c>
      <c r="D53" s="468">
        <v>0</v>
      </c>
    </row>
    <row r="54" spans="2:4">
      <c r="B54" s="387">
        <v>44208</v>
      </c>
      <c r="C54" s="469">
        <v>10367.76</v>
      </c>
      <c r="D54" s="468">
        <v>0</v>
      </c>
    </row>
    <row r="55" spans="2:4">
      <c r="B55" s="387">
        <v>44208</v>
      </c>
      <c r="C55" s="469">
        <v>20432.87</v>
      </c>
      <c r="D55" s="468">
        <v>0</v>
      </c>
    </row>
    <row r="56" spans="2:4">
      <c r="B56" s="387">
        <v>44208</v>
      </c>
      <c r="C56" s="469">
        <v>14000</v>
      </c>
      <c r="D56" s="468">
        <v>0</v>
      </c>
    </row>
    <row r="57" spans="2:4">
      <c r="B57" s="387">
        <v>44208</v>
      </c>
      <c r="C57" s="469">
        <v>480</v>
      </c>
      <c r="D57" s="468">
        <v>0</v>
      </c>
    </row>
    <row r="58" spans="2:4">
      <c r="B58" s="387">
        <v>44208</v>
      </c>
      <c r="C58" s="469">
        <v>14933.41</v>
      </c>
      <c r="D58" s="468">
        <v>0</v>
      </c>
    </row>
    <row r="59" spans="2:4">
      <c r="B59" s="387">
        <v>44208</v>
      </c>
      <c r="C59" s="469">
        <v>3425</v>
      </c>
      <c r="D59" s="468">
        <v>0</v>
      </c>
    </row>
    <row r="60" spans="2:4">
      <c r="B60" s="387">
        <v>44208</v>
      </c>
      <c r="C60" s="469">
        <v>13500</v>
      </c>
      <c r="D60" s="468">
        <v>0</v>
      </c>
    </row>
    <row r="61" spans="2:4">
      <c r="B61" s="387">
        <v>44208</v>
      </c>
      <c r="C61" s="469">
        <v>11356</v>
      </c>
      <c r="D61" s="468">
        <v>0</v>
      </c>
    </row>
    <row r="62" spans="2:4">
      <c r="B62" s="387">
        <v>44208</v>
      </c>
      <c r="C62" s="469">
        <v>1297.67</v>
      </c>
      <c r="D62" s="468">
        <v>0</v>
      </c>
    </row>
    <row r="63" spans="2:4">
      <c r="B63" s="387">
        <v>44208</v>
      </c>
      <c r="C63" s="469">
        <v>2400</v>
      </c>
      <c r="D63" s="468">
        <v>0</v>
      </c>
    </row>
    <row r="64" spans="2:4">
      <c r="B64" s="387">
        <v>44209</v>
      </c>
      <c r="C64" s="469">
        <v>2000</v>
      </c>
      <c r="D64" s="468">
        <v>0</v>
      </c>
    </row>
    <row r="65" spans="2:4">
      <c r="B65" s="387">
        <v>44209</v>
      </c>
      <c r="C65" s="469">
        <v>3000</v>
      </c>
      <c r="D65" s="468">
        <v>0</v>
      </c>
    </row>
    <row r="66" spans="2:4">
      <c r="B66" s="387">
        <v>44209</v>
      </c>
      <c r="C66" s="469">
        <v>3564.04</v>
      </c>
      <c r="D66" s="468">
        <v>0</v>
      </c>
    </row>
    <row r="67" spans="2:4">
      <c r="B67" s="387">
        <v>44209</v>
      </c>
      <c r="C67" s="469">
        <v>2376</v>
      </c>
      <c r="D67" s="468">
        <v>0</v>
      </c>
    </row>
    <row r="68" spans="2:4">
      <c r="B68" s="387">
        <v>44209</v>
      </c>
      <c r="C68" s="469">
        <v>259.5</v>
      </c>
      <c r="D68" s="468">
        <v>0</v>
      </c>
    </row>
    <row r="69" spans="2:4">
      <c r="B69" s="387">
        <v>44209</v>
      </c>
      <c r="C69" s="469">
        <v>206.1</v>
      </c>
      <c r="D69" s="468">
        <v>0</v>
      </c>
    </row>
    <row r="70" spans="2:4">
      <c r="B70" s="387">
        <v>44209</v>
      </c>
      <c r="C70" s="469">
        <v>2187.5</v>
      </c>
      <c r="D70" s="468">
        <v>0</v>
      </c>
    </row>
    <row r="71" spans="2:4">
      <c r="B71" s="387">
        <v>44209</v>
      </c>
      <c r="C71" s="469">
        <v>4000</v>
      </c>
      <c r="D71" s="468">
        <v>0</v>
      </c>
    </row>
    <row r="72" spans="2:4">
      <c r="B72" s="387">
        <v>44209</v>
      </c>
      <c r="C72" s="469">
        <v>404.8</v>
      </c>
      <c r="D72" s="468">
        <v>0</v>
      </c>
    </row>
    <row r="73" spans="2:4">
      <c r="B73" s="387">
        <v>44209</v>
      </c>
      <c r="C73" s="469">
        <v>392</v>
      </c>
      <c r="D73" s="468">
        <v>0</v>
      </c>
    </row>
    <row r="74" spans="2:4">
      <c r="B74" s="387">
        <v>44209</v>
      </c>
      <c r="C74" s="469">
        <v>3596.98</v>
      </c>
      <c r="D74" s="468">
        <v>0</v>
      </c>
    </row>
    <row r="75" spans="2:4">
      <c r="B75" s="387">
        <v>44209</v>
      </c>
      <c r="C75" s="469">
        <v>7557</v>
      </c>
      <c r="D75" s="468">
        <v>0</v>
      </c>
    </row>
    <row r="76" spans="2:4">
      <c r="B76" s="387">
        <v>44209</v>
      </c>
      <c r="C76" s="469">
        <v>7059.22</v>
      </c>
      <c r="D76" s="468">
        <v>0</v>
      </c>
    </row>
    <row r="77" spans="2:4">
      <c r="B77" s="387">
        <v>44209</v>
      </c>
      <c r="C77" s="469">
        <v>1183.2</v>
      </c>
      <c r="D77" s="468">
        <v>0</v>
      </c>
    </row>
    <row r="78" spans="2:4">
      <c r="B78" s="387">
        <v>44209</v>
      </c>
      <c r="C78" s="469">
        <v>5835.45</v>
      </c>
      <c r="D78" s="468">
        <v>0</v>
      </c>
    </row>
    <row r="79" spans="2:4">
      <c r="B79" s="387">
        <v>44209</v>
      </c>
      <c r="C79" s="469">
        <v>2486.4</v>
      </c>
      <c r="D79" s="468">
        <v>0</v>
      </c>
    </row>
    <row r="80" spans="2:4">
      <c r="B80" s="387">
        <v>44209</v>
      </c>
      <c r="C80" s="469">
        <v>2650.5</v>
      </c>
      <c r="D80" s="468">
        <v>0</v>
      </c>
    </row>
    <row r="81" spans="2:4">
      <c r="B81" s="387">
        <v>44209</v>
      </c>
      <c r="C81" s="469">
        <v>2610.5300000000002</v>
      </c>
      <c r="D81" s="468">
        <v>0</v>
      </c>
    </row>
    <row r="82" spans="2:4">
      <c r="B82" s="387">
        <v>44209</v>
      </c>
      <c r="C82" s="469">
        <v>3034.52</v>
      </c>
      <c r="D82" s="468">
        <v>0</v>
      </c>
    </row>
    <row r="83" spans="2:4">
      <c r="B83" s="387">
        <v>44209</v>
      </c>
      <c r="C83" s="469">
        <v>1084.98</v>
      </c>
      <c r="D83" s="468">
        <v>0</v>
      </c>
    </row>
    <row r="84" spans="2:4">
      <c r="B84" s="387">
        <v>44209</v>
      </c>
      <c r="C84" s="469">
        <v>1500</v>
      </c>
      <c r="D84" s="468">
        <v>0</v>
      </c>
    </row>
    <row r="85" spans="2:4">
      <c r="B85" s="387">
        <v>44209</v>
      </c>
      <c r="C85" s="469">
        <v>503.53</v>
      </c>
      <c r="D85" s="468">
        <v>0</v>
      </c>
    </row>
    <row r="86" spans="2:4">
      <c r="B86" s="387">
        <v>44209</v>
      </c>
      <c r="C86" s="469">
        <v>36002.300000000003</v>
      </c>
      <c r="D86" s="468">
        <v>0</v>
      </c>
    </row>
    <row r="87" spans="2:4">
      <c r="B87" s="387">
        <v>44209</v>
      </c>
      <c r="C87" s="469">
        <v>6182.67</v>
      </c>
      <c r="D87" s="468">
        <v>0</v>
      </c>
    </row>
    <row r="88" spans="2:4">
      <c r="B88" s="387">
        <v>44209</v>
      </c>
      <c r="C88" s="469">
        <v>5900.67</v>
      </c>
      <c r="D88" s="468">
        <v>0</v>
      </c>
    </row>
    <row r="89" spans="2:4">
      <c r="B89" s="387">
        <v>44209</v>
      </c>
      <c r="C89" s="469">
        <v>22588.44</v>
      </c>
      <c r="D89" s="468">
        <v>0</v>
      </c>
    </row>
    <row r="90" spans="2:4">
      <c r="B90" s="387">
        <v>44209</v>
      </c>
      <c r="C90" s="469">
        <v>30430.66</v>
      </c>
      <c r="D90" s="468">
        <v>0</v>
      </c>
    </row>
    <row r="91" spans="2:4">
      <c r="B91" s="387">
        <v>44209</v>
      </c>
      <c r="C91" s="469">
        <v>621.05999999999995</v>
      </c>
      <c r="D91" s="468">
        <v>0</v>
      </c>
    </row>
    <row r="92" spans="2:4">
      <c r="B92" s="387">
        <v>44209</v>
      </c>
      <c r="C92" s="469">
        <v>3065.77</v>
      </c>
      <c r="D92" s="468">
        <v>0</v>
      </c>
    </row>
    <row r="93" spans="2:4">
      <c r="B93" s="387">
        <v>44209</v>
      </c>
      <c r="C93" s="469">
        <v>621.35</v>
      </c>
      <c r="D93" s="468">
        <v>0</v>
      </c>
    </row>
    <row r="94" spans="2:4">
      <c r="B94" s="387">
        <v>44209</v>
      </c>
      <c r="C94" s="469">
        <v>1242.4100000000001</v>
      </c>
      <c r="D94" s="468">
        <v>0</v>
      </c>
    </row>
    <row r="95" spans="2:4">
      <c r="B95" s="387">
        <v>44209</v>
      </c>
      <c r="C95" s="469">
        <v>4248.62</v>
      </c>
      <c r="D95" s="468">
        <v>0</v>
      </c>
    </row>
    <row r="96" spans="2:4">
      <c r="B96" s="387">
        <v>44209</v>
      </c>
      <c r="C96" s="469">
        <v>2464.7600000000002</v>
      </c>
      <c r="D96" s="468">
        <v>0</v>
      </c>
    </row>
    <row r="97" spans="2:4">
      <c r="B97" s="387">
        <v>44209</v>
      </c>
      <c r="C97" s="469">
        <v>681.47</v>
      </c>
      <c r="D97" s="468">
        <v>0</v>
      </c>
    </row>
    <row r="98" spans="2:4">
      <c r="B98" s="387">
        <v>44209</v>
      </c>
      <c r="C98" s="469">
        <v>601.29999999999995</v>
      </c>
      <c r="D98" s="468">
        <v>0</v>
      </c>
    </row>
    <row r="99" spans="2:4">
      <c r="B99" s="387">
        <v>44209</v>
      </c>
      <c r="C99" s="469">
        <v>621.05999999999995</v>
      </c>
      <c r="D99" s="468">
        <v>0</v>
      </c>
    </row>
    <row r="100" spans="2:4">
      <c r="B100" s="387">
        <v>44209</v>
      </c>
      <c r="C100" s="469">
        <v>1282.21</v>
      </c>
      <c r="D100" s="468">
        <v>0</v>
      </c>
    </row>
    <row r="101" spans="2:4">
      <c r="B101" s="387">
        <v>44209</v>
      </c>
      <c r="C101" s="468">
        <v>0</v>
      </c>
      <c r="D101" s="469">
        <v>174047</v>
      </c>
    </row>
    <row r="102" spans="2:4">
      <c r="B102" s="387">
        <v>44210</v>
      </c>
      <c r="C102" s="469">
        <v>190</v>
      </c>
      <c r="D102" s="468">
        <v>0</v>
      </c>
    </row>
    <row r="103" spans="2:4">
      <c r="B103" s="387">
        <v>44210</v>
      </c>
      <c r="C103" s="469">
        <v>17324.13</v>
      </c>
      <c r="D103" s="468">
        <v>0</v>
      </c>
    </row>
    <row r="104" spans="2:4">
      <c r="B104" s="387">
        <v>44210</v>
      </c>
      <c r="C104" s="469">
        <v>131390</v>
      </c>
      <c r="D104" s="468">
        <v>0</v>
      </c>
    </row>
    <row r="105" spans="2:4">
      <c r="B105" s="387">
        <v>44210</v>
      </c>
      <c r="C105" s="469">
        <v>3656.3</v>
      </c>
      <c r="D105" s="468">
        <v>0</v>
      </c>
    </row>
    <row r="106" spans="2:4">
      <c r="B106" s="387">
        <v>44210</v>
      </c>
      <c r="C106" s="469">
        <v>1025</v>
      </c>
      <c r="D106" s="468">
        <v>0</v>
      </c>
    </row>
    <row r="107" spans="2:4">
      <c r="B107" s="387">
        <v>44210</v>
      </c>
      <c r="C107" s="469">
        <v>673.8</v>
      </c>
      <c r="D107" s="468">
        <v>0</v>
      </c>
    </row>
    <row r="108" spans="2:4">
      <c r="B108" s="387">
        <v>44210</v>
      </c>
      <c r="C108" s="469">
        <v>2746.03</v>
      </c>
      <c r="D108" s="468">
        <v>0</v>
      </c>
    </row>
    <row r="109" spans="2:4">
      <c r="B109" s="387">
        <v>44210</v>
      </c>
      <c r="C109" s="469">
        <v>11349.19</v>
      </c>
      <c r="D109" s="468">
        <v>0</v>
      </c>
    </row>
    <row r="110" spans="2:4">
      <c r="B110" s="387">
        <v>44210</v>
      </c>
      <c r="C110" s="469">
        <v>5149.63</v>
      </c>
      <c r="D110" s="468">
        <v>0</v>
      </c>
    </row>
    <row r="111" spans="2:4">
      <c r="B111" s="387">
        <v>44210</v>
      </c>
      <c r="C111" s="469">
        <v>119.91</v>
      </c>
      <c r="D111" s="468">
        <v>0</v>
      </c>
    </row>
    <row r="112" spans="2:4">
      <c r="B112" s="387">
        <v>44210</v>
      </c>
      <c r="C112" s="469">
        <v>111.94</v>
      </c>
      <c r="D112" s="468">
        <v>0</v>
      </c>
    </row>
    <row r="113" spans="2:4">
      <c r="B113" s="387">
        <v>44210</v>
      </c>
      <c r="C113" s="468">
        <v>0</v>
      </c>
      <c r="D113" s="469">
        <v>173735.93</v>
      </c>
    </row>
    <row r="114" spans="2:4">
      <c r="B114" s="387">
        <v>44211</v>
      </c>
      <c r="C114" s="469">
        <v>15172.25</v>
      </c>
      <c r="D114" s="468">
        <v>0</v>
      </c>
    </row>
    <row r="115" spans="2:4">
      <c r="B115" s="387">
        <v>44211</v>
      </c>
      <c r="C115" s="468">
        <v>0</v>
      </c>
      <c r="D115" s="469">
        <v>15172.25</v>
      </c>
    </row>
    <row r="116" spans="2:4">
      <c r="B116" s="387">
        <v>44214</v>
      </c>
      <c r="C116" s="469">
        <v>5397.48</v>
      </c>
      <c r="D116" s="468">
        <v>0</v>
      </c>
    </row>
    <row r="117" spans="2:4">
      <c r="B117" s="387">
        <v>44214</v>
      </c>
      <c r="C117" s="469">
        <v>16816.810000000001</v>
      </c>
      <c r="D117" s="468">
        <v>0</v>
      </c>
    </row>
    <row r="118" spans="2:4">
      <c r="B118" s="387">
        <v>44214</v>
      </c>
      <c r="C118" s="469">
        <v>49.12</v>
      </c>
      <c r="D118" s="468">
        <v>0</v>
      </c>
    </row>
    <row r="119" spans="2:4">
      <c r="B119" s="387">
        <v>44214</v>
      </c>
      <c r="C119" s="469">
        <v>68.209999999999994</v>
      </c>
      <c r="D119" s="468">
        <v>0</v>
      </c>
    </row>
    <row r="120" spans="2:4">
      <c r="B120" s="387">
        <v>44214</v>
      </c>
      <c r="C120" s="468">
        <v>0</v>
      </c>
      <c r="D120" s="469">
        <v>22331.62</v>
      </c>
    </row>
    <row r="121" spans="2:4">
      <c r="B121" s="387">
        <v>44215</v>
      </c>
      <c r="C121" s="469">
        <v>1222.3599999999999</v>
      </c>
      <c r="D121" s="468">
        <v>0</v>
      </c>
    </row>
    <row r="122" spans="2:4">
      <c r="B122" s="387">
        <v>44215</v>
      </c>
      <c r="C122" s="469">
        <v>2063.61</v>
      </c>
      <c r="D122" s="468">
        <v>0</v>
      </c>
    </row>
    <row r="123" spans="2:4">
      <c r="B123" s="387">
        <v>44215</v>
      </c>
      <c r="C123" s="469">
        <v>2244.85</v>
      </c>
      <c r="D123" s="468">
        <v>0</v>
      </c>
    </row>
    <row r="124" spans="2:4">
      <c r="B124" s="387">
        <v>44215</v>
      </c>
      <c r="C124" s="469">
        <v>189</v>
      </c>
      <c r="D124" s="468">
        <v>0</v>
      </c>
    </row>
    <row r="125" spans="2:4">
      <c r="B125" s="387">
        <v>44215</v>
      </c>
      <c r="C125" s="469">
        <v>3750</v>
      </c>
      <c r="D125" s="468">
        <v>0</v>
      </c>
    </row>
    <row r="126" spans="2:4">
      <c r="B126" s="387">
        <v>44215</v>
      </c>
      <c r="C126" s="468">
        <v>0</v>
      </c>
      <c r="D126" s="469">
        <v>9469.82</v>
      </c>
    </row>
    <row r="127" spans="2:4">
      <c r="B127" s="387">
        <v>44216</v>
      </c>
      <c r="C127" s="468">
        <v>0</v>
      </c>
      <c r="D127" s="469">
        <v>200</v>
      </c>
    </row>
    <row r="128" spans="2:4">
      <c r="B128" s="387">
        <v>44216</v>
      </c>
      <c r="C128" s="469">
        <v>4092.7</v>
      </c>
      <c r="D128" s="468">
        <v>0</v>
      </c>
    </row>
    <row r="129" spans="2:4">
      <c r="B129" s="387">
        <v>44216</v>
      </c>
      <c r="C129" s="469">
        <v>2388.9</v>
      </c>
      <c r="D129" s="468">
        <v>0</v>
      </c>
    </row>
    <row r="130" spans="2:4">
      <c r="B130" s="387">
        <v>44216</v>
      </c>
      <c r="C130" s="469">
        <v>57.75</v>
      </c>
      <c r="D130" s="468">
        <v>0</v>
      </c>
    </row>
    <row r="131" spans="2:4">
      <c r="B131" s="387">
        <v>44216</v>
      </c>
      <c r="C131" s="469">
        <v>57.75</v>
      </c>
      <c r="D131" s="468">
        <v>0</v>
      </c>
    </row>
    <row r="132" spans="2:4">
      <c r="B132" s="387">
        <v>44216</v>
      </c>
      <c r="C132" s="469">
        <v>57.75</v>
      </c>
      <c r="D132" s="468">
        <v>0</v>
      </c>
    </row>
    <row r="133" spans="2:4">
      <c r="B133" s="387">
        <v>44216</v>
      </c>
      <c r="C133" s="469">
        <v>57.24</v>
      </c>
      <c r="D133" s="468">
        <v>0</v>
      </c>
    </row>
    <row r="134" spans="2:4">
      <c r="B134" s="387">
        <v>44216</v>
      </c>
      <c r="C134" s="469">
        <v>191.92</v>
      </c>
      <c r="D134" s="468">
        <v>0</v>
      </c>
    </row>
    <row r="135" spans="2:4">
      <c r="B135" s="387">
        <v>44216</v>
      </c>
      <c r="C135" s="468">
        <v>0</v>
      </c>
      <c r="D135" s="469">
        <v>6704.01</v>
      </c>
    </row>
    <row r="136" spans="2:4">
      <c r="B136" s="387">
        <v>44217</v>
      </c>
      <c r="C136" s="469">
        <v>2967.59</v>
      </c>
      <c r="D136" s="468">
        <v>0</v>
      </c>
    </row>
    <row r="137" spans="2:4">
      <c r="B137" s="387">
        <v>44217</v>
      </c>
      <c r="C137" s="469">
        <v>940.18</v>
      </c>
      <c r="D137" s="468">
        <v>0</v>
      </c>
    </row>
    <row r="138" spans="2:4">
      <c r="B138" s="387">
        <v>44217</v>
      </c>
      <c r="C138" s="469">
        <v>35.11</v>
      </c>
      <c r="D138" s="468">
        <v>0</v>
      </c>
    </row>
    <row r="139" spans="2:4">
      <c r="B139" s="387">
        <v>44217</v>
      </c>
      <c r="C139" s="468">
        <v>0</v>
      </c>
      <c r="D139" s="469">
        <v>3942.88</v>
      </c>
    </row>
    <row r="140" spans="2:4">
      <c r="B140" s="387">
        <v>44221</v>
      </c>
      <c r="C140" s="468">
        <v>0</v>
      </c>
      <c r="D140" s="469">
        <v>316.91000000000003</v>
      </c>
    </row>
    <row r="141" spans="2:4">
      <c r="B141" s="387">
        <v>44221</v>
      </c>
      <c r="C141" s="469">
        <v>316.91000000000003</v>
      </c>
      <c r="D141" s="468">
        <v>0</v>
      </c>
    </row>
    <row r="142" spans="2:4">
      <c r="B142" s="387">
        <v>44222</v>
      </c>
      <c r="C142" s="469">
        <v>55.6</v>
      </c>
      <c r="D142" s="468">
        <v>0</v>
      </c>
    </row>
    <row r="143" spans="2:4">
      <c r="B143" s="387">
        <v>44222</v>
      </c>
      <c r="C143" s="468">
        <v>0</v>
      </c>
      <c r="D143" s="469">
        <v>55.6</v>
      </c>
    </row>
    <row r="144" spans="2:4">
      <c r="B144" s="387">
        <v>44225</v>
      </c>
      <c r="C144" s="469">
        <v>11942.55</v>
      </c>
      <c r="D144" s="468">
        <v>0</v>
      </c>
    </row>
    <row r="145" spans="2:4">
      <c r="B145" s="387">
        <v>44225</v>
      </c>
      <c r="C145" s="468">
        <v>0</v>
      </c>
      <c r="D145" s="469">
        <v>11942.55</v>
      </c>
    </row>
    <row r="146" spans="2:4">
      <c r="B146" s="387">
        <v>44227</v>
      </c>
      <c r="C146" s="468">
        <v>0</v>
      </c>
      <c r="D146" s="468">
        <v>0</v>
      </c>
    </row>
    <row r="147" spans="2:4">
      <c r="B147" s="5"/>
      <c r="C147" s="193">
        <v>0</v>
      </c>
      <c r="D147" s="193">
        <v>0</v>
      </c>
    </row>
    <row r="148" spans="2:4">
      <c r="B148" s="5"/>
      <c r="C148" s="193">
        <v>0</v>
      </c>
      <c r="D148" s="193">
        <v>0</v>
      </c>
    </row>
    <row r="149" spans="2:4">
      <c r="B149" s="5"/>
      <c r="C149" s="193">
        <v>0</v>
      </c>
      <c r="D149" s="193">
        <v>0</v>
      </c>
    </row>
    <row r="150" spans="2:4">
      <c r="B150" s="5"/>
      <c r="C150" s="193">
        <v>0</v>
      </c>
      <c r="D150" s="193">
        <v>0</v>
      </c>
    </row>
    <row r="151" spans="2:4">
      <c r="B151" s="5"/>
      <c r="C151" s="193">
        <v>0</v>
      </c>
      <c r="D151" s="193">
        <v>0</v>
      </c>
    </row>
    <row r="152" spans="2:4">
      <c r="B152" s="5"/>
      <c r="C152" s="193">
        <v>0</v>
      </c>
      <c r="D152" s="193">
        <v>0</v>
      </c>
    </row>
    <row r="153" spans="2:4">
      <c r="B153" s="5"/>
      <c r="C153" s="193">
        <v>0</v>
      </c>
      <c r="D153" s="193">
        <v>0</v>
      </c>
    </row>
    <row r="154" spans="2:4">
      <c r="B154" s="5"/>
      <c r="C154" s="193">
        <v>0</v>
      </c>
      <c r="D154" s="193">
        <v>0</v>
      </c>
    </row>
    <row r="155" spans="2:4">
      <c r="B155" s="5"/>
      <c r="C155" s="193">
        <v>0</v>
      </c>
      <c r="D155" s="193">
        <v>0</v>
      </c>
    </row>
    <row r="156" spans="2:4">
      <c r="B156" s="5"/>
      <c r="C156" s="193">
        <v>0</v>
      </c>
      <c r="D156" s="193">
        <v>0</v>
      </c>
    </row>
    <row r="157" spans="2:4">
      <c r="B157" s="5"/>
      <c r="C157" s="193">
        <v>0</v>
      </c>
      <c r="D157" s="193">
        <v>0</v>
      </c>
    </row>
    <row r="158" spans="2:4">
      <c r="B158" s="5"/>
      <c r="C158" s="193">
        <v>0</v>
      </c>
      <c r="D158" s="193">
        <v>0</v>
      </c>
    </row>
    <row r="159" spans="2:4">
      <c r="B159" s="5"/>
      <c r="C159" s="193">
        <v>0</v>
      </c>
      <c r="D159" s="193">
        <v>0</v>
      </c>
    </row>
    <row r="160" spans="2:4">
      <c r="B160" s="5"/>
      <c r="C160" s="193">
        <v>0</v>
      </c>
      <c r="D160" s="193">
        <v>0</v>
      </c>
    </row>
    <row r="161" spans="2:4">
      <c r="B161" s="5"/>
      <c r="C161" s="193">
        <v>0</v>
      </c>
      <c r="D161" s="193">
        <v>0</v>
      </c>
    </row>
    <row r="162" spans="2:4">
      <c r="B162" s="5"/>
      <c r="C162" s="193">
        <v>0</v>
      </c>
      <c r="D162" s="193">
        <v>0</v>
      </c>
    </row>
    <row r="163" spans="2:4">
      <c r="B163" s="5"/>
      <c r="C163" s="193">
        <v>0</v>
      </c>
      <c r="D163" s="193">
        <v>0</v>
      </c>
    </row>
    <row r="164" spans="2:4">
      <c r="B164" s="5"/>
      <c r="C164" s="193">
        <v>0</v>
      </c>
      <c r="D164" s="193">
        <v>0</v>
      </c>
    </row>
    <row r="165" spans="2:4">
      <c r="B165" s="5"/>
      <c r="C165" s="193">
        <v>0</v>
      </c>
      <c r="D165" s="193">
        <v>0</v>
      </c>
    </row>
    <row r="166" spans="2:4">
      <c r="B166" s="5"/>
      <c r="C166" s="193">
        <v>0</v>
      </c>
      <c r="D166" s="193">
        <v>0</v>
      </c>
    </row>
    <row r="167" spans="2:4">
      <c r="B167" s="5"/>
      <c r="C167" s="193">
        <v>0</v>
      </c>
      <c r="D167" s="193">
        <v>0</v>
      </c>
    </row>
    <row r="168" spans="2:4">
      <c r="B168" s="5"/>
      <c r="C168" s="193">
        <v>0</v>
      </c>
      <c r="D168" s="193">
        <v>0</v>
      </c>
    </row>
    <row r="169" spans="2:4">
      <c r="B169" s="5"/>
      <c r="C169" s="193">
        <v>0</v>
      </c>
      <c r="D169" s="193">
        <v>0</v>
      </c>
    </row>
    <row r="170" spans="2:4">
      <c r="B170" s="5"/>
      <c r="C170" s="193">
        <v>0</v>
      </c>
      <c r="D170" s="193">
        <v>0</v>
      </c>
    </row>
    <row r="171" spans="2:4">
      <c r="B171" s="5"/>
      <c r="C171" s="193">
        <v>0</v>
      </c>
      <c r="D171" s="193">
        <v>0</v>
      </c>
    </row>
    <row r="172" spans="2:4">
      <c r="B172" s="5"/>
      <c r="C172" s="193">
        <v>0</v>
      </c>
      <c r="D172" s="193">
        <v>0</v>
      </c>
    </row>
    <row r="173" spans="2:4">
      <c r="B173" s="5"/>
      <c r="C173" s="193">
        <v>0</v>
      </c>
      <c r="D173" s="193">
        <v>0</v>
      </c>
    </row>
    <row r="174" spans="2:4">
      <c r="B174" s="5"/>
      <c r="C174" s="193">
        <v>0</v>
      </c>
      <c r="D174" s="193">
        <v>0</v>
      </c>
    </row>
    <row r="175" spans="2:4">
      <c r="B175" s="5"/>
      <c r="C175" s="193">
        <v>0</v>
      </c>
      <c r="D175" s="193">
        <v>0</v>
      </c>
    </row>
    <row r="176" spans="2:4">
      <c r="B176" s="5"/>
      <c r="C176" s="193">
        <v>0</v>
      </c>
      <c r="D176" s="193">
        <v>0</v>
      </c>
    </row>
    <row r="177" spans="2:4">
      <c r="B177" s="5"/>
      <c r="C177" s="193">
        <v>0</v>
      </c>
      <c r="D177" s="193">
        <v>0</v>
      </c>
    </row>
    <row r="178" spans="2:4">
      <c r="B178" s="5"/>
      <c r="C178" s="193">
        <v>0</v>
      </c>
      <c r="D178" s="193">
        <v>0</v>
      </c>
    </row>
    <row r="179" spans="2:4">
      <c r="B179" s="5"/>
      <c r="C179" s="193">
        <v>0</v>
      </c>
      <c r="D179" s="193">
        <v>0</v>
      </c>
    </row>
    <row r="180" spans="2:4">
      <c r="B180" s="5"/>
      <c r="C180" s="193">
        <v>0</v>
      </c>
      <c r="D180" s="193">
        <v>0</v>
      </c>
    </row>
    <row r="181" spans="2:4">
      <c r="B181" s="5"/>
      <c r="C181" s="193">
        <v>0</v>
      </c>
      <c r="D181" s="193">
        <v>0</v>
      </c>
    </row>
    <row r="182" spans="2:4">
      <c r="B182" s="5"/>
      <c r="C182" s="193">
        <v>0</v>
      </c>
      <c r="D182" s="193">
        <v>0</v>
      </c>
    </row>
    <row r="183" spans="2:4">
      <c r="B183" s="5"/>
      <c r="C183" s="193">
        <v>0</v>
      </c>
      <c r="D183" s="193">
        <v>0</v>
      </c>
    </row>
    <row r="184" spans="2:4">
      <c r="B184" s="5"/>
      <c r="C184" s="193">
        <v>0</v>
      </c>
      <c r="D184" s="193">
        <v>0</v>
      </c>
    </row>
    <row r="185" spans="2:4">
      <c r="B185" s="5"/>
      <c r="C185" s="193">
        <v>0</v>
      </c>
      <c r="D185" s="193">
        <v>0</v>
      </c>
    </row>
    <row r="186" spans="2:4">
      <c r="B186" s="5"/>
      <c r="C186" s="193">
        <v>0</v>
      </c>
      <c r="D186" s="193">
        <v>0</v>
      </c>
    </row>
    <row r="187" spans="2:4">
      <c r="B187" s="5"/>
      <c r="C187" s="193">
        <v>0</v>
      </c>
      <c r="D187" s="193">
        <v>0</v>
      </c>
    </row>
    <row r="188" spans="2:4">
      <c r="B188" s="5"/>
      <c r="C188" s="193">
        <v>0</v>
      </c>
      <c r="D188" s="193">
        <v>0</v>
      </c>
    </row>
    <row r="189" spans="2:4">
      <c r="B189" s="5"/>
      <c r="C189" s="193">
        <v>0</v>
      </c>
      <c r="D189" s="193">
        <v>0</v>
      </c>
    </row>
    <row r="190" spans="2:4">
      <c r="B190" s="5"/>
      <c r="C190" s="193">
        <v>0</v>
      </c>
      <c r="D190" s="193">
        <v>0</v>
      </c>
    </row>
    <row r="191" spans="2:4">
      <c r="B191" s="5"/>
      <c r="C191" s="193">
        <v>0</v>
      </c>
      <c r="D191" s="193">
        <v>0</v>
      </c>
    </row>
    <row r="192" spans="2:4">
      <c r="B192" s="5"/>
      <c r="C192" s="193">
        <v>0</v>
      </c>
      <c r="D192" s="193">
        <v>0</v>
      </c>
    </row>
    <row r="193" spans="2:4">
      <c r="B193" s="5"/>
      <c r="C193" s="193">
        <v>0</v>
      </c>
      <c r="D193" s="193">
        <v>0</v>
      </c>
    </row>
    <row r="194" spans="2:4">
      <c r="B194" s="5"/>
      <c r="C194" s="193">
        <v>0</v>
      </c>
      <c r="D194" s="193">
        <v>0</v>
      </c>
    </row>
    <row r="195" spans="2:4">
      <c r="B195" s="5"/>
      <c r="C195" s="193">
        <v>0</v>
      </c>
      <c r="D195" s="193">
        <v>0</v>
      </c>
    </row>
    <row r="196" spans="2:4">
      <c r="B196" s="5"/>
      <c r="C196" s="193">
        <v>0</v>
      </c>
      <c r="D196" s="193">
        <v>0</v>
      </c>
    </row>
    <row r="197" spans="2:4">
      <c r="B197" s="5"/>
      <c r="C197" s="193">
        <v>0</v>
      </c>
      <c r="D197" s="193">
        <v>0</v>
      </c>
    </row>
    <row r="198" spans="2:4">
      <c r="B198" s="5"/>
      <c r="C198" s="193">
        <v>0</v>
      </c>
      <c r="D198" s="193">
        <v>0</v>
      </c>
    </row>
    <row r="199" spans="2:4">
      <c r="B199" s="5"/>
      <c r="C199" s="193">
        <v>0</v>
      </c>
      <c r="D199" s="193">
        <v>0</v>
      </c>
    </row>
    <row r="200" spans="2:4">
      <c r="B200" s="5"/>
      <c r="C200" s="193">
        <v>0</v>
      </c>
      <c r="D200" s="193">
        <v>0</v>
      </c>
    </row>
    <row r="201" spans="2:4">
      <c r="B201" s="5"/>
      <c r="C201" s="193">
        <v>0</v>
      </c>
      <c r="D201" s="193">
        <v>0</v>
      </c>
    </row>
    <row r="202" spans="2:4">
      <c r="B202" s="5"/>
      <c r="C202" s="193">
        <v>0</v>
      </c>
      <c r="D202" s="193">
        <v>0</v>
      </c>
    </row>
    <row r="203" spans="2:4">
      <c r="B203" s="5"/>
      <c r="C203" s="193">
        <v>0</v>
      </c>
      <c r="D203" s="193">
        <v>0</v>
      </c>
    </row>
    <row r="204" spans="2:4">
      <c r="B204" s="5"/>
      <c r="C204" s="193">
        <v>0</v>
      </c>
      <c r="D204" s="193">
        <v>0</v>
      </c>
    </row>
    <row r="205" spans="2:4">
      <c r="B205" s="5"/>
      <c r="C205" s="193">
        <v>0</v>
      </c>
      <c r="D205" s="193">
        <v>0</v>
      </c>
    </row>
    <row r="206" spans="2:4">
      <c r="B206" s="5"/>
      <c r="C206" s="193">
        <v>0</v>
      </c>
      <c r="D206" s="193">
        <v>0</v>
      </c>
    </row>
    <row r="207" spans="2:4">
      <c r="B207" s="5"/>
      <c r="C207" s="193">
        <v>0</v>
      </c>
      <c r="D207" s="193">
        <v>0</v>
      </c>
    </row>
    <row r="208" spans="2:4">
      <c r="B208" s="5"/>
      <c r="C208" s="193">
        <v>0</v>
      </c>
      <c r="D208" s="193">
        <v>0</v>
      </c>
    </row>
    <row r="209" spans="2:4">
      <c r="B209" s="5"/>
      <c r="C209" s="193">
        <v>0</v>
      </c>
      <c r="D209" s="193">
        <v>0</v>
      </c>
    </row>
    <row r="210" spans="2:4">
      <c r="B210" s="5"/>
      <c r="C210" s="193">
        <v>0</v>
      </c>
      <c r="D210" s="193">
        <v>0</v>
      </c>
    </row>
    <row r="211" spans="2:4">
      <c r="B211" s="5"/>
      <c r="C211" s="193">
        <v>0</v>
      </c>
      <c r="D211" s="193">
        <v>0</v>
      </c>
    </row>
    <row r="212" spans="2:4">
      <c r="B212" s="5"/>
      <c r="C212" s="193">
        <v>0</v>
      </c>
      <c r="D212" s="193">
        <v>0</v>
      </c>
    </row>
    <row r="213" spans="2:4">
      <c r="B213" s="5"/>
      <c r="C213" s="193">
        <v>0</v>
      </c>
      <c r="D213" s="193">
        <v>0</v>
      </c>
    </row>
    <row r="214" spans="2:4">
      <c r="B214" s="5"/>
      <c r="C214" s="193">
        <v>0</v>
      </c>
      <c r="D214" s="193">
        <v>0</v>
      </c>
    </row>
    <row r="215" spans="2:4">
      <c r="B215" s="5"/>
      <c r="C215" s="193">
        <v>0</v>
      </c>
      <c r="D215" s="193">
        <v>0</v>
      </c>
    </row>
    <row r="216" spans="2:4">
      <c r="B216" s="5"/>
      <c r="C216" s="193">
        <v>0</v>
      </c>
      <c r="D216" s="193">
        <v>0</v>
      </c>
    </row>
    <row r="217" spans="2:4">
      <c r="B217" s="5"/>
      <c r="C217" s="193">
        <v>0</v>
      </c>
      <c r="D217" s="193">
        <v>0</v>
      </c>
    </row>
    <row r="218" spans="2:4">
      <c r="B218" s="5"/>
      <c r="C218" s="193">
        <v>0</v>
      </c>
      <c r="D218" s="193">
        <v>0</v>
      </c>
    </row>
    <row r="219" spans="2:4">
      <c r="B219" s="5"/>
      <c r="C219" s="193">
        <v>0</v>
      </c>
      <c r="D219" s="193">
        <v>0</v>
      </c>
    </row>
    <row r="220" spans="2:4">
      <c r="B220" s="5"/>
      <c r="C220" s="193">
        <v>0</v>
      </c>
      <c r="D220" s="193">
        <v>0</v>
      </c>
    </row>
    <row r="221" spans="2:4">
      <c r="B221" s="5"/>
      <c r="C221" s="193">
        <v>0</v>
      </c>
      <c r="D221" s="193">
        <v>0</v>
      </c>
    </row>
    <row r="222" spans="2:4">
      <c r="B222" s="5"/>
      <c r="C222" s="193">
        <v>0</v>
      </c>
      <c r="D222" s="193">
        <v>0</v>
      </c>
    </row>
    <row r="223" spans="2:4">
      <c r="B223" s="5"/>
      <c r="C223" s="193">
        <v>0</v>
      </c>
      <c r="D223" s="193">
        <v>0</v>
      </c>
    </row>
    <row r="224" spans="2:4">
      <c r="B224" s="5"/>
      <c r="C224" s="193">
        <v>0</v>
      </c>
      <c r="D224" s="193">
        <v>0</v>
      </c>
    </row>
    <row r="225" spans="2:4">
      <c r="B225" s="5"/>
      <c r="C225" s="193">
        <v>0</v>
      </c>
      <c r="D225" s="193">
        <v>0</v>
      </c>
    </row>
    <row r="226" spans="2:4">
      <c r="B226" s="5"/>
      <c r="C226" s="193">
        <v>0</v>
      </c>
      <c r="D226" s="193">
        <v>0</v>
      </c>
    </row>
    <row r="227" spans="2:4">
      <c r="B227" s="5"/>
      <c r="C227" s="193">
        <v>0</v>
      </c>
      <c r="D227" s="193">
        <v>0</v>
      </c>
    </row>
    <row r="228" spans="2:4">
      <c r="B228" s="5"/>
      <c r="C228" s="193">
        <v>0</v>
      </c>
      <c r="D228" s="193">
        <v>0</v>
      </c>
    </row>
    <row r="229" spans="2:4">
      <c r="B229" s="5"/>
      <c r="C229" s="193">
        <v>0</v>
      </c>
      <c r="D229" s="193">
        <v>0</v>
      </c>
    </row>
    <row r="230" spans="2:4">
      <c r="B230" s="5"/>
      <c r="C230" s="193">
        <v>0</v>
      </c>
      <c r="D230" s="193">
        <v>0</v>
      </c>
    </row>
    <row r="231" spans="2:4">
      <c r="B231" s="5"/>
      <c r="C231" s="193">
        <v>0</v>
      </c>
      <c r="D231" s="193">
        <v>0</v>
      </c>
    </row>
    <row r="232" spans="2:4">
      <c r="B232" s="5"/>
      <c r="C232" s="193">
        <v>0</v>
      </c>
      <c r="D232" s="193">
        <v>0</v>
      </c>
    </row>
    <row r="233" spans="2:4">
      <c r="B233" s="5"/>
      <c r="C233" s="193">
        <v>0</v>
      </c>
      <c r="D233" s="193">
        <v>0</v>
      </c>
    </row>
    <row r="234" spans="2:4">
      <c r="B234" s="5"/>
      <c r="C234" s="193">
        <v>0</v>
      </c>
      <c r="D234" s="193">
        <v>0</v>
      </c>
    </row>
    <row r="235" spans="2:4">
      <c r="B235" s="5"/>
      <c r="C235" s="193">
        <v>0</v>
      </c>
      <c r="D235" s="193">
        <v>0</v>
      </c>
    </row>
    <row r="236" spans="2:4">
      <c r="B236" s="5"/>
      <c r="C236" s="193">
        <v>0</v>
      </c>
      <c r="D236" s="193">
        <v>0</v>
      </c>
    </row>
    <row r="237" spans="2:4">
      <c r="B237" s="5"/>
      <c r="C237" s="193">
        <v>0</v>
      </c>
      <c r="D237" s="193">
        <v>0</v>
      </c>
    </row>
    <row r="238" spans="2:4">
      <c r="B238" s="5"/>
      <c r="C238" s="193">
        <v>0</v>
      </c>
      <c r="D238" s="193">
        <v>0</v>
      </c>
    </row>
    <row r="239" spans="2:4">
      <c r="B239" s="5"/>
      <c r="C239" s="193">
        <v>0</v>
      </c>
      <c r="D239" s="193">
        <v>0</v>
      </c>
    </row>
    <row r="240" spans="2:4">
      <c r="B240" s="5"/>
      <c r="C240" s="193">
        <v>0</v>
      </c>
      <c r="D240" s="193">
        <v>0</v>
      </c>
    </row>
    <row r="241" spans="2:4">
      <c r="B241" s="5"/>
      <c r="C241" s="193">
        <v>0</v>
      </c>
      <c r="D241" s="193">
        <v>0</v>
      </c>
    </row>
    <row r="242" spans="2:4">
      <c r="B242" s="5"/>
      <c r="C242" s="193">
        <v>0</v>
      </c>
      <c r="D242" s="193">
        <v>0</v>
      </c>
    </row>
    <row r="243" spans="2:4">
      <c r="B243" s="5"/>
      <c r="C243" s="193">
        <v>0</v>
      </c>
      <c r="D243" s="193">
        <v>0</v>
      </c>
    </row>
    <row r="244" spans="2:4">
      <c r="B244" s="5"/>
      <c r="C244" s="193">
        <v>0</v>
      </c>
      <c r="D244" s="193">
        <v>0</v>
      </c>
    </row>
    <row r="245" spans="2:4">
      <c r="B245" s="5"/>
      <c r="C245" s="193">
        <v>0</v>
      </c>
      <c r="D245" s="193">
        <v>0</v>
      </c>
    </row>
    <row r="246" spans="2:4">
      <c r="B246" s="5"/>
      <c r="C246" s="193">
        <v>0</v>
      </c>
      <c r="D246" s="193">
        <v>0</v>
      </c>
    </row>
    <row r="247" spans="2:4">
      <c r="B247" s="5"/>
      <c r="C247" s="193">
        <v>0</v>
      </c>
      <c r="D247" s="193">
        <v>0</v>
      </c>
    </row>
    <row r="248" spans="2:4">
      <c r="B248" s="5"/>
      <c r="C248" s="193">
        <v>0</v>
      </c>
      <c r="D248" s="193">
        <v>0</v>
      </c>
    </row>
    <row r="249" spans="2:4">
      <c r="B249" s="194" t="s">
        <v>139</v>
      </c>
      <c r="C249" s="195">
        <f>SUM(C15:C248)</f>
        <v>1479357.74</v>
      </c>
      <c r="D249" s="195">
        <f>SUM(D15:D248)</f>
        <v>1479357.74</v>
      </c>
    </row>
    <row r="250" spans="2:4">
      <c r="B250" s="570" t="s">
        <v>174</v>
      </c>
      <c r="C250" s="570"/>
      <c r="D250" s="196">
        <f>D13-C249+D249</f>
        <v>0</v>
      </c>
    </row>
    <row r="255" spans="2:4">
      <c r="B255" s="564" t="s">
        <v>175</v>
      </c>
      <c r="C255" s="564"/>
      <c r="D255" s="564"/>
    </row>
    <row r="256" spans="2:4">
      <c r="B256" s="565" t="s">
        <v>176</v>
      </c>
      <c r="C256" s="565"/>
      <c r="D256" s="565"/>
    </row>
  </sheetData>
  <sheetProtection password="B090" sheet="1" objects="1" scenarios="1"/>
  <mergeCells count="9">
    <mergeCell ref="B13:C13"/>
    <mergeCell ref="B250:C250"/>
    <mergeCell ref="B255:D255"/>
    <mergeCell ref="B256:D256"/>
    <mergeCell ref="B3:D3"/>
    <mergeCell ref="B4:D4"/>
    <mergeCell ref="B5:D5"/>
    <mergeCell ref="A8:E8"/>
    <mergeCell ref="A10:E10"/>
  </mergeCells>
  <pageMargins left="0.511811024" right="0.511811024" top="0.78740157499999996" bottom="0.78740157499999996" header="0.31496062000000002" footer="0.31496062000000002"/>
  <pageSetup paperSize="9" scale="64" orientation="portrait" horizontalDpi="4294967294" verticalDpi="4294967294" r:id="rId1"/>
  <rowBreaks count="2" manualBreakCount="2">
    <brk id="73" max="16383" man="1"/>
    <brk id="22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56"/>
  <sheetViews>
    <sheetView workbookViewId="0">
      <selection activeCell="E15" sqref="E15:E16"/>
    </sheetView>
  </sheetViews>
  <sheetFormatPr defaultColWidth="9.140625" defaultRowHeight="15"/>
  <cols>
    <col min="1" max="1" width="25.5703125" style="1" customWidth="1"/>
    <col min="2" max="4" width="29.140625" style="1" customWidth="1"/>
    <col min="5" max="5" width="26.28515625" style="1" customWidth="1"/>
    <col min="6" max="16384" width="9.140625" style="1"/>
  </cols>
  <sheetData>
    <row r="3" spans="1:5" ht="15.75">
      <c r="B3" s="571" t="s">
        <v>0</v>
      </c>
      <c r="C3" s="571"/>
      <c r="D3" s="571"/>
    </row>
    <row r="4" spans="1:5" ht="15.75">
      <c r="B4" s="571" t="s">
        <v>2</v>
      </c>
      <c r="C4" s="571"/>
      <c r="D4" s="571"/>
    </row>
    <row r="5" spans="1:5" ht="15.75">
      <c r="B5" s="571" t="s">
        <v>5</v>
      </c>
      <c r="C5" s="571"/>
      <c r="D5" s="571"/>
    </row>
    <row r="8" spans="1:5" ht="50.25" customHeight="1">
      <c r="A8" s="576" t="s">
        <v>169</v>
      </c>
      <c r="B8" s="577"/>
      <c r="C8" s="577"/>
      <c r="D8" s="577"/>
      <c r="E8" s="577"/>
    </row>
    <row r="10" spans="1:5" ht="46.5" customHeight="1">
      <c r="A10" s="578" t="s">
        <v>170</v>
      </c>
      <c r="B10" s="579"/>
      <c r="C10" s="579"/>
      <c r="D10" s="579"/>
      <c r="E10" s="579"/>
    </row>
    <row r="13" spans="1:5">
      <c r="B13" s="569" t="s">
        <v>171</v>
      </c>
      <c r="C13" s="569"/>
      <c r="D13" s="191">
        <v>0</v>
      </c>
    </row>
    <row r="14" spans="1:5">
      <c r="B14" s="192" t="s">
        <v>157</v>
      </c>
      <c r="C14" s="192" t="s">
        <v>172</v>
      </c>
      <c r="D14" s="192" t="s">
        <v>173</v>
      </c>
    </row>
    <row r="15" spans="1:5">
      <c r="B15" s="5"/>
      <c r="C15" s="193">
        <v>0</v>
      </c>
      <c r="D15" s="193">
        <v>0</v>
      </c>
    </row>
    <row r="16" spans="1:5">
      <c r="B16" s="5"/>
      <c r="C16" s="193">
        <v>0</v>
      </c>
      <c r="D16" s="193">
        <v>0</v>
      </c>
    </row>
    <row r="17" spans="2:4">
      <c r="B17" s="5"/>
      <c r="C17" s="193">
        <v>0</v>
      </c>
      <c r="D17" s="193">
        <v>0</v>
      </c>
    </row>
    <row r="18" spans="2:4">
      <c r="B18" s="5"/>
      <c r="C18" s="193">
        <v>0</v>
      </c>
      <c r="D18" s="193">
        <v>0</v>
      </c>
    </row>
    <row r="19" spans="2:4">
      <c r="B19" s="5"/>
      <c r="C19" s="193">
        <v>0</v>
      </c>
      <c r="D19" s="193">
        <v>0</v>
      </c>
    </row>
    <row r="20" spans="2:4">
      <c r="B20" s="5"/>
      <c r="C20" s="193">
        <v>0</v>
      </c>
      <c r="D20" s="193">
        <v>0</v>
      </c>
    </row>
    <row r="21" spans="2:4">
      <c r="B21" s="5"/>
      <c r="C21" s="193">
        <v>0</v>
      </c>
      <c r="D21" s="193">
        <v>0</v>
      </c>
    </row>
    <row r="22" spans="2:4">
      <c r="B22" s="5"/>
      <c r="C22" s="193">
        <v>0</v>
      </c>
      <c r="D22" s="193">
        <v>0</v>
      </c>
    </row>
    <row r="23" spans="2:4">
      <c r="B23" s="5"/>
      <c r="C23" s="193">
        <v>0</v>
      </c>
      <c r="D23" s="193">
        <v>0</v>
      </c>
    </row>
    <row r="24" spans="2:4">
      <c r="B24" s="5"/>
      <c r="C24" s="193">
        <v>0</v>
      </c>
      <c r="D24" s="193">
        <v>0</v>
      </c>
    </row>
    <row r="25" spans="2:4">
      <c r="B25" s="5"/>
      <c r="C25" s="193">
        <v>0</v>
      </c>
      <c r="D25" s="193">
        <v>0</v>
      </c>
    </row>
    <row r="26" spans="2:4">
      <c r="B26" s="5"/>
      <c r="C26" s="193">
        <v>0</v>
      </c>
      <c r="D26" s="193">
        <v>0</v>
      </c>
    </row>
    <row r="27" spans="2:4">
      <c r="B27" s="5"/>
      <c r="C27" s="193">
        <v>0</v>
      </c>
      <c r="D27" s="193">
        <v>0</v>
      </c>
    </row>
    <row r="28" spans="2:4">
      <c r="B28" s="5"/>
      <c r="C28" s="193">
        <v>0</v>
      </c>
      <c r="D28" s="193">
        <v>0</v>
      </c>
    </row>
    <row r="29" spans="2:4">
      <c r="B29" s="5"/>
      <c r="C29" s="193">
        <v>0</v>
      </c>
      <c r="D29" s="193">
        <v>0</v>
      </c>
    </row>
    <row r="30" spans="2:4">
      <c r="B30" s="5"/>
      <c r="C30" s="193">
        <v>0</v>
      </c>
      <c r="D30" s="193">
        <v>0</v>
      </c>
    </row>
    <row r="31" spans="2:4">
      <c r="B31" s="5"/>
      <c r="C31" s="193">
        <v>0</v>
      </c>
      <c r="D31" s="193">
        <v>0</v>
      </c>
    </row>
    <row r="32" spans="2:4">
      <c r="B32" s="5"/>
      <c r="C32" s="193">
        <v>0</v>
      </c>
      <c r="D32" s="193">
        <v>0</v>
      </c>
    </row>
    <row r="33" spans="2:4">
      <c r="B33" s="5"/>
      <c r="C33" s="193">
        <v>0</v>
      </c>
      <c r="D33" s="193">
        <v>0</v>
      </c>
    </row>
    <row r="34" spans="2:4">
      <c r="B34" s="5"/>
      <c r="C34" s="193">
        <v>0</v>
      </c>
      <c r="D34" s="193">
        <v>0</v>
      </c>
    </row>
    <row r="35" spans="2:4">
      <c r="B35" s="5"/>
      <c r="C35" s="193">
        <v>0</v>
      </c>
      <c r="D35" s="193">
        <v>0</v>
      </c>
    </row>
    <row r="36" spans="2:4">
      <c r="B36" s="5"/>
      <c r="C36" s="193">
        <v>0</v>
      </c>
      <c r="D36" s="193">
        <v>0</v>
      </c>
    </row>
    <row r="37" spans="2:4">
      <c r="B37" s="5"/>
      <c r="C37" s="193">
        <v>0</v>
      </c>
      <c r="D37" s="193">
        <v>0</v>
      </c>
    </row>
    <row r="38" spans="2:4">
      <c r="B38" s="5"/>
      <c r="C38" s="193">
        <v>0</v>
      </c>
      <c r="D38" s="193">
        <v>0</v>
      </c>
    </row>
    <row r="39" spans="2:4">
      <c r="B39" s="5"/>
      <c r="C39" s="193">
        <v>0</v>
      </c>
      <c r="D39" s="193">
        <v>0</v>
      </c>
    </row>
    <row r="40" spans="2:4">
      <c r="B40" s="5"/>
      <c r="C40" s="193">
        <v>0</v>
      </c>
      <c r="D40" s="193">
        <v>0</v>
      </c>
    </row>
    <row r="41" spans="2:4">
      <c r="B41" s="5"/>
      <c r="C41" s="193">
        <v>0</v>
      </c>
      <c r="D41" s="193">
        <v>0</v>
      </c>
    </row>
    <row r="42" spans="2:4">
      <c r="B42" s="5"/>
      <c r="C42" s="193">
        <v>0</v>
      </c>
      <c r="D42" s="193">
        <v>0</v>
      </c>
    </row>
    <row r="43" spans="2:4">
      <c r="B43" s="5"/>
      <c r="C43" s="193">
        <v>0</v>
      </c>
      <c r="D43" s="193">
        <v>0</v>
      </c>
    </row>
    <row r="44" spans="2:4">
      <c r="B44" s="5"/>
      <c r="C44" s="193">
        <v>0</v>
      </c>
      <c r="D44" s="193">
        <v>0</v>
      </c>
    </row>
    <row r="45" spans="2:4">
      <c r="B45" s="5"/>
      <c r="C45" s="193">
        <v>0</v>
      </c>
      <c r="D45" s="193">
        <v>0</v>
      </c>
    </row>
    <row r="46" spans="2:4">
      <c r="B46" s="5"/>
      <c r="C46" s="193">
        <v>0</v>
      </c>
      <c r="D46" s="193">
        <v>0</v>
      </c>
    </row>
    <row r="47" spans="2:4">
      <c r="B47" s="5"/>
      <c r="C47" s="193">
        <v>0</v>
      </c>
      <c r="D47" s="193">
        <v>0</v>
      </c>
    </row>
    <row r="48" spans="2:4">
      <c r="B48" s="5"/>
      <c r="C48" s="193">
        <v>0</v>
      </c>
      <c r="D48" s="193">
        <v>0</v>
      </c>
    </row>
    <row r="49" spans="2:4">
      <c r="B49" s="5"/>
      <c r="C49" s="193">
        <v>0</v>
      </c>
      <c r="D49" s="193">
        <v>0</v>
      </c>
    </row>
    <row r="50" spans="2:4">
      <c r="B50" s="5"/>
      <c r="C50" s="193">
        <v>0</v>
      </c>
      <c r="D50" s="193">
        <v>0</v>
      </c>
    </row>
    <row r="51" spans="2:4">
      <c r="B51" s="5"/>
      <c r="C51" s="193">
        <v>0</v>
      </c>
      <c r="D51" s="193">
        <v>0</v>
      </c>
    </row>
    <row r="52" spans="2:4">
      <c r="B52" s="5"/>
      <c r="C52" s="193">
        <v>0</v>
      </c>
      <c r="D52" s="193">
        <v>0</v>
      </c>
    </row>
    <row r="53" spans="2:4">
      <c r="B53" s="5"/>
      <c r="C53" s="193">
        <v>0</v>
      </c>
      <c r="D53" s="193">
        <v>0</v>
      </c>
    </row>
    <row r="54" spans="2:4">
      <c r="B54" s="5"/>
      <c r="C54" s="193">
        <v>0</v>
      </c>
      <c r="D54" s="193">
        <v>0</v>
      </c>
    </row>
    <row r="55" spans="2:4">
      <c r="B55" s="5"/>
      <c r="C55" s="193">
        <v>0</v>
      </c>
      <c r="D55" s="193">
        <v>0</v>
      </c>
    </row>
    <row r="56" spans="2:4">
      <c r="B56" s="5"/>
      <c r="C56" s="193">
        <v>0</v>
      </c>
      <c r="D56" s="193">
        <v>0</v>
      </c>
    </row>
    <row r="57" spans="2:4">
      <c r="B57" s="5"/>
      <c r="C57" s="193">
        <v>0</v>
      </c>
      <c r="D57" s="193">
        <v>0</v>
      </c>
    </row>
    <row r="58" spans="2:4">
      <c r="B58" s="5"/>
      <c r="C58" s="193">
        <v>0</v>
      </c>
      <c r="D58" s="193">
        <v>0</v>
      </c>
    </row>
    <row r="59" spans="2:4">
      <c r="B59" s="5"/>
      <c r="C59" s="193">
        <v>0</v>
      </c>
      <c r="D59" s="193">
        <v>0</v>
      </c>
    </row>
    <row r="60" spans="2:4">
      <c r="B60" s="5"/>
      <c r="C60" s="193">
        <v>0</v>
      </c>
      <c r="D60" s="193">
        <v>0</v>
      </c>
    </row>
    <row r="61" spans="2:4">
      <c r="B61" s="5"/>
      <c r="C61" s="193">
        <v>0</v>
      </c>
      <c r="D61" s="193">
        <v>0</v>
      </c>
    </row>
    <row r="62" spans="2:4">
      <c r="B62" s="5"/>
      <c r="C62" s="193">
        <v>0</v>
      </c>
      <c r="D62" s="193">
        <v>0</v>
      </c>
    </row>
    <row r="63" spans="2:4">
      <c r="B63" s="5"/>
      <c r="C63" s="193">
        <v>0</v>
      </c>
      <c r="D63" s="193">
        <v>0</v>
      </c>
    </row>
    <row r="64" spans="2:4">
      <c r="B64" s="5"/>
      <c r="C64" s="193">
        <v>0</v>
      </c>
      <c r="D64" s="193">
        <v>0</v>
      </c>
    </row>
    <row r="65" spans="2:4">
      <c r="B65" s="5"/>
      <c r="C65" s="193">
        <v>0</v>
      </c>
      <c r="D65" s="193">
        <v>0</v>
      </c>
    </row>
    <row r="66" spans="2:4">
      <c r="B66" s="5"/>
      <c r="C66" s="193">
        <v>0</v>
      </c>
      <c r="D66" s="193">
        <v>0</v>
      </c>
    </row>
    <row r="67" spans="2:4">
      <c r="B67" s="5"/>
      <c r="C67" s="193">
        <v>0</v>
      </c>
      <c r="D67" s="193">
        <v>0</v>
      </c>
    </row>
    <row r="68" spans="2:4">
      <c r="B68" s="5"/>
      <c r="C68" s="193">
        <v>0</v>
      </c>
      <c r="D68" s="193">
        <v>0</v>
      </c>
    </row>
    <row r="69" spans="2:4">
      <c r="B69" s="5"/>
      <c r="C69" s="193">
        <v>0</v>
      </c>
      <c r="D69" s="193">
        <v>0</v>
      </c>
    </row>
    <row r="70" spans="2:4">
      <c r="B70" s="5"/>
      <c r="C70" s="193">
        <v>0</v>
      </c>
      <c r="D70" s="193">
        <v>0</v>
      </c>
    </row>
    <row r="71" spans="2:4">
      <c r="B71" s="5"/>
      <c r="C71" s="193">
        <v>0</v>
      </c>
      <c r="D71" s="193">
        <v>0</v>
      </c>
    </row>
    <row r="72" spans="2:4">
      <c r="B72" s="5"/>
      <c r="C72" s="193">
        <v>0</v>
      </c>
      <c r="D72" s="193">
        <v>0</v>
      </c>
    </row>
    <row r="73" spans="2:4">
      <c r="B73" s="5"/>
      <c r="C73" s="193">
        <v>0</v>
      </c>
      <c r="D73" s="193">
        <v>0</v>
      </c>
    </row>
    <row r="74" spans="2:4">
      <c r="B74" s="5"/>
      <c r="C74" s="193">
        <v>0</v>
      </c>
      <c r="D74" s="193">
        <v>0</v>
      </c>
    </row>
    <row r="75" spans="2:4">
      <c r="B75" s="5"/>
      <c r="C75" s="193">
        <v>0</v>
      </c>
      <c r="D75" s="193">
        <v>0</v>
      </c>
    </row>
    <row r="76" spans="2:4">
      <c r="B76" s="5"/>
      <c r="C76" s="193">
        <v>0</v>
      </c>
      <c r="D76" s="193">
        <v>0</v>
      </c>
    </row>
    <row r="77" spans="2:4">
      <c r="B77" s="5"/>
      <c r="C77" s="193">
        <v>0</v>
      </c>
      <c r="D77" s="193">
        <v>0</v>
      </c>
    </row>
    <row r="78" spans="2:4">
      <c r="B78" s="5"/>
      <c r="C78" s="193">
        <v>0</v>
      </c>
      <c r="D78" s="193">
        <v>0</v>
      </c>
    </row>
    <row r="79" spans="2:4">
      <c r="B79" s="5"/>
      <c r="C79" s="193">
        <v>0</v>
      </c>
      <c r="D79" s="193">
        <v>0</v>
      </c>
    </row>
    <row r="80" spans="2:4">
      <c r="B80" s="5"/>
      <c r="C80" s="193">
        <v>0</v>
      </c>
      <c r="D80" s="193">
        <v>0</v>
      </c>
    </row>
    <row r="81" spans="2:4">
      <c r="B81" s="5"/>
      <c r="C81" s="193">
        <v>0</v>
      </c>
      <c r="D81" s="193">
        <v>0</v>
      </c>
    </row>
    <row r="82" spans="2:4">
      <c r="B82" s="5"/>
      <c r="C82" s="193">
        <v>0</v>
      </c>
      <c r="D82" s="193">
        <v>0</v>
      </c>
    </row>
    <row r="83" spans="2:4">
      <c r="B83" s="5"/>
      <c r="C83" s="193">
        <v>0</v>
      </c>
      <c r="D83" s="193">
        <v>0</v>
      </c>
    </row>
    <row r="84" spans="2:4">
      <c r="B84" s="5"/>
      <c r="C84" s="193">
        <v>0</v>
      </c>
      <c r="D84" s="193">
        <v>0</v>
      </c>
    </row>
    <row r="85" spans="2:4">
      <c r="B85" s="5"/>
      <c r="C85" s="193">
        <v>0</v>
      </c>
      <c r="D85" s="193">
        <v>0</v>
      </c>
    </row>
    <row r="86" spans="2:4">
      <c r="B86" s="5"/>
      <c r="C86" s="193">
        <v>0</v>
      </c>
      <c r="D86" s="193">
        <v>0</v>
      </c>
    </row>
    <row r="87" spans="2:4">
      <c r="B87" s="5"/>
      <c r="C87" s="193">
        <v>0</v>
      </c>
      <c r="D87" s="193">
        <v>0</v>
      </c>
    </row>
    <row r="88" spans="2:4">
      <c r="B88" s="5"/>
      <c r="C88" s="193">
        <v>0</v>
      </c>
      <c r="D88" s="193">
        <v>0</v>
      </c>
    </row>
    <row r="89" spans="2:4">
      <c r="B89" s="5"/>
      <c r="C89" s="193">
        <v>0</v>
      </c>
      <c r="D89" s="193">
        <v>0</v>
      </c>
    </row>
    <row r="90" spans="2:4">
      <c r="B90" s="5"/>
      <c r="C90" s="193">
        <v>0</v>
      </c>
      <c r="D90" s="193">
        <v>0</v>
      </c>
    </row>
    <row r="91" spans="2:4">
      <c r="B91" s="5"/>
      <c r="C91" s="193">
        <v>0</v>
      </c>
      <c r="D91" s="193">
        <v>0</v>
      </c>
    </row>
    <row r="92" spans="2:4">
      <c r="B92" s="5"/>
      <c r="C92" s="193">
        <v>0</v>
      </c>
      <c r="D92" s="193">
        <v>0</v>
      </c>
    </row>
    <row r="93" spans="2:4">
      <c r="B93" s="5"/>
      <c r="C93" s="193">
        <v>0</v>
      </c>
      <c r="D93" s="193">
        <v>0</v>
      </c>
    </row>
    <row r="94" spans="2:4">
      <c r="B94" s="5"/>
      <c r="C94" s="193">
        <v>0</v>
      </c>
      <c r="D94" s="193">
        <v>0</v>
      </c>
    </row>
    <row r="95" spans="2:4">
      <c r="B95" s="5"/>
      <c r="C95" s="193">
        <v>0</v>
      </c>
      <c r="D95" s="193">
        <v>0</v>
      </c>
    </row>
    <row r="96" spans="2:4">
      <c r="B96" s="5"/>
      <c r="C96" s="193">
        <v>0</v>
      </c>
      <c r="D96" s="193">
        <v>0</v>
      </c>
    </row>
    <row r="97" spans="2:4">
      <c r="B97" s="5"/>
      <c r="C97" s="193">
        <v>0</v>
      </c>
      <c r="D97" s="193">
        <v>0</v>
      </c>
    </row>
    <row r="98" spans="2:4">
      <c r="B98" s="5"/>
      <c r="C98" s="193">
        <v>0</v>
      </c>
      <c r="D98" s="193">
        <v>0</v>
      </c>
    </row>
    <row r="99" spans="2:4">
      <c r="B99" s="5"/>
      <c r="C99" s="193">
        <v>0</v>
      </c>
      <c r="D99" s="193">
        <v>0</v>
      </c>
    </row>
    <row r="100" spans="2:4">
      <c r="B100" s="5"/>
      <c r="C100" s="193">
        <v>0</v>
      </c>
      <c r="D100" s="193">
        <v>0</v>
      </c>
    </row>
    <row r="101" spans="2:4">
      <c r="B101" s="5"/>
      <c r="C101" s="193">
        <v>0</v>
      </c>
      <c r="D101" s="193">
        <v>0</v>
      </c>
    </row>
    <row r="102" spans="2:4">
      <c r="B102" s="5"/>
      <c r="C102" s="193">
        <v>0</v>
      </c>
      <c r="D102" s="193">
        <v>0</v>
      </c>
    </row>
    <row r="103" spans="2:4">
      <c r="B103" s="5"/>
      <c r="C103" s="193">
        <v>0</v>
      </c>
      <c r="D103" s="193">
        <v>0</v>
      </c>
    </row>
    <row r="104" spans="2:4">
      <c r="B104" s="5"/>
      <c r="C104" s="193">
        <v>0</v>
      </c>
      <c r="D104" s="193">
        <v>0</v>
      </c>
    </row>
    <row r="105" spans="2:4">
      <c r="B105" s="5"/>
      <c r="C105" s="193">
        <v>0</v>
      </c>
      <c r="D105" s="193">
        <v>0</v>
      </c>
    </row>
    <row r="106" spans="2:4">
      <c r="B106" s="5"/>
      <c r="C106" s="193">
        <v>0</v>
      </c>
      <c r="D106" s="193">
        <v>0</v>
      </c>
    </row>
    <row r="107" spans="2:4">
      <c r="B107" s="5"/>
      <c r="C107" s="193">
        <v>0</v>
      </c>
      <c r="D107" s="193">
        <v>0</v>
      </c>
    </row>
    <row r="108" spans="2:4">
      <c r="B108" s="5"/>
      <c r="C108" s="193">
        <v>0</v>
      </c>
      <c r="D108" s="193">
        <v>0</v>
      </c>
    </row>
    <row r="109" spans="2:4">
      <c r="B109" s="5"/>
      <c r="C109" s="193">
        <v>0</v>
      </c>
      <c r="D109" s="193">
        <v>0</v>
      </c>
    </row>
    <row r="110" spans="2:4">
      <c r="B110" s="5"/>
      <c r="C110" s="193">
        <v>0</v>
      </c>
      <c r="D110" s="193">
        <v>0</v>
      </c>
    </row>
    <row r="111" spans="2:4">
      <c r="B111" s="5"/>
      <c r="C111" s="193">
        <v>0</v>
      </c>
      <c r="D111" s="193">
        <v>0</v>
      </c>
    </row>
    <row r="112" spans="2:4">
      <c r="B112" s="5"/>
      <c r="C112" s="193">
        <v>0</v>
      </c>
      <c r="D112" s="193">
        <v>0</v>
      </c>
    </row>
    <row r="113" spans="2:4">
      <c r="B113" s="5"/>
      <c r="C113" s="193">
        <v>0</v>
      </c>
      <c r="D113" s="193">
        <v>0</v>
      </c>
    </row>
    <row r="114" spans="2:4">
      <c r="B114" s="5"/>
      <c r="C114" s="193">
        <v>0</v>
      </c>
      <c r="D114" s="193">
        <v>0</v>
      </c>
    </row>
    <row r="115" spans="2:4">
      <c r="B115" s="5"/>
      <c r="C115" s="193">
        <v>0</v>
      </c>
      <c r="D115" s="193">
        <v>0</v>
      </c>
    </row>
    <row r="116" spans="2:4">
      <c r="B116" s="5"/>
      <c r="C116" s="193">
        <v>0</v>
      </c>
      <c r="D116" s="193">
        <v>0</v>
      </c>
    </row>
    <row r="117" spans="2:4">
      <c r="B117" s="5"/>
      <c r="C117" s="193">
        <v>0</v>
      </c>
      <c r="D117" s="193">
        <v>0</v>
      </c>
    </row>
    <row r="118" spans="2:4">
      <c r="B118" s="5"/>
      <c r="C118" s="193">
        <v>0</v>
      </c>
      <c r="D118" s="193">
        <v>0</v>
      </c>
    </row>
    <row r="119" spans="2:4">
      <c r="B119" s="5"/>
      <c r="C119" s="193">
        <v>0</v>
      </c>
      <c r="D119" s="193">
        <v>0</v>
      </c>
    </row>
    <row r="120" spans="2:4">
      <c r="B120" s="5"/>
      <c r="C120" s="193">
        <v>0</v>
      </c>
      <c r="D120" s="193">
        <v>0</v>
      </c>
    </row>
    <row r="121" spans="2:4">
      <c r="B121" s="5"/>
      <c r="C121" s="193">
        <v>0</v>
      </c>
      <c r="D121" s="193">
        <v>0</v>
      </c>
    </row>
    <row r="122" spans="2:4">
      <c r="B122" s="5"/>
      <c r="C122" s="193">
        <v>0</v>
      </c>
      <c r="D122" s="193">
        <v>0</v>
      </c>
    </row>
    <row r="123" spans="2:4">
      <c r="B123" s="5"/>
      <c r="C123" s="193">
        <v>0</v>
      </c>
      <c r="D123" s="193">
        <v>0</v>
      </c>
    </row>
    <row r="124" spans="2:4">
      <c r="B124" s="5"/>
      <c r="C124" s="193">
        <v>0</v>
      </c>
      <c r="D124" s="193">
        <v>0</v>
      </c>
    </row>
    <row r="125" spans="2:4">
      <c r="B125" s="5"/>
      <c r="C125" s="193">
        <v>0</v>
      </c>
      <c r="D125" s="193">
        <v>0</v>
      </c>
    </row>
    <row r="126" spans="2:4">
      <c r="B126" s="5"/>
      <c r="C126" s="193">
        <v>0</v>
      </c>
      <c r="D126" s="193">
        <v>0</v>
      </c>
    </row>
    <row r="127" spans="2:4">
      <c r="B127" s="5"/>
      <c r="C127" s="193">
        <v>0</v>
      </c>
      <c r="D127" s="193">
        <v>0</v>
      </c>
    </row>
    <row r="128" spans="2:4">
      <c r="B128" s="5"/>
      <c r="C128" s="193">
        <v>0</v>
      </c>
      <c r="D128" s="193">
        <v>0</v>
      </c>
    </row>
    <row r="129" spans="2:4">
      <c r="B129" s="5"/>
      <c r="C129" s="193">
        <v>0</v>
      </c>
      <c r="D129" s="193">
        <v>0</v>
      </c>
    </row>
    <row r="130" spans="2:4">
      <c r="B130" s="5"/>
      <c r="C130" s="193">
        <v>0</v>
      </c>
      <c r="D130" s="193">
        <v>0</v>
      </c>
    </row>
    <row r="131" spans="2:4">
      <c r="B131" s="5"/>
      <c r="C131" s="193">
        <v>0</v>
      </c>
      <c r="D131" s="193">
        <v>0</v>
      </c>
    </row>
    <row r="132" spans="2:4">
      <c r="B132" s="5"/>
      <c r="C132" s="193">
        <v>0</v>
      </c>
      <c r="D132" s="193">
        <v>0</v>
      </c>
    </row>
    <row r="133" spans="2:4">
      <c r="B133" s="5"/>
      <c r="C133" s="193">
        <v>0</v>
      </c>
      <c r="D133" s="193">
        <v>0</v>
      </c>
    </row>
    <row r="134" spans="2:4">
      <c r="B134" s="5"/>
      <c r="C134" s="193">
        <v>0</v>
      </c>
      <c r="D134" s="193">
        <v>0</v>
      </c>
    </row>
    <row r="135" spans="2:4">
      <c r="B135" s="5"/>
      <c r="C135" s="193">
        <v>0</v>
      </c>
      <c r="D135" s="193">
        <v>0</v>
      </c>
    </row>
    <row r="136" spans="2:4">
      <c r="B136" s="5"/>
      <c r="C136" s="193">
        <v>0</v>
      </c>
      <c r="D136" s="193">
        <v>0</v>
      </c>
    </row>
    <row r="137" spans="2:4">
      <c r="B137" s="5"/>
      <c r="C137" s="193">
        <v>0</v>
      </c>
      <c r="D137" s="193">
        <v>0</v>
      </c>
    </row>
    <row r="138" spans="2:4">
      <c r="B138" s="5"/>
      <c r="C138" s="193">
        <v>0</v>
      </c>
      <c r="D138" s="193">
        <v>0</v>
      </c>
    </row>
    <row r="139" spans="2:4">
      <c r="B139" s="5"/>
      <c r="C139" s="193">
        <v>0</v>
      </c>
      <c r="D139" s="193">
        <v>0</v>
      </c>
    </row>
    <row r="140" spans="2:4">
      <c r="B140" s="5"/>
      <c r="C140" s="193">
        <v>0</v>
      </c>
      <c r="D140" s="193">
        <v>0</v>
      </c>
    </row>
    <row r="141" spans="2:4">
      <c r="B141" s="5"/>
      <c r="C141" s="193">
        <v>0</v>
      </c>
      <c r="D141" s="193">
        <v>0</v>
      </c>
    </row>
    <row r="142" spans="2:4">
      <c r="B142" s="5"/>
      <c r="C142" s="193">
        <v>0</v>
      </c>
      <c r="D142" s="193">
        <v>0</v>
      </c>
    </row>
    <row r="143" spans="2:4">
      <c r="B143" s="5"/>
      <c r="C143" s="193">
        <v>0</v>
      </c>
      <c r="D143" s="193">
        <v>0</v>
      </c>
    </row>
    <row r="144" spans="2:4">
      <c r="B144" s="5"/>
      <c r="C144" s="193">
        <v>0</v>
      </c>
      <c r="D144" s="193">
        <v>0</v>
      </c>
    </row>
    <row r="145" spans="2:4">
      <c r="B145" s="5"/>
      <c r="C145" s="193">
        <v>0</v>
      </c>
      <c r="D145" s="193">
        <v>0</v>
      </c>
    </row>
    <row r="146" spans="2:4">
      <c r="B146" s="5"/>
      <c r="C146" s="193">
        <v>0</v>
      </c>
      <c r="D146" s="193">
        <v>0</v>
      </c>
    </row>
    <row r="147" spans="2:4">
      <c r="B147" s="5"/>
      <c r="C147" s="193">
        <v>0</v>
      </c>
      <c r="D147" s="193">
        <v>0</v>
      </c>
    </row>
    <row r="148" spans="2:4">
      <c r="B148" s="5"/>
      <c r="C148" s="193">
        <v>0</v>
      </c>
      <c r="D148" s="193">
        <v>0</v>
      </c>
    </row>
    <row r="149" spans="2:4">
      <c r="B149" s="5"/>
      <c r="C149" s="193">
        <v>0</v>
      </c>
      <c r="D149" s="193">
        <v>0</v>
      </c>
    </row>
    <row r="150" spans="2:4">
      <c r="B150" s="5"/>
      <c r="C150" s="193">
        <v>0</v>
      </c>
      <c r="D150" s="193">
        <v>0</v>
      </c>
    </row>
    <row r="151" spans="2:4">
      <c r="B151" s="5"/>
      <c r="C151" s="193">
        <v>0</v>
      </c>
      <c r="D151" s="193">
        <v>0</v>
      </c>
    </row>
    <row r="152" spans="2:4">
      <c r="B152" s="5"/>
      <c r="C152" s="193">
        <v>0</v>
      </c>
      <c r="D152" s="193">
        <v>0</v>
      </c>
    </row>
    <row r="153" spans="2:4">
      <c r="B153" s="5"/>
      <c r="C153" s="193">
        <v>0</v>
      </c>
      <c r="D153" s="193">
        <v>0</v>
      </c>
    </row>
    <row r="154" spans="2:4">
      <c r="B154" s="5"/>
      <c r="C154" s="193">
        <v>0</v>
      </c>
      <c r="D154" s="193">
        <v>0</v>
      </c>
    </row>
    <row r="155" spans="2:4">
      <c r="B155" s="5"/>
      <c r="C155" s="193">
        <v>0</v>
      </c>
      <c r="D155" s="193">
        <v>0</v>
      </c>
    </row>
    <row r="156" spans="2:4">
      <c r="B156" s="5"/>
      <c r="C156" s="193">
        <v>0</v>
      </c>
      <c r="D156" s="193">
        <v>0</v>
      </c>
    </row>
    <row r="157" spans="2:4">
      <c r="B157" s="5"/>
      <c r="C157" s="193">
        <v>0</v>
      </c>
      <c r="D157" s="193">
        <v>0</v>
      </c>
    </row>
    <row r="158" spans="2:4">
      <c r="B158" s="5"/>
      <c r="C158" s="193">
        <v>0</v>
      </c>
      <c r="D158" s="193">
        <v>0</v>
      </c>
    </row>
    <row r="159" spans="2:4">
      <c r="B159" s="5"/>
      <c r="C159" s="193">
        <v>0</v>
      </c>
      <c r="D159" s="193">
        <v>0</v>
      </c>
    </row>
    <row r="160" spans="2:4">
      <c r="B160" s="5"/>
      <c r="C160" s="193">
        <v>0</v>
      </c>
      <c r="D160" s="193">
        <v>0</v>
      </c>
    </row>
    <row r="161" spans="2:4">
      <c r="B161" s="5"/>
      <c r="C161" s="193">
        <v>0</v>
      </c>
      <c r="D161" s="193">
        <v>0</v>
      </c>
    </row>
    <row r="162" spans="2:4">
      <c r="B162" s="5"/>
      <c r="C162" s="193">
        <v>0</v>
      </c>
      <c r="D162" s="193">
        <v>0</v>
      </c>
    </row>
    <row r="163" spans="2:4">
      <c r="B163" s="5"/>
      <c r="C163" s="193">
        <v>0</v>
      </c>
      <c r="D163" s="193">
        <v>0</v>
      </c>
    </row>
    <row r="164" spans="2:4">
      <c r="B164" s="5"/>
      <c r="C164" s="193">
        <v>0</v>
      </c>
      <c r="D164" s="193">
        <v>0</v>
      </c>
    </row>
    <row r="165" spans="2:4">
      <c r="B165" s="5"/>
      <c r="C165" s="193">
        <v>0</v>
      </c>
      <c r="D165" s="193">
        <v>0</v>
      </c>
    </row>
    <row r="166" spans="2:4">
      <c r="B166" s="5"/>
      <c r="C166" s="193">
        <v>0</v>
      </c>
      <c r="D166" s="193">
        <v>0</v>
      </c>
    </row>
    <row r="167" spans="2:4">
      <c r="B167" s="5"/>
      <c r="C167" s="193">
        <v>0</v>
      </c>
      <c r="D167" s="193">
        <v>0</v>
      </c>
    </row>
    <row r="168" spans="2:4">
      <c r="B168" s="5"/>
      <c r="C168" s="193">
        <v>0</v>
      </c>
      <c r="D168" s="193">
        <v>0</v>
      </c>
    </row>
    <row r="169" spans="2:4">
      <c r="B169" s="5"/>
      <c r="C169" s="193">
        <v>0</v>
      </c>
      <c r="D169" s="193">
        <v>0</v>
      </c>
    </row>
    <row r="170" spans="2:4">
      <c r="B170" s="5"/>
      <c r="C170" s="193">
        <v>0</v>
      </c>
      <c r="D170" s="193">
        <v>0</v>
      </c>
    </row>
    <row r="171" spans="2:4">
      <c r="B171" s="5"/>
      <c r="C171" s="193">
        <v>0</v>
      </c>
      <c r="D171" s="193">
        <v>0</v>
      </c>
    </row>
    <row r="172" spans="2:4">
      <c r="B172" s="5"/>
      <c r="C172" s="193">
        <v>0</v>
      </c>
      <c r="D172" s="193">
        <v>0</v>
      </c>
    </row>
    <row r="173" spans="2:4">
      <c r="B173" s="5"/>
      <c r="C173" s="193">
        <v>0</v>
      </c>
      <c r="D173" s="193">
        <v>0</v>
      </c>
    </row>
    <row r="174" spans="2:4">
      <c r="B174" s="5"/>
      <c r="C174" s="193">
        <v>0</v>
      </c>
      <c r="D174" s="193">
        <v>0</v>
      </c>
    </row>
    <row r="175" spans="2:4">
      <c r="B175" s="5"/>
      <c r="C175" s="193">
        <v>0</v>
      </c>
      <c r="D175" s="193">
        <v>0</v>
      </c>
    </row>
    <row r="176" spans="2:4">
      <c r="B176" s="5"/>
      <c r="C176" s="193">
        <v>0</v>
      </c>
      <c r="D176" s="193">
        <v>0</v>
      </c>
    </row>
    <row r="177" spans="2:4">
      <c r="B177" s="5"/>
      <c r="C177" s="193">
        <v>0</v>
      </c>
      <c r="D177" s="193">
        <v>0</v>
      </c>
    </row>
    <row r="178" spans="2:4">
      <c r="B178" s="5"/>
      <c r="C178" s="193">
        <v>0</v>
      </c>
      <c r="D178" s="193">
        <v>0</v>
      </c>
    </row>
    <row r="179" spans="2:4">
      <c r="B179" s="5"/>
      <c r="C179" s="193">
        <v>0</v>
      </c>
      <c r="D179" s="193">
        <v>0</v>
      </c>
    </row>
    <row r="180" spans="2:4">
      <c r="B180" s="5"/>
      <c r="C180" s="193">
        <v>0</v>
      </c>
      <c r="D180" s="193">
        <v>0</v>
      </c>
    </row>
    <row r="181" spans="2:4">
      <c r="B181" s="5"/>
      <c r="C181" s="193">
        <v>0</v>
      </c>
      <c r="D181" s="193">
        <v>0</v>
      </c>
    </row>
    <row r="182" spans="2:4">
      <c r="B182" s="5"/>
      <c r="C182" s="193">
        <v>0</v>
      </c>
      <c r="D182" s="193">
        <v>0</v>
      </c>
    </row>
    <row r="183" spans="2:4">
      <c r="B183" s="5"/>
      <c r="C183" s="193">
        <v>0</v>
      </c>
      <c r="D183" s="193">
        <v>0</v>
      </c>
    </row>
    <row r="184" spans="2:4">
      <c r="B184" s="5"/>
      <c r="C184" s="193">
        <v>0</v>
      </c>
      <c r="D184" s="193">
        <v>0</v>
      </c>
    </row>
    <row r="185" spans="2:4">
      <c r="B185" s="5"/>
      <c r="C185" s="193">
        <v>0</v>
      </c>
      <c r="D185" s="193">
        <v>0</v>
      </c>
    </row>
    <row r="186" spans="2:4">
      <c r="B186" s="5"/>
      <c r="C186" s="193">
        <v>0</v>
      </c>
      <c r="D186" s="193">
        <v>0</v>
      </c>
    </row>
    <row r="187" spans="2:4">
      <c r="B187" s="5"/>
      <c r="C187" s="193">
        <v>0</v>
      </c>
      <c r="D187" s="193">
        <v>0</v>
      </c>
    </row>
    <row r="188" spans="2:4">
      <c r="B188" s="5"/>
      <c r="C188" s="193">
        <v>0</v>
      </c>
      <c r="D188" s="193">
        <v>0</v>
      </c>
    </row>
    <row r="189" spans="2:4">
      <c r="B189" s="5"/>
      <c r="C189" s="193">
        <v>0</v>
      </c>
      <c r="D189" s="193">
        <v>0</v>
      </c>
    </row>
    <row r="190" spans="2:4">
      <c r="B190" s="5"/>
      <c r="C190" s="193">
        <v>0</v>
      </c>
      <c r="D190" s="193">
        <v>0</v>
      </c>
    </row>
    <row r="191" spans="2:4">
      <c r="B191" s="5"/>
      <c r="C191" s="193">
        <v>0</v>
      </c>
      <c r="D191" s="193">
        <v>0</v>
      </c>
    </row>
    <row r="192" spans="2:4">
      <c r="B192" s="5"/>
      <c r="C192" s="193">
        <v>0</v>
      </c>
      <c r="D192" s="193">
        <v>0</v>
      </c>
    </row>
    <row r="193" spans="2:4">
      <c r="B193" s="5"/>
      <c r="C193" s="193">
        <v>0</v>
      </c>
      <c r="D193" s="193">
        <v>0</v>
      </c>
    </row>
    <row r="194" spans="2:4">
      <c r="B194" s="5"/>
      <c r="C194" s="193">
        <v>0</v>
      </c>
      <c r="D194" s="193">
        <v>0</v>
      </c>
    </row>
    <row r="195" spans="2:4">
      <c r="B195" s="5"/>
      <c r="C195" s="193">
        <v>0</v>
      </c>
      <c r="D195" s="193">
        <v>0</v>
      </c>
    </row>
    <row r="196" spans="2:4">
      <c r="B196" s="5"/>
      <c r="C196" s="193">
        <v>0</v>
      </c>
      <c r="D196" s="193">
        <v>0</v>
      </c>
    </row>
    <row r="197" spans="2:4">
      <c r="B197" s="5"/>
      <c r="C197" s="193">
        <v>0</v>
      </c>
      <c r="D197" s="193">
        <v>0</v>
      </c>
    </row>
    <row r="198" spans="2:4">
      <c r="B198" s="5"/>
      <c r="C198" s="193">
        <v>0</v>
      </c>
      <c r="D198" s="193">
        <v>0</v>
      </c>
    </row>
    <row r="199" spans="2:4">
      <c r="B199" s="5"/>
      <c r="C199" s="193">
        <v>0</v>
      </c>
      <c r="D199" s="193">
        <v>0</v>
      </c>
    </row>
    <row r="200" spans="2:4">
      <c r="B200" s="5"/>
      <c r="C200" s="193">
        <v>0</v>
      </c>
      <c r="D200" s="193">
        <v>0</v>
      </c>
    </row>
    <row r="201" spans="2:4">
      <c r="B201" s="5"/>
      <c r="C201" s="193">
        <v>0</v>
      </c>
      <c r="D201" s="193">
        <v>0</v>
      </c>
    </row>
    <row r="202" spans="2:4">
      <c r="B202" s="5"/>
      <c r="C202" s="193">
        <v>0</v>
      </c>
      <c r="D202" s="193">
        <v>0</v>
      </c>
    </row>
    <row r="203" spans="2:4">
      <c r="B203" s="5"/>
      <c r="C203" s="193">
        <v>0</v>
      </c>
      <c r="D203" s="193">
        <v>0</v>
      </c>
    </row>
    <row r="204" spans="2:4">
      <c r="B204" s="5"/>
      <c r="C204" s="193">
        <v>0</v>
      </c>
      <c r="D204" s="193">
        <v>0</v>
      </c>
    </row>
    <row r="205" spans="2:4">
      <c r="B205" s="5"/>
      <c r="C205" s="193">
        <v>0</v>
      </c>
      <c r="D205" s="193">
        <v>0</v>
      </c>
    </row>
    <row r="206" spans="2:4">
      <c r="B206" s="5"/>
      <c r="C206" s="193">
        <v>0</v>
      </c>
      <c r="D206" s="193">
        <v>0</v>
      </c>
    </row>
    <row r="207" spans="2:4">
      <c r="B207" s="5"/>
      <c r="C207" s="193">
        <v>0</v>
      </c>
      <c r="D207" s="193">
        <v>0</v>
      </c>
    </row>
    <row r="208" spans="2:4">
      <c r="B208" s="5"/>
      <c r="C208" s="193">
        <v>0</v>
      </c>
      <c r="D208" s="193">
        <v>0</v>
      </c>
    </row>
    <row r="209" spans="2:4">
      <c r="B209" s="5"/>
      <c r="C209" s="193">
        <v>0</v>
      </c>
      <c r="D209" s="193">
        <v>0</v>
      </c>
    </row>
    <row r="210" spans="2:4">
      <c r="B210" s="5"/>
      <c r="C210" s="193">
        <v>0</v>
      </c>
      <c r="D210" s="193">
        <v>0</v>
      </c>
    </row>
    <row r="211" spans="2:4">
      <c r="B211" s="5"/>
      <c r="C211" s="193">
        <v>0</v>
      </c>
      <c r="D211" s="193">
        <v>0</v>
      </c>
    </row>
    <row r="212" spans="2:4">
      <c r="B212" s="5"/>
      <c r="C212" s="193">
        <v>0</v>
      </c>
      <c r="D212" s="193">
        <v>0</v>
      </c>
    </row>
    <row r="213" spans="2:4">
      <c r="B213" s="5"/>
      <c r="C213" s="193">
        <v>0</v>
      </c>
      <c r="D213" s="193">
        <v>0</v>
      </c>
    </row>
    <row r="214" spans="2:4">
      <c r="B214" s="5"/>
      <c r="C214" s="193">
        <v>0</v>
      </c>
      <c r="D214" s="193">
        <v>0</v>
      </c>
    </row>
    <row r="215" spans="2:4">
      <c r="B215" s="5"/>
      <c r="C215" s="193">
        <v>0</v>
      </c>
      <c r="D215" s="193">
        <v>0</v>
      </c>
    </row>
    <row r="216" spans="2:4">
      <c r="B216" s="5"/>
      <c r="C216" s="193">
        <v>0</v>
      </c>
      <c r="D216" s="193">
        <v>0</v>
      </c>
    </row>
    <row r="217" spans="2:4">
      <c r="B217" s="5"/>
      <c r="C217" s="193">
        <v>0</v>
      </c>
      <c r="D217" s="193">
        <v>0</v>
      </c>
    </row>
    <row r="218" spans="2:4">
      <c r="B218" s="5"/>
      <c r="C218" s="193">
        <v>0</v>
      </c>
      <c r="D218" s="193">
        <v>0</v>
      </c>
    </row>
    <row r="219" spans="2:4">
      <c r="B219" s="5"/>
      <c r="C219" s="193">
        <v>0</v>
      </c>
      <c r="D219" s="193">
        <v>0</v>
      </c>
    </row>
    <row r="220" spans="2:4">
      <c r="B220" s="5"/>
      <c r="C220" s="193">
        <v>0</v>
      </c>
      <c r="D220" s="193">
        <v>0</v>
      </c>
    </row>
    <row r="221" spans="2:4">
      <c r="B221" s="5"/>
      <c r="C221" s="193">
        <v>0</v>
      </c>
      <c r="D221" s="193">
        <v>0</v>
      </c>
    </row>
    <row r="222" spans="2:4">
      <c r="B222" s="5"/>
      <c r="C222" s="193">
        <v>0</v>
      </c>
      <c r="D222" s="193">
        <v>0</v>
      </c>
    </row>
    <row r="223" spans="2:4">
      <c r="B223" s="5"/>
      <c r="C223" s="193">
        <v>0</v>
      </c>
      <c r="D223" s="193">
        <v>0</v>
      </c>
    </row>
    <row r="224" spans="2:4">
      <c r="B224" s="5"/>
      <c r="C224" s="193">
        <v>0</v>
      </c>
      <c r="D224" s="193">
        <v>0</v>
      </c>
    </row>
    <row r="225" spans="2:4">
      <c r="B225" s="5"/>
      <c r="C225" s="193">
        <v>0</v>
      </c>
      <c r="D225" s="193">
        <v>0</v>
      </c>
    </row>
    <row r="226" spans="2:4">
      <c r="B226" s="5"/>
      <c r="C226" s="193">
        <v>0</v>
      </c>
      <c r="D226" s="193">
        <v>0</v>
      </c>
    </row>
    <row r="227" spans="2:4">
      <c r="B227" s="5"/>
      <c r="C227" s="193">
        <v>0</v>
      </c>
      <c r="D227" s="193">
        <v>0</v>
      </c>
    </row>
    <row r="228" spans="2:4">
      <c r="B228" s="5"/>
      <c r="C228" s="193">
        <v>0</v>
      </c>
      <c r="D228" s="193">
        <v>0</v>
      </c>
    </row>
    <row r="229" spans="2:4">
      <c r="B229" s="5"/>
      <c r="C229" s="193">
        <v>0</v>
      </c>
      <c r="D229" s="193">
        <v>0</v>
      </c>
    </row>
    <row r="230" spans="2:4">
      <c r="B230" s="5"/>
      <c r="C230" s="193">
        <v>0</v>
      </c>
      <c r="D230" s="193">
        <v>0</v>
      </c>
    </row>
    <row r="231" spans="2:4">
      <c r="B231" s="5"/>
      <c r="C231" s="193">
        <v>0</v>
      </c>
      <c r="D231" s="193">
        <v>0</v>
      </c>
    </row>
    <row r="232" spans="2:4">
      <c r="B232" s="5"/>
      <c r="C232" s="193">
        <v>0</v>
      </c>
      <c r="D232" s="193">
        <v>0</v>
      </c>
    </row>
    <row r="233" spans="2:4">
      <c r="B233" s="5"/>
      <c r="C233" s="193">
        <v>0</v>
      </c>
      <c r="D233" s="193">
        <v>0</v>
      </c>
    </row>
    <row r="234" spans="2:4">
      <c r="B234" s="5"/>
      <c r="C234" s="193">
        <v>0</v>
      </c>
      <c r="D234" s="193">
        <v>0</v>
      </c>
    </row>
    <row r="235" spans="2:4">
      <c r="B235" s="5"/>
      <c r="C235" s="193">
        <v>0</v>
      </c>
      <c r="D235" s="193">
        <v>0</v>
      </c>
    </row>
    <row r="236" spans="2:4">
      <c r="B236" s="5"/>
      <c r="C236" s="193">
        <v>0</v>
      </c>
      <c r="D236" s="193">
        <v>0</v>
      </c>
    </row>
    <row r="237" spans="2:4">
      <c r="B237" s="5"/>
      <c r="C237" s="193">
        <v>0</v>
      </c>
      <c r="D237" s="193">
        <v>0</v>
      </c>
    </row>
    <row r="238" spans="2:4">
      <c r="B238" s="5"/>
      <c r="C238" s="193">
        <v>0</v>
      </c>
      <c r="D238" s="193">
        <v>0</v>
      </c>
    </row>
    <row r="239" spans="2:4">
      <c r="B239" s="5"/>
      <c r="C239" s="193">
        <v>0</v>
      </c>
      <c r="D239" s="193">
        <v>0</v>
      </c>
    </row>
    <row r="240" spans="2:4">
      <c r="B240" s="5"/>
      <c r="C240" s="193">
        <v>0</v>
      </c>
      <c r="D240" s="193">
        <v>0</v>
      </c>
    </row>
    <row r="241" spans="2:4">
      <c r="B241" s="5"/>
      <c r="C241" s="193">
        <v>0</v>
      </c>
      <c r="D241" s="193">
        <v>0</v>
      </c>
    </row>
    <row r="242" spans="2:4">
      <c r="B242" s="5"/>
      <c r="C242" s="193">
        <v>0</v>
      </c>
      <c r="D242" s="193">
        <v>0</v>
      </c>
    </row>
    <row r="243" spans="2:4">
      <c r="B243" s="5"/>
      <c r="C243" s="193">
        <v>0</v>
      </c>
      <c r="D243" s="193">
        <v>0</v>
      </c>
    </row>
    <row r="244" spans="2:4">
      <c r="B244" s="5"/>
      <c r="C244" s="193">
        <v>0</v>
      </c>
      <c r="D244" s="193">
        <v>0</v>
      </c>
    </row>
    <row r="245" spans="2:4">
      <c r="B245" s="5"/>
      <c r="C245" s="193">
        <v>0</v>
      </c>
      <c r="D245" s="193">
        <v>0</v>
      </c>
    </row>
    <row r="246" spans="2:4">
      <c r="B246" s="5"/>
      <c r="C246" s="193">
        <v>0</v>
      </c>
      <c r="D246" s="193">
        <v>0</v>
      </c>
    </row>
    <row r="247" spans="2:4">
      <c r="B247" s="5"/>
      <c r="C247" s="193">
        <v>0</v>
      </c>
      <c r="D247" s="193">
        <v>0</v>
      </c>
    </row>
    <row r="248" spans="2:4">
      <c r="B248" s="5"/>
      <c r="C248" s="193">
        <v>0</v>
      </c>
      <c r="D248" s="193">
        <v>0</v>
      </c>
    </row>
    <row r="249" spans="2:4">
      <c r="B249" s="194" t="s">
        <v>139</v>
      </c>
      <c r="C249" s="195">
        <f>SUM(C15:C248)</f>
        <v>0</v>
      </c>
      <c r="D249" s="195">
        <f>SUM(D15:D248)</f>
        <v>0</v>
      </c>
    </row>
    <row r="250" spans="2:4">
      <c r="B250" s="570" t="s">
        <v>174</v>
      </c>
      <c r="C250" s="570"/>
      <c r="D250" s="196">
        <f>D13-C249+D249</f>
        <v>0</v>
      </c>
    </row>
    <row r="255" spans="2:4">
      <c r="B255" s="564" t="s">
        <v>175</v>
      </c>
      <c r="C255" s="564"/>
      <c r="D255" s="564"/>
    </row>
    <row r="256" spans="2:4">
      <c r="B256" s="565" t="s">
        <v>176</v>
      </c>
      <c r="C256" s="565"/>
      <c r="D256" s="565"/>
    </row>
  </sheetData>
  <sheetProtection password="B090" sheet="1" objects="1" scenarios="1"/>
  <mergeCells count="9">
    <mergeCell ref="B13:C13"/>
    <mergeCell ref="B250:C250"/>
    <mergeCell ref="B255:D255"/>
    <mergeCell ref="B256:D256"/>
    <mergeCell ref="B3:D3"/>
    <mergeCell ref="B4:D4"/>
    <mergeCell ref="B5:D5"/>
    <mergeCell ref="A8:E8"/>
    <mergeCell ref="A10:E10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42"/>
  <sheetViews>
    <sheetView topLeftCell="A7" workbookViewId="0">
      <selection activeCell="C36" sqref="C36"/>
    </sheetView>
  </sheetViews>
  <sheetFormatPr defaultColWidth="9.140625" defaultRowHeight="15"/>
  <cols>
    <col min="1" max="1" width="10.5703125" style="172" customWidth="1"/>
    <col min="2" max="2" width="55" style="172" customWidth="1"/>
    <col min="3" max="3" width="22.85546875" style="172" customWidth="1"/>
    <col min="4" max="4" width="11.5703125" style="172" customWidth="1"/>
    <col min="5" max="1022" width="8.7109375" style="172" customWidth="1"/>
    <col min="1023" max="16384" width="9.140625" style="172"/>
  </cols>
  <sheetData>
    <row r="6" spans="1:7" ht="15.75">
      <c r="A6" s="580" t="s">
        <v>0</v>
      </c>
      <c r="B6" s="580"/>
      <c r="C6" s="580"/>
      <c r="D6" s="100"/>
    </row>
    <row r="7" spans="1:7" ht="15.75">
      <c r="A7" s="580" t="s">
        <v>2</v>
      </c>
      <c r="B7" s="580"/>
      <c r="C7" s="580"/>
      <c r="D7" s="100"/>
    </row>
    <row r="8" spans="1:7">
      <c r="A8" s="581" t="s">
        <v>5</v>
      </c>
      <c r="B8" s="581"/>
      <c r="C8" s="581"/>
      <c r="D8" s="173"/>
    </row>
    <row r="10" spans="1:7" ht="49.5" customHeight="1">
      <c r="A10" s="582" t="s">
        <v>463</v>
      </c>
      <c r="B10" s="582"/>
      <c r="C10" s="582"/>
    </row>
    <row r="12" spans="1:7" ht="15.75" customHeight="1">
      <c r="A12" s="583" t="s">
        <v>177</v>
      </c>
      <c r="B12" s="583"/>
      <c r="C12" s="583"/>
      <c r="D12" s="584"/>
      <c r="E12" s="584"/>
      <c r="F12" s="584"/>
      <c r="G12" s="584"/>
    </row>
    <row r="13" spans="1:7" ht="15.75">
      <c r="A13" s="174" t="s">
        <v>178</v>
      </c>
      <c r="B13" s="175" t="s">
        <v>179</v>
      </c>
      <c r="C13" s="176">
        <v>-46127.199999999997</v>
      </c>
    </row>
    <row r="14" spans="1:7" ht="15.75">
      <c r="A14" s="174" t="s">
        <v>180</v>
      </c>
      <c r="B14" s="175" t="s">
        <v>181</v>
      </c>
      <c r="C14" s="176">
        <v>37283.99</v>
      </c>
    </row>
    <row r="15" spans="1:7" ht="15.75">
      <c r="A15" s="174" t="s">
        <v>182</v>
      </c>
      <c r="B15" s="175" t="s">
        <v>183</v>
      </c>
      <c r="C15" s="176">
        <v>1448.48</v>
      </c>
    </row>
    <row r="16" spans="1:7" ht="15.75">
      <c r="A16" s="177" t="s">
        <v>184</v>
      </c>
      <c r="B16" s="175" t="s">
        <v>185</v>
      </c>
      <c r="C16" s="176">
        <v>8697.83</v>
      </c>
    </row>
    <row r="17" spans="1:3" ht="15.75">
      <c r="A17" s="174" t="s">
        <v>186</v>
      </c>
      <c r="B17" s="178" t="s">
        <v>187</v>
      </c>
      <c r="C17" s="176">
        <v>0</v>
      </c>
    </row>
    <row r="18" spans="1:3" ht="15.75">
      <c r="A18" s="177" t="s">
        <v>188</v>
      </c>
      <c r="B18" s="178" t="s">
        <v>189</v>
      </c>
      <c r="C18" s="176">
        <v>0</v>
      </c>
    </row>
    <row r="19" spans="1:3" ht="15.75">
      <c r="A19" s="174" t="s">
        <v>190</v>
      </c>
      <c r="B19" s="178" t="s">
        <v>191</v>
      </c>
      <c r="C19" s="176">
        <v>0</v>
      </c>
    </row>
    <row r="20" spans="1:3" ht="15.75" customHeight="1">
      <c r="A20" s="585" t="s">
        <v>192</v>
      </c>
      <c r="B20" s="585"/>
      <c r="C20" s="179">
        <f>SUM(C13:C19)</f>
        <v>1303.1000000000004</v>
      </c>
    </row>
    <row r="21" spans="1:3" ht="15.75">
      <c r="A21" s="180"/>
      <c r="B21" s="181"/>
      <c r="C21" s="182"/>
    </row>
    <row r="22" spans="1:3" ht="15.75">
      <c r="A22" s="180"/>
      <c r="B22" s="181"/>
      <c r="C22" s="182"/>
    </row>
    <row r="23" spans="1:3" ht="15.75" customHeight="1">
      <c r="A23" s="583" t="s">
        <v>193</v>
      </c>
      <c r="B23" s="583"/>
      <c r="C23" s="583"/>
    </row>
    <row r="24" spans="1:3" ht="15.75">
      <c r="A24" s="183" t="s">
        <v>194</v>
      </c>
      <c r="B24" s="175" t="s">
        <v>195</v>
      </c>
      <c r="C24" s="176">
        <v>31336.97</v>
      </c>
    </row>
    <row r="25" spans="1:3" ht="15.75">
      <c r="A25" s="174" t="s">
        <v>196</v>
      </c>
      <c r="B25" s="175" t="s">
        <v>197</v>
      </c>
      <c r="C25" s="176">
        <v>6494.02</v>
      </c>
    </row>
    <row r="26" spans="1:3" ht="15.75">
      <c r="A26" s="174" t="s">
        <v>198</v>
      </c>
      <c r="B26" s="175" t="s">
        <v>199</v>
      </c>
      <c r="C26" s="176">
        <v>8011.12</v>
      </c>
    </row>
    <row r="27" spans="1:3" ht="15.75">
      <c r="A27" s="177" t="s">
        <v>200</v>
      </c>
      <c r="B27" s="175" t="s">
        <v>201</v>
      </c>
      <c r="C27" s="176">
        <v>0</v>
      </c>
    </row>
    <row r="28" spans="1:3" ht="15.75">
      <c r="A28" s="177" t="s">
        <v>202</v>
      </c>
      <c r="B28" s="178" t="s">
        <v>203</v>
      </c>
      <c r="C28" s="176">
        <v>0</v>
      </c>
    </row>
    <row r="29" spans="1:3" ht="15.75">
      <c r="A29" s="184" t="s">
        <v>204</v>
      </c>
      <c r="B29" s="185" t="s">
        <v>205</v>
      </c>
      <c r="C29" s="186">
        <v>1084.98</v>
      </c>
    </row>
    <row r="30" spans="1:3" ht="15.75">
      <c r="A30" s="184" t="s">
        <v>206</v>
      </c>
      <c r="B30" s="187" t="s">
        <v>207</v>
      </c>
      <c r="C30" s="186">
        <v>0</v>
      </c>
    </row>
    <row r="31" spans="1:3" ht="15.75">
      <c r="A31" s="184" t="s">
        <v>208</v>
      </c>
      <c r="B31" s="185" t="s">
        <v>209</v>
      </c>
      <c r="C31" s="186">
        <v>0</v>
      </c>
    </row>
    <row r="32" spans="1:3" ht="15.75">
      <c r="A32" s="184" t="s">
        <v>210</v>
      </c>
      <c r="B32" s="187" t="s">
        <v>211</v>
      </c>
      <c r="C32" s="186">
        <v>0</v>
      </c>
    </row>
    <row r="33" spans="1:3" ht="15.75">
      <c r="A33" s="184" t="s">
        <v>212</v>
      </c>
      <c r="B33" s="185" t="s">
        <v>213</v>
      </c>
      <c r="C33" s="186">
        <v>0</v>
      </c>
    </row>
    <row r="34" spans="1:3" ht="15.75">
      <c r="A34" s="183" t="s">
        <v>214</v>
      </c>
      <c r="B34" s="175" t="s">
        <v>215</v>
      </c>
      <c r="C34" s="176">
        <f>464.03+1598.24</f>
        <v>2062.27</v>
      </c>
    </row>
    <row r="35" spans="1:3" ht="15.75">
      <c r="A35" s="174" t="s">
        <v>216</v>
      </c>
      <c r="B35" s="175" t="s">
        <v>191</v>
      </c>
      <c r="C35" s="176">
        <v>982</v>
      </c>
    </row>
    <row r="36" spans="1:3" ht="15.75">
      <c r="A36" s="585" t="s">
        <v>217</v>
      </c>
      <c r="B36" s="585"/>
      <c r="C36" s="179">
        <f>SUM(C24:C35)</f>
        <v>49971.360000000008</v>
      </c>
    </row>
    <row r="37" spans="1:3" ht="15.75">
      <c r="A37" s="188"/>
      <c r="B37" s="188"/>
    </row>
    <row r="38" spans="1:3" ht="15.75" customHeight="1">
      <c r="A38" s="586" t="s">
        <v>218</v>
      </c>
      <c r="B38" s="586"/>
      <c r="C38" s="189">
        <f>C20+C36</f>
        <v>51274.460000000006</v>
      </c>
    </row>
    <row r="41" spans="1:3">
      <c r="C41" s="190"/>
    </row>
    <row r="42" spans="1:3">
      <c r="C42" s="190"/>
    </row>
  </sheetData>
  <sheetProtection password="B090" sheet="1" objects="1" scenarios="1"/>
  <mergeCells count="10">
    <mergeCell ref="D12:G12"/>
    <mergeCell ref="A20:B20"/>
    <mergeCell ref="A23:C23"/>
    <mergeCell ref="A36:B36"/>
    <mergeCell ref="A38:B38"/>
    <mergeCell ref="A6:C6"/>
    <mergeCell ref="A7:C7"/>
    <mergeCell ref="A8:C8"/>
    <mergeCell ref="A10:C10"/>
    <mergeCell ref="A12:C12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9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opLeftCell="A4" zoomScaleNormal="100" workbookViewId="0">
      <selection activeCell="F18" sqref="F18"/>
    </sheetView>
  </sheetViews>
  <sheetFormatPr defaultColWidth="9.140625" defaultRowHeight="15"/>
  <cols>
    <col min="1" max="1" width="60" style="1" customWidth="1"/>
    <col min="2" max="7" width="22.85546875" style="1" customWidth="1"/>
    <col min="8" max="16384" width="9.140625" style="1"/>
  </cols>
  <sheetData>
    <row r="2" spans="1:7" ht="15.75" customHeight="1">
      <c r="B2" s="587" t="s">
        <v>0</v>
      </c>
      <c r="C2" s="587"/>
      <c r="D2" s="587"/>
      <c r="E2" s="587"/>
    </row>
    <row r="3" spans="1:7" ht="15.75">
      <c r="B3" s="580" t="s">
        <v>2</v>
      </c>
      <c r="C3" s="580"/>
      <c r="D3" s="580"/>
      <c r="E3" s="580"/>
    </row>
    <row r="4" spans="1:7" ht="15" customHeight="1">
      <c r="B4" s="588" t="s">
        <v>5</v>
      </c>
      <c r="C4" s="588"/>
      <c r="D4" s="588"/>
      <c r="E4" s="588"/>
    </row>
    <row r="8" spans="1:7" ht="34.5" customHeight="1">
      <c r="A8" s="589" t="s">
        <v>219</v>
      </c>
      <c r="B8" s="589"/>
      <c r="C8" s="589"/>
      <c r="D8" s="589"/>
      <c r="E8" s="589"/>
      <c r="F8" s="589"/>
      <c r="G8" s="589"/>
    </row>
    <row r="9" spans="1:7" ht="30" customHeight="1">
      <c r="A9" s="593" t="s">
        <v>464</v>
      </c>
      <c r="B9" s="590" t="s">
        <v>6</v>
      </c>
      <c r="C9" s="590"/>
      <c r="D9" s="590"/>
      <c r="E9" s="590"/>
      <c r="F9" s="590"/>
      <c r="G9" s="590"/>
    </row>
    <row r="10" spans="1:7" ht="17.25" customHeight="1">
      <c r="A10" s="593"/>
      <c r="B10" s="594" t="s">
        <v>220</v>
      </c>
      <c r="C10" s="594"/>
      <c r="D10" s="594"/>
      <c r="E10" s="594"/>
      <c r="F10" s="594"/>
      <c r="G10" s="594"/>
    </row>
    <row r="11" spans="1:7" ht="17.25" customHeight="1">
      <c r="A11" s="591" t="s">
        <v>221</v>
      </c>
      <c r="B11" s="594"/>
      <c r="C11" s="594"/>
      <c r="D11" s="594"/>
      <c r="E11" s="594"/>
      <c r="F11" s="594"/>
      <c r="G11" s="594"/>
    </row>
    <row r="12" spans="1:7" ht="21.75" customHeight="1">
      <c r="A12" s="591"/>
      <c r="B12" s="163" t="s">
        <v>222</v>
      </c>
      <c r="C12" s="163" t="s">
        <v>223</v>
      </c>
      <c r="D12" s="163" t="s">
        <v>224</v>
      </c>
      <c r="E12" s="163" t="s">
        <v>225</v>
      </c>
      <c r="F12" s="163" t="s">
        <v>226</v>
      </c>
      <c r="G12" s="164" t="s">
        <v>227</v>
      </c>
    </row>
    <row r="13" spans="1:7" ht="51">
      <c r="A13" s="262" t="s">
        <v>465</v>
      </c>
      <c r="B13" s="166">
        <v>284.47000000000003</v>
      </c>
      <c r="C13" s="167">
        <v>151.9</v>
      </c>
      <c r="D13" s="167">
        <v>0</v>
      </c>
      <c r="E13" s="167">
        <v>0.04</v>
      </c>
      <c r="F13" s="167">
        <v>0</v>
      </c>
      <c r="G13" s="167">
        <f>B13-C13+D13+E13-F13</f>
        <v>132.61000000000001</v>
      </c>
    </row>
    <row r="14" spans="1:7" ht="51">
      <c r="A14" s="262" t="s">
        <v>466</v>
      </c>
      <c r="B14" s="166">
        <v>0</v>
      </c>
      <c r="C14" s="167">
        <v>417401.66</v>
      </c>
      <c r="D14" s="167">
        <v>656445</v>
      </c>
      <c r="E14" s="167">
        <v>104.97</v>
      </c>
      <c r="F14" s="167">
        <f>0.9+17.25</f>
        <v>18.149999999999999</v>
      </c>
      <c r="G14" s="167">
        <f>B14-C14+D14+E14-F14</f>
        <v>239130.16000000003</v>
      </c>
    </row>
    <row r="15" spans="1:7" ht="51">
      <c r="A15" s="165" t="s">
        <v>228</v>
      </c>
      <c r="B15" s="166">
        <v>0</v>
      </c>
      <c r="C15" s="167">
        <v>0</v>
      </c>
      <c r="D15" s="167">
        <v>0</v>
      </c>
      <c r="E15" s="167">
        <v>0</v>
      </c>
      <c r="F15" s="167">
        <v>0</v>
      </c>
      <c r="G15" s="167">
        <f>B15-C15+D15+E15-F15</f>
        <v>0</v>
      </c>
    </row>
    <row r="16" spans="1:7" ht="51">
      <c r="A16" s="165" t="s">
        <v>228</v>
      </c>
      <c r="B16" s="166">
        <v>0</v>
      </c>
      <c r="C16" s="167">
        <v>0</v>
      </c>
      <c r="D16" s="167">
        <v>0</v>
      </c>
      <c r="E16" s="167">
        <v>0</v>
      </c>
      <c r="F16" s="167">
        <v>0</v>
      </c>
      <c r="G16" s="167">
        <f>B16-C16+D16+E16-F16</f>
        <v>0</v>
      </c>
    </row>
    <row r="17" spans="1:7" ht="51">
      <c r="A17" s="165" t="s">
        <v>228</v>
      </c>
      <c r="B17" s="166">
        <v>0</v>
      </c>
      <c r="C17" s="167">
        <v>0</v>
      </c>
      <c r="D17" s="167">
        <v>0</v>
      </c>
      <c r="E17" s="167">
        <v>0</v>
      </c>
      <c r="F17" s="167">
        <v>0</v>
      </c>
      <c r="G17" s="167">
        <f>B17-C17+D17+E17-F17</f>
        <v>0</v>
      </c>
    </row>
    <row r="18" spans="1:7">
      <c r="A18" s="168" t="s">
        <v>229</v>
      </c>
      <c r="B18" s="169">
        <f>SUM(B13:B17)</f>
        <v>284.47000000000003</v>
      </c>
      <c r="C18" s="169">
        <f t="shared" ref="C18:G18" si="0">SUM(C13:C17)</f>
        <v>417553.56</v>
      </c>
      <c r="D18" s="169">
        <f t="shared" si="0"/>
        <v>656445</v>
      </c>
      <c r="E18" s="169">
        <f t="shared" si="0"/>
        <v>105.01</v>
      </c>
      <c r="F18" s="169">
        <f t="shared" si="0"/>
        <v>18.149999999999999</v>
      </c>
      <c r="G18" s="169">
        <f t="shared" si="0"/>
        <v>239262.77000000002</v>
      </c>
    </row>
    <row r="19" spans="1:7" ht="31.5" customHeight="1">
      <c r="A19" s="591" t="s">
        <v>230</v>
      </c>
      <c r="B19" s="591" t="s">
        <v>230</v>
      </c>
      <c r="C19" s="591"/>
      <c r="D19" s="591"/>
      <c r="E19" s="591"/>
      <c r="F19" s="591"/>
      <c r="G19" s="170">
        <f>G21</f>
        <v>0</v>
      </c>
    </row>
    <row r="20" spans="1:7" ht="22.5" customHeight="1">
      <c r="A20" s="591"/>
      <c r="B20" s="163" t="s">
        <v>222</v>
      </c>
      <c r="C20" s="163" t="s">
        <v>223</v>
      </c>
      <c r="D20" s="163" t="s">
        <v>224</v>
      </c>
      <c r="E20" s="163" t="s">
        <v>225</v>
      </c>
      <c r="F20" s="163" t="s">
        <v>226</v>
      </c>
      <c r="G20" s="164" t="s">
        <v>227</v>
      </c>
    </row>
    <row r="21" spans="1:7" ht="51">
      <c r="A21" s="165" t="s">
        <v>228</v>
      </c>
      <c r="B21" s="166">
        <v>0</v>
      </c>
      <c r="C21" s="167">
        <v>0</v>
      </c>
      <c r="D21" s="167">
        <v>0</v>
      </c>
      <c r="E21" s="167">
        <v>0</v>
      </c>
      <c r="F21" s="167">
        <v>0</v>
      </c>
      <c r="G21" s="167">
        <f>B21-C21+D21+E21-F21</f>
        <v>0</v>
      </c>
    </row>
    <row r="22" spans="1:7" ht="51">
      <c r="A22" s="165" t="s">
        <v>228</v>
      </c>
      <c r="B22" s="166">
        <v>0</v>
      </c>
      <c r="C22" s="167">
        <v>0</v>
      </c>
      <c r="D22" s="167">
        <v>0</v>
      </c>
      <c r="E22" s="167">
        <v>0</v>
      </c>
      <c r="F22" s="167">
        <v>0</v>
      </c>
      <c r="G22" s="167">
        <f>B22-C22+D22+E22-F22</f>
        <v>0</v>
      </c>
    </row>
    <row r="23" spans="1:7">
      <c r="A23" s="168" t="s">
        <v>231</v>
      </c>
      <c r="B23" s="169">
        <f t="shared" ref="B23:G23" si="1">SUM(B21:B22)</f>
        <v>0</v>
      </c>
      <c r="C23" s="169">
        <f t="shared" si="1"/>
        <v>0</v>
      </c>
      <c r="D23" s="169">
        <f t="shared" si="1"/>
        <v>0</v>
      </c>
      <c r="E23" s="169">
        <f t="shared" si="1"/>
        <v>0</v>
      </c>
      <c r="F23" s="169">
        <f t="shared" si="1"/>
        <v>0</v>
      </c>
      <c r="G23" s="169">
        <f t="shared" si="1"/>
        <v>0</v>
      </c>
    </row>
    <row r="24" spans="1:7" ht="17.25">
      <c r="A24" s="171" t="s">
        <v>139</v>
      </c>
      <c r="B24" s="171">
        <f t="shared" ref="B24:G24" si="2">B18+B23</f>
        <v>284.47000000000003</v>
      </c>
      <c r="C24" s="171">
        <f t="shared" si="2"/>
        <v>417553.56</v>
      </c>
      <c r="D24" s="171">
        <f t="shared" si="2"/>
        <v>656445</v>
      </c>
      <c r="E24" s="171">
        <f t="shared" si="2"/>
        <v>105.01</v>
      </c>
      <c r="F24" s="171">
        <f t="shared" si="2"/>
        <v>18.149999999999999</v>
      </c>
      <c r="G24" s="171">
        <f t="shared" si="2"/>
        <v>239262.77000000002</v>
      </c>
    </row>
    <row r="29" spans="1:7" ht="15" customHeight="1">
      <c r="B29" s="592" t="s">
        <v>232</v>
      </c>
      <c r="C29" s="592"/>
      <c r="D29" s="592"/>
    </row>
    <row r="30" spans="1:7" ht="15" customHeight="1">
      <c r="B30" s="592" t="s">
        <v>233</v>
      </c>
      <c r="C30" s="592"/>
      <c r="D30" s="592"/>
    </row>
  </sheetData>
  <sheetProtection password="B090" sheet="1" objects="1" scenarios="1"/>
  <mergeCells count="12">
    <mergeCell ref="B19:F19"/>
    <mergeCell ref="B29:D29"/>
    <mergeCell ref="B30:D30"/>
    <mergeCell ref="A9:A10"/>
    <mergeCell ref="A11:A12"/>
    <mergeCell ref="A19:A20"/>
    <mergeCell ref="B10:G11"/>
    <mergeCell ref="B2:E2"/>
    <mergeCell ref="B3:E3"/>
    <mergeCell ref="B4:E4"/>
    <mergeCell ref="A8:G8"/>
    <mergeCell ref="B9:G9"/>
  </mergeCells>
  <pageMargins left="0.511811024" right="0.511811024" top="0.78740157499999996" bottom="0.78740157499999996" header="0.31496062000000002" footer="0.31496062000000002"/>
  <pageSetup paperSize="9" scale="64" orientation="landscape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213"/>
  <sheetViews>
    <sheetView topLeftCell="E1" zoomScale="82" zoomScaleNormal="82" workbookViewId="0">
      <selection activeCell="J12" sqref="J12"/>
    </sheetView>
  </sheetViews>
  <sheetFormatPr defaultColWidth="9" defaultRowHeight="15.75"/>
  <cols>
    <col min="1" max="1" width="25.7109375" style="157" customWidth="1"/>
    <col min="2" max="2" width="54.28515625" style="157" customWidth="1"/>
    <col min="3" max="3" width="31.140625" style="158" customWidth="1"/>
    <col min="4" max="4" width="39.85546875" style="158" customWidth="1"/>
    <col min="5" max="5" width="25.28515625" style="429" customWidth="1"/>
    <col min="6" max="6" width="21.5703125" style="429" customWidth="1"/>
    <col min="7" max="7" width="20.28515625" style="429" customWidth="1"/>
    <col min="8" max="8" width="20.140625" style="159" customWidth="1"/>
    <col min="9" max="9" width="19" style="159" customWidth="1"/>
    <col min="10" max="10" width="19.7109375" style="160" customWidth="1"/>
    <col min="11" max="11" width="15" style="160" customWidth="1"/>
    <col min="12" max="12" width="17.7109375" style="160" customWidth="1"/>
    <col min="13" max="13" width="15.85546875" style="160" customWidth="1"/>
    <col min="14" max="14" width="16.85546875" style="160" customWidth="1"/>
    <col min="15" max="15" width="18" style="160" customWidth="1"/>
    <col min="16" max="16" width="15.28515625" style="160" customWidth="1"/>
    <col min="17" max="17" width="14.85546875" style="161" customWidth="1"/>
    <col min="18" max="18" width="13.85546875" style="161" customWidth="1"/>
    <col min="19" max="240" width="9.140625" style="161" customWidth="1"/>
    <col min="241" max="241" width="9" style="161"/>
    <col min="242" max="242" width="6.5703125" style="161" customWidth="1"/>
    <col min="243" max="243" width="79.5703125" style="161" customWidth="1"/>
    <col min="244" max="244" width="23.5703125" style="161" customWidth="1"/>
    <col min="245" max="245" width="27.85546875" style="161" customWidth="1"/>
    <col min="246" max="246" width="22.28515625" style="161" customWidth="1"/>
    <col min="247" max="247" width="23.5703125" style="161" customWidth="1"/>
    <col min="248" max="248" width="39" style="161" customWidth="1"/>
    <col min="249" max="249" width="36.42578125" style="161" customWidth="1"/>
    <col min="250" max="250" width="8" style="161" customWidth="1"/>
    <col min="251" max="251" width="15.5703125" style="161" customWidth="1"/>
    <col min="252" max="252" width="17.28515625" style="161" customWidth="1"/>
    <col min="253" max="253" width="18.85546875" style="161" customWidth="1"/>
    <col min="254" max="254" width="81" style="161" customWidth="1"/>
    <col min="255" max="255" width="14.85546875" style="161" customWidth="1"/>
    <col min="256" max="256" width="15.7109375" style="161" customWidth="1"/>
    <col min="257" max="257" width="17.5703125" style="161" customWidth="1"/>
    <col min="258" max="258" width="18.42578125" style="161" customWidth="1"/>
    <col min="259" max="259" width="16.5703125" style="161" customWidth="1"/>
    <col min="260" max="260" width="17.7109375" style="161" customWidth="1"/>
    <col min="261" max="261" width="17.85546875" style="161" customWidth="1"/>
    <col min="262" max="262" width="18.42578125" style="161" customWidth="1"/>
    <col min="263" max="263" width="15.42578125" style="161" customWidth="1"/>
    <col min="264" max="264" width="14.5703125" style="161" customWidth="1"/>
    <col min="265" max="265" width="15" style="161" customWidth="1"/>
    <col min="266" max="266" width="6.7109375" style="161" customWidth="1"/>
    <col min="267" max="267" width="14.28515625" style="161" customWidth="1"/>
    <col min="268" max="268" width="17.5703125" style="161" customWidth="1"/>
    <col min="269" max="269" width="27.7109375" style="161" customWidth="1"/>
    <col min="270" max="272" width="9.140625" style="161" customWidth="1"/>
    <col min="273" max="273" width="14.85546875" style="161" customWidth="1"/>
    <col min="274" max="274" width="13.85546875" style="161" customWidth="1"/>
    <col min="275" max="496" width="9.140625" style="161" customWidth="1"/>
    <col min="497" max="497" width="9" style="161"/>
    <col min="498" max="498" width="6.5703125" style="161" customWidth="1"/>
    <col min="499" max="499" width="79.5703125" style="161" customWidth="1"/>
    <col min="500" max="500" width="23.5703125" style="161" customWidth="1"/>
    <col min="501" max="501" width="27.85546875" style="161" customWidth="1"/>
    <col min="502" max="502" width="22.28515625" style="161" customWidth="1"/>
    <col min="503" max="503" width="23.5703125" style="161" customWidth="1"/>
    <col min="504" max="504" width="39" style="161" customWidth="1"/>
    <col min="505" max="505" width="36.42578125" style="161" customWidth="1"/>
    <col min="506" max="506" width="8" style="161" customWidth="1"/>
    <col min="507" max="507" width="15.5703125" style="161" customWidth="1"/>
    <col min="508" max="508" width="17.28515625" style="161" customWidth="1"/>
    <col min="509" max="509" width="18.85546875" style="161" customWidth="1"/>
    <col min="510" max="510" width="81" style="161" customWidth="1"/>
    <col min="511" max="511" width="14.85546875" style="161" customWidth="1"/>
    <col min="512" max="512" width="15.7109375" style="161" customWidth="1"/>
    <col min="513" max="513" width="17.5703125" style="161" customWidth="1"/>
    <col min="514" max="514" width="18.42578125" style="161" customWidth="1"/>
    <col min="515" max="515" width="16.5703125" style="161" customWidth="1"/>
    <col min="516" max="516" width="17.7109375" style="161" customWidth="1"/>
    <col min="517" max="517" width="17.85546875" style="161" customWidth="1"/>
    <col min="518" max="518" width="18.42578125" style="161" customWidth="1"/>
    <col min="519" max="519" width="15.42578125" style="161" customWidth="1"/>
    <col min="520" max="520" width="14.5703125" style="161" customWidth="1"/>
    <col min="521" max="521" width="15" style="161" customWidth="1"/>
    <col min="522" max="522" width="6.7109375" style="161" customWidth="1"/>
    <col min="523" max="523" width="14.28515625" style="161" customWidth="1"/>
    <col min="524" max="524" width="17.5703125" style="161" customWidth="1"/>
    <col min="525" max="525" width="27.7109375" style="161" customWidth="1"/>
    <col min="526" max="528" width="9.140625" style="161" customWidth="1"/>
    <col min="529" max="529" width="14.85546875" style="161" customWidth="1"/>
    <col min="530" max="530" width="13.85546875" style="161" customWidth="1"/>
    <col min="531" max="752" width="9.140625" style="161" customWidth="1"/>
    <col min="753" max="753" width="9" style="161"/>
    <col min="754" max="754" width="6.5703125" style="161" customWidth="1"/>
    <col min="755" max="755" width="79.5703125" style="161" customWidth="1"/>
    <col min="756" max="756" width="23.5703125" style="161" customWidth="1"/>
    <col min="757" max="757" width="27.85546875" style="161" customWidth="1"/>
    <col min="758" max="758" width="22.28515625" style="161" customWidth="1"/>
    <col min="759" max="759" width="23.5703125" style="161" customWidth="1"/>
    <col min="760" max="760" width="39" style="161" customWidth="1"/>
    <col min="761" max="761" width="36.42578125" style="161" customWidth="1"/>
    <col min="762" max="762" width="8" style="161" customWidth="1"/>
    <col min="763" max="763" width="15.5703125" style="161" customWidth="1"/>
    <col min="764" max="764" width="17.28515625" style="161" customWidth="1"/>
    <col min="765" max="765" width="18.85546875" style="161" customWidth="1"/>
    <col min="766" max="766" width="81" style="161" customWidth="1"/>
    <col min="767" max="767" width="14.85546875" style="161" customWidth="1"/>
    <col min="768" max="768" width="15.7109375" style="161" customWidth="1"/>
    <col min="769" max="769" width="17.5703125" style="161" customWidth="1"/>
    <col min="770" max="770" width="18.42578125" style="161" customWidth="1"/>
    <col min="771" max="771" width="16.5703125" style="161" customWidth="1"/>
    <col min="772" max="772" width="17.7109375" style="161" customWidth="1"/>
    <col min="773" max="773" width="17.85546875" style="161" customWidth="1"/>
    <col min="774" max="774" width="18.42578125" style="161" customWidth="1"/>
    <col min="775" max="775" width="15.42578125" style="161" customWidth="1"/>
    <col min="776" max="776" width="14.5703125" style="161" customWidth="1"/>
    <col min="777" max="777" width="15" style="161" customWidth="1"/>
    <col min="778" max="778" width="6.7109375" style="161" customWidth="1"/>
    <col min="779" max="779" width="14.28515625" style="161" customWidth="1"/>
    <col min="780" max="780" width="17.5703125" style="161" customWidth="1"/>
    <col min="781" max="781" width="27.7109375" style="161" customWidth="1"/>
    <col min="782" max="784" width="9.140625" style="161" customWidth="1"/>
    <col min="785" max="785" width="14.85546875" style="161" customWidth="1"/>
    <col min="786" max="786" width="13.85546875" style="161" customWidth="1"/>
    <col min="787" max="1008" width="9.140625" style="161" customWidth="1"/>
    <col min="1009" max="1009" width="9" style="161"/>
    <col min="1010" max="1010" width="6.5703125" style="161" customWidth="1"/>
    <col min="1011" max="1011" width="79.5703125" style="161" customWidth="1"/>
    <col min="1012" max="1012" width="23.5703125" style="161" customWidth="1"/>
    <col min="1013" max="1013" width="27.85546875" style="161" customWidth="1"/>
    <col min="1014" max="1014" width="22.28515625" style="161" customWidth="1"/>
    <col min="1015" max="1015" width="23.5703125" style="161" customWidth="1"/>
    <col min="1016" max="1016" width="39" style="161" customWidth="1"/>
    <col min="1017" max="1017" width="36.42578125" style="161" customWidth="1"/>
    <col min="1018" max="1018" width="8" style="161" customWidth="1"/>
    <col min="1019" max="1019" width="15.5703125" style="161" customWidth="1"/>
    <col min="1020" max="1020" width="17.28515625" style="161" customWidth="1"/>
    <col min="1021" max="1021" width="18.85546875" style="161" customWidth="1"/>
    <col min="1022" max="1022" width="81" style="161" customWidth="1"/>
    <col min="1023" max="1023" width="14.85546875" style="161" customWidth="1"/>
    <col min="1024" max="1024" width="15.7109375" style="161" customWidth="1"/>
    <col min="1025" max="1025" width="17.5703125" style="161" customWidth="1"/>
    <col min="1026" max="1026" width="18.42578125" style="161" customWidth="1"/>
    <col min="1027" max="1027" width="16.5703125" style="161" customWidth="1"/>
    <col min="1028" max="1028" width="17.7109375" style="161" customWidth="1"/>
    <col min="1029" max="1029" width="17.85546875" style="161" customWidth="1"/>
    <col min="1030" max="1030" width="18.42578125" style="161" customWidth="1"/>
    <col min="1031" max="1031" width="15.42578125" style="161" customWidth="1"/>
    <col min="1032" max="1032" width="14.5703125" style="161" customWidth="1"/>
    <col min="1033" max="1033" width="15" style="161" customWidth="1"/>
    <col min="1034" max="1034" width="6.7109375" style="161" customWidth="1"/>
    <col min="1035" max="1035" width="14.28515625" style="161" customWidth="1"/>
    <col min="1036" max="1036" width="17.5703125" style="161" customWidth="1"/>
    <col min="1037" max="1037" width="27.7109375" style="161" customWidth="1"/>
    <col min="1038" max="1040" width="9.140625" style="161" customWidth="1"/>
    <col min="1041" max="1041" width="14.85546875" style="161" customWidth="1"/>
    <col min="1042" max="1042" width="13.85546875" style="161" customWidth="1"/>
    <col min="1043" max="1264" width="9.140625" style="161" customWidth="1"/>
    <col min="1265" max="1265" width="9" style="161"/>
    <col min="1266" max="1266" width="6.5703125" style="161" customWidth="1"/>
    <col min="1267" max="1267" width="79.5703125" style="161" customWidth="1"/>
    <col min="1268" max="1268" width="23.5703125" style="161" customWidth="1"/>
    <col min="1269" max="1269" width="27.85546875" style="161" customWidth="1"/>
    <col min="1270" max="1270" width="22.28515625" style="161" customWidth="1"/>
    <col min="1271" max="1271" width="23.5703125" style="161" customWidth="1"/>
    <col min="1272" max="1272" width="39" style="161" customWidth="1"/>
    <col min="1273" max="1273" width="36.42578125" style="161" customWidth="1"/>
    <col min="1274" max="1274" width="8" style="161" customWidth="1"/>
    <col min="1275" max="1275" width="15.5703125" style="161" customWidth="1"/>
    <col min="1276" max="1276" width="17.28515625" style="161" customWidth="1"/>
    <col min="1277" max="1277" width="18.85546875" style="161" customWidth="1"/>
    <col min="1278" max="1278" width="81" style="161" customWidth="1"/>
    <col min="1279" max="1279" width="14.85546875" style="161" customWidth="1"/>
    <col min="1280" max="1280" width="15.7109375" style="161" customWidth="1"/>
    <col min="1281" max="1281" width="17.5703125" style="161" customWidth="1"/>
    <col min="1282" max="1282" width="18.42578125" style="161" customWidth="1"/>
    <col min="1283" max="1283" width="16.5703125" style="161" customWidth="1"/>
    <col min="1284" max="1284" width="17.7109375" style="161" customWidth="1"/>
    <col min="1285" max="1285" width="17.85546875" style="161" customWidth="1"/>
    <col min="1286" max="1286" width="18.42578125" style="161" customWidth="1"/>
    <col min="1287" max="1287" width="15.42578125" style="161" customWidth="1"/>
    <col min="1288" max="1288" width="14.5703125" style="161" customWidth="1"/>
    <col min="1289" max="1289" width="15" style="161" customWidth="1"/>
    <col min="1290" max="1290" width="6.7109375" style="161" customWidth="1"/>
    <col min="1291" max="1291" width="14.28515625" style="161" customWidth="1"/>
    <col min="1292" max="1292" width="17.5703125" style="161" customWidth="1"/>
    <col min="1293" max="1293" width="27.7109375" style="161" customWidth="1"/>
    <col min="1294" max="1296" width="9.140625" style="161" customWidth="1"/>
    <col min="1297" max="1297" width="14.85546875" style="161" customWidth="1"/>
    <col min="1298" max="1298" width="13.85546875" style="161" customWidth="1"/>
    <col min="1299" max="1520" width="9.140625" style="161" customWidth="1"/>
    <col min="1521" max="1521" width="9" style="161"/>
    <col min="1522" max="1522" width="6.5703125" style="161" customWidth="1"/>
    <col min="1523" max="1523" width="79.5703125" style="161" customWidth="1"/>
    <col min="1524" max="1524" width="23.5703125" style="161" customWidth="1"/>
    <col min="1525" max="1525" width="27.85546875" style="161" customWidth="1"/>
    <col min="1526" max="1526" width="22.28515625" style="161" customWidth="1"/>
    <col min="1527" max="1527" width="23.5703125" style="161" customWidth="1"/>
    <col min="1528" max="1528" width="39" style="161" customWidth="1"/>
    <col min="1529" max="1529" width="36.42578125" style="161" customWidth="1"/>
    <col min="1530" max="1530" width="8" style="161" customWidth="1"/>
    <col min="1531" max="1531" width="15.5703125" style="161" customWidth="1"/>
    <col min="1532" max="1532" width="17.28515625" style="161" customWidth="1"/>
    <col min="1533" max="1533" width="18.85546875" style="161" customWidth="1"/>
    <col min="1534" max="1534" width="81" style="161" customWidth="1"/>
    <col min="1535" max="1535" width="14.85546875" style="161" customWidth="1"/>
    <col min="1536" max="1536" width="15.7109375" style="161" customWidth="1"/>
    <col min="1537" max="1537" width="17.5703125" style="161" customWidth="1"/>
    <col min="1538" max="1538" width="18.42578125" style="161" customWidth="1"/>
    <col min="1539" max="1539" width="16.5703125" style="161" customWidth="1"/>
    <col min="1540" max="1540" width="17.7109375" style="161" customWidth="1"/>
    <col min="1541" max="1541" width="17.85546875" style="161" customWidth="1"/>
    <col min="1542" max="1542" width="18.42578125" style="161" customWidth="1"/>
    <col min="1543" max="1543" width="15.42578125" style="161" customWidth="1"/>
    <col min="1544" max="1544" width="14.5703125" style="161" customWidth="1"/>
    <col min="1545" max="1545" width="15" style="161" customWidth="1"/>
    <col min="1546" max="1546" width="6.7109375" style="161" customWidth="1"/>
    <col min="1547" max="1547" width="14.28515625" style="161" customWidth="1"/>
    <col min="1548" max="1548" width="17.5703125" style="161" customWidth="1"/>
    <col min="1549" max="1549" width="27.7109375" style="161" customWidth="1"/>
    <col min="1550" max="1552" width="9.140625" style="161" customWidth="1"/>
    <col min="1553" max="1553" width="14.85546875" style="161" customWidth="1"/>
    <col min="1554" max="1554" width="13.85546875" style="161" customWidth="1"/>
    <col min="1555" max="1776" width="9.140625" style="161" customWidth="1"/>
    <col min="1777" max="1777" width="9" style="161"/>
    <col min="1778" max="1778" width="6.5703125" style="161" customWidth="1"/>
    <col min="1779" max="1779" width="79.5703125" style="161" customWidth="1"/>
    <col min="1780" max="1780" width="23.5703125" style="161" customWidth="1"/>
    <col min="1781" max="1781" width="27.85546875" style="161" customWidth="1"/>
    <col min="1782" max="1782" width="22.28515625" style="161" customWidth="1"/>
    <col min="1783" max="1783" width="23.5703125" style="161" customWidth="1"/>
    <col min="1784" max="1784" width="39" style="161" customWidth="1"/>
    <col min="1785" max="1785" width="36.42578125" style="161" customWidth="1"/>
    <col min="1786" max="1786" width="8" style="161" customWidth="1"/>
    <col min="1787" max="1787" width="15.5703125" style="161" customWidth="1"/>
    <col min="1788" max="1788" width="17.28515625" style="161" customWidth="1"/>
    <col min="1789" max="1789" width="18.85546875" style="161" customWidth="1"/>
    <col min="1790" max="1790" width="81" style="161" customWidth="1"/>
    <col min="1791" max="1791" width="14.85546875" style="161" customWidth="1"/>
    <col min="1792" max="1792" width="15.7109375" style="161" customWidth="1"/>
    <col min="1793" max="1793" width="17.5703125" style="161" customWidth="1"/>
    <col min="1794" max="1794" width="18.42578125" style="161" customWidth="1"/>
    <col min="1795" max="1795" width="16.5703125" style="161" customWidth="1"/>
    <col min="1796" max="1796" width="17.7109375" style="161" customWidth="1"/>
    <col min="1797" max="1797" width="17.85546875" style="161" customWidth="1"/>
    <col min="1798" max="1798" width="18.42578125" style="161" customWidth="1"/>
    <col min="1799" max="1799" width="15.42578125" style="161" customWidth="1"/>
    <col min="1800" max="1800" width="14.5703125" style="161" customWidth="1"/>
    <col min="1801" max="1801" width="15" style="161" customWidth="1"/>
    <col min="1802" max="1802" width="6.7109375" style="161" customWidth="1"/>
    <col min="1803" max="1803" width="14.28515625" style="161" customWidth="1"/>
    <col min="1804" max="1804" width="17.5703125" style="161" customWidth="1"/>
    <col min="1805" max="1805" width="27.7109375" style="161" customWidth="1"/>
    <col min="1806" max="1808" width="9.140625" style="161" customWidth="1"/>
    <col min="1809" max="1809" width="14.85546875" style="161" customWidth="1"/>
    <col min="1810" max="1810" width="13.85546875" style="161" customWidth="1"/>
    <col min="1811" max="2032" width="9.140625" style="161" customWidth="1"/>
    <col min="2033" max="2033" width="9" style="161"/>
    <col min="2034" max="2034" width="6.5703125" style="161" customWidth="1"/>
    <col min="2035" max="2035" width="79.5703125" style="161" customWidth="1"/>
    <col min="2036" max="2036" width="23.5703125" style="161" customWidth="1"/>
    <col min="2037" max="2037" width="27.85546875" style="161" customWidth="1"/>
    <col min="2038" max="2038" width="22.28515625" style="161" customWidth="1"/>
    <col min="2039" max="2039" width="23.5703125" style="161" customWidth="1"/>
    <col min="2040" max="2040" width="39" style="161" customWidth="1"/>
    <col min="2041" max="2041" width="36.42578125" style="161" customWidth="1"/>
    <col min="2042" max="2042" width="8" style="161" customWidth="1"/>
    <col min="2043" max="2043" width="15.5703125" style="161" customWidth="1"/>
    <col min="2044" max="2044" width="17.28515625" style="161" customWidth="1"/>
    <col min="2045" max="2045" width="18.85546875" style="161" customWidth="1"/>
    <col min="2046" max="2046" width="81" style="161" customWidth="1"/>
    <col min="2047" max="2047" width="14.85546875" style="161" customWidth="1"/>
    <col min="2048" max="2048" width="15.7109375" style="161" customWidth="1"/>
    <col min="2049" max="2049" width="17.5703125" style="161" customWidth="1"/>
    <col min="2050" max="2050" width="18.42578125" style="161" customWidth="1"/>
    <col min="2051" max="2051" width="16.5703125" style="161" customWidth="1"/>
    <col min="2052" max="2052" width="17.7109375" style="161" customWidth="1"/>
    <col min="2053" max="2053" width="17.85546875" style="161" customWidth="1"/>
    <col min="2054" max="2054" width="18.42578125" style="161" customWidth="1"/>
    <col min="2055" max="2055" width="15.42578125" style="161" customWidth="1"/>
    <col min="2056" max="2056" width="14.5703125" style="161" customWidth="1"/>
    <col min="2057" max="2057" width="15" style="161" customWidth="1"/>
    <col min="2058" max="2058" width="6.7109375" style="161" customWidth="1"/>
    <col min="2059" max="2059" width="14.28515625" style="161" customWidth="1"/>
    <col min="2060" max="2060" width="17.5703125" style="161" customWidth="1"/>
    <col min="2061" max="2061" width="27.7109375" style="161" customWidth="1"/>
    <col min="2062" max="2064" width="9.140625" style="161" customWidth="1"/>
    <col min="2065" max="2065" width="14.85546875" style="161" customWidth="1"/>
    <col min="2066" max="2066" width="13.85546875" style="161" customWidth="1"/>
    <col min="2067" max="2288" width="9.140625" style="161" customWidth="1"/>
    <col min="2289" max="2289" width="9" style="161"/>
    <col min="2290" max="2290" width="6.5703125" style="161" customWidth="1"/>
    <col min="2291" max="2291" width="79.5703125" style="161" customWidth="1"/>
    <col min="2292" max="2292" width="23.5703125" style="161" customWidth="1"/>
    <col min="2293" max="2293" width="27.85546875" style="161" customWidth="1"/>
    <col min="2294" max="2294" width="22.28515625" style="161" customWidth="1"/>
    <col min="2295" max="2295" width="23.5703125" style="161" customWidth="1"/>
    <col min="2296" max="2296" width="39" style="161" customWidth="1"/>
    <col min="2297" max="2297" width="36.42578125" style="161" customWidth="1"/>
    <col min="2298" max="2298" width="8" style="161" customWidth="1"/>
    <col min="2299" max="2299" width="15.5703125" style="161" customWidth="1"/>
    <col min="2300" max="2300" width="17.28515625" style="161" customWidth="1"/>
    <col min="2301" max="2301" width="18.85546875" style="161" customWidth="1"/>
    <col min="2302" max="2302" width="81" style="161" customWidth="1"/>
    <col min="2303" max="2303" width="14.85546875" style="161" customWidth="1"/>
    <col min="2304" max="2304" width="15.7109375" style="161" customWidth="1"/>
    <col min="2305" max="2305" width="17.5703125" style="161" customWidth="1"/>
    <col min="2306" max="2306" width="18.42578125" style="161" customWidth="1"/>
    <col min="2307" max="2307" width="16.5703125" style="161" customWidth="1"/>
    <col min="2308" max="2308" width="17.7109375" style="161" customWidth="1"/>
    <col min="2309" max="2309" width="17.85546875" style="161" customWidth="1"/>
    <col min="2310" max="2310" width="18.42578125" style="161" customWidth="1"/>
    <col min="2311" max="2311" width="15.42578125" style="161" customWidth="1"/>
    <col min="2312" max="2312" width="14.5703125" style="161" customWidth="1"/>
    <col min="2313" max="2313" width="15" style="161" customWidth="1"/>
    <col min="2314" max="2314" width="6.7109375" style="161" customWidth="1"/>
    <col min="2315" max="2315" width="14.28515625" style="161" customWidth="1"/>
    <col min="2316" max="2316" width="17.5703125" style="161" customWidth="1"/>
    <col min="2317" max="2317" width="27.7109375" style="161" customWidth="1"/>
    <col min="2318" max="2320" width="9.140625" style="161" customWidth="1"/>
    <col min="2321" max="2321" width="14.85546875" style="161" customWidth="1"/>
    <col min="2322" max="2322" width="13.85546875" style="161" customWidth="1"/>
    <col min="2323" max="2544" width="9.140625" style="161" customWidth="1"/>
    <col min="2545" max="2545" width="9" style="161"/>
    <col min="2546" max="2546" width="6.5703125" style="161" customWidth="1"/>
    <col min="2547" max="2547" width="79.5703125" style="161" customWidth="1"/>
    <col min="2548" max="2548" width="23.5703125" style="161" customWidth="1"/>
    <col min="2549" max="2549" width="27.85546875" style="161" customWidth="1"/>
    <col min="2550" max="2550" width="22.28515625" style="161" customWidth="1"/>
    <col min="2551" max="2551" width="23.5703125" style="161" customWidth="1"/>
    <col min="2552" max="2552" width="39" style="161" customWidth="1"/>
    <col min="2553" max="2553" width="36.42578125" style="161" customWidth="1"/>
    <col min="2554" max="2554" width="8" style="161" customWidth="1"/>
    <col min="2555" max="2555" width="15.5703125" style="161" customWidth="1"/>
    <col min="2556" max="2556" width="17.28515625" style="161" customWidth="1"/>
    <col min="2557" max="2557" width="18.85546875" style="161" customWidth="1"/>
    <col min="2558" max="2558" width="81" style="161" customWidth="1"/>
    <col min="2559" max="2559" width="14.85546875" style="161" customWidth="1"/>
    <col min="2560" max="2560" width="15.7109375" style="161" customWidth="1"/>
    <col min="2561" max="2561" width="17.5703125" style="161" customWidth="1"/>
    <col min="2562" max="2562" width="18.42578125" style="161" customWidth="1"/>
    <col min="2563" max="2563" width="16.5703125" style="161" customWidth="1"/>
    <col min="2564" max="2564" width="17.7109375" style="161" customWidth="1"/>
    <col min="2565" max="2565" width="17.85546875" style="161" customWidth="1"/>
    <col min="2566" max="2566" width="18.42578125" style="161" customWidth="1"/>
    <col min="2567" max="2567" width="15.42578125" style="161" customWidth="1"/>
    <col min="2568" max="2568" width="14.5703125" style="161" customWidth="1"/>
    <col min="2569" max="2569" width="15" style="161" customWidth="1"/>
    <col min="2570" max="2570" width="6.7109375" style="161" customWidth="1"/>
    <col min="2571" max="2571" width="14.28515625" style="161" customWidth="1"/>
    <col min="2572" max="2572" width="17.5703125" style="161" customWidth="1"/>
    <col min="2573" max="2573" width="27.7109375" style="161" customWidth="1"/>
    <col min="2574" max="2576" width="9.140625" style="161" customWidth="1"/>
    <col min="2577" max="2577" width="14.85546875" style="161" customWidth="1"/>
    <col min="2578" max="2578" width="13.85546875" style="161" customWidth="1"/>
    <col min="2579" max="2800" width="9.140625" style="161" customWidth="1"/>
    <col min="2801" max="2801" width="9" style="161"/>
    <col min="2802" max="2802" width="6.5703125" style="161" customWidth="1"/>
    <col min="2803" max="2803" width="79.5703125" style="161" customWidth="1"/>
    <col min="2804" max="2804" width="23.5703125" style="161" customWidth="1"/>
    <col min="2805" max="2805" width="27.85546875" style="161" customWidth="1"/>
    <col min="2806" max="2806" width="22.28515625" style="161" customWidth="1"/>
    <col min="2807" max="2807" width="23.5703125" style="161" customWidth="1"/>
    <col min="2808" max="2808" width="39" style="161" customWidth="1"/>
    <col min="2809" max="2809" width="36.42578125" style="161" customWidth="1"/>
    <col min="2810" max="2810" width="8" style="161" customWidth="1"/>
    <col min="2811" max="2811" width="15.5703125" style="161" customWidth="1"/>
    <col min="2812" max="2812" width="17.28515625" style="161" customWidth="1"/>
    <col min="2813" max="2813" width="18.85546875" style="161" customWidth="1"/>
    <col min="2814" max="2814" width="81" style="161" customWidth="1"/>
    <col min="2815" max="2815" width="14.85546875" style="161" customWidth="1"/>
    <col min="2816" max="2816" width="15.7109375" style="161" customWidth="1"/>
    <col min="2817" max="2817" width="17.5703125" style="161" customWidth="1"/>
    <col min="2818" max="2818" width="18.42578125" style="161" customWidth="1"/>
    <col min="2819" max="2819" width="16.5703125" style="161" customWidth="1"/>
    <col min="2820" max="2820" width="17.7109375" style="161" customWidth="1"/>
    <col min="2821" max="2821" width="17.85546875" style="161" customWidth="1"/>
    <col min="2822" max="2822" width="18.42578125" style="161" customWidth="1"/>
    <col min="2823" max="2823" width="15.42578125" style="161" customWidth="1"/>
    <col min="2824" max="2824" width="14.5703125" style="161" customWidth="1"/>
    <col min="2825" max="2825" width="15" style="161" customWidth="1"/>
    <col min="2826" max="2826" width="6.7109375" style="161" customWidth="1"/>
    <col min="2827" max="2827" width="14.28515625" style="161" customWidth="1"/>
    <col min="2828" max="2828" width="17.5703125" style="161" customWidth="1"/>
    <col min="2829" max="2829" width="27.7109375" style="161" customWidth="1"/>
    <col min="2830" max="2832" width="9.140625" style="161" customWidth="1"/>
    <col min="2833" max="2833" width="14.85546875" style="161" customWidth="1"/>
    <col min="2834" max="2834" width="13.85546875" style="161" customWidth="1"/>
    <col min="2835" max="3056" width="9.140625" style="161" customWidth="1"/>
    <col min="3057" max="3057" width="9" style="161"/>
    <col min="3058" max="3058" width="6.5703125" style="161" customWidth="1"/>
    <col min="3059" max="3059" width="79.5703125" style="161" customWidth="1"/>
    <col min="3060" max="3060" width="23.5703125" style="161" customWidth="1"/>
    <col min="3061" max="3061" width="27.85546875" style="161" customWidth="1"/>
    <col min="3062" max="3062" width="22.28515625" style="161" customWidth="1"/>
    <col min="3063" max="3063" width="23.5703125" style="161" customWidth="1"/>
    <col min="3064" max="3064" width="39" style="161" customWidth="1"/>
    <col min="3065" max="3065" width="36.42578125" style="161" customWidth="1"/>
    <col min="3066" max="3066" width="8" style="161" customWidth="1"/>
    <col min="3067" max="3067" width="15.5703125" style="161" customWidth="1"/>
    <col min="3068" max="3068" width="17.28515625" style="161" customWidth="1"/>
    <col min="3069" max="3069" width="18.85546875" style="161" customWidth="1"/>
    <col min="3070" max="3070" width="81" style="161" customWidth="1"/>
    <col min="3071" max="3071" width="14.85546875" style="161" customWidth="1"/>
    <col min="3072" max="3072" width="15.7109375" style="161" customWidth="1"/>
    <col min="3073" max="3073" width="17.5703125" style="161" customWidth="1"/>
    <col min="3074" max="3074" width="18.42578125" style="161" customWidth="1"/>
    <col min="3075" max="3075" width="16.5703125" style="161" customWidth="1"/>
    <col min="3076" max="3076" width="17.7109375" style="161" customWidth="1"/>
    <col min="3077" max="3077" width="17.85546875" style="161" customWidth="1"/>
    <col min="3078" max="3078" width="18.42578125" style="161" customWidth="1"/>
    <col min="3079" max="3079" width="15.42578125" style="161" customWidth="1"/>
    <col min="3080" max="3080" width="14.5703125" style="161" customWidth="1"/>
    <col min="3081" max="3081" width="15" style="161" customWidth="1"/>
    <col min="3082" max="3082" width="6.7109375" style="161" customWidth="1"/>
    <col min="3083" max="3083" width="14.28515625" style="161" customWidth="1"/>
    <col min="3084" max="3084" width="17.5703125" style="161" customWidth="1"/>
    <col min="3085" max="3085" width="27.7109375" style="161" customWidth="1"/>
    <col min="3086" max="3088" width="9.140625" style="161" customWidth="1"/>
    <col min="3089" max="3089" width="14.85546875" style="161" customWidth="1"/>
    <col min="3090" max="3090" width="13.85546875" style="161" customWidth="1"/>
    <col min="3091" max="3312" width="9.140625" style="161" customWidth="1"/>
    <col min="3313" max="3313" width="9" style="161"/>
    <col min="3314" max="3314" width="6.5703125" style="161" customWidth="1"/>
    <col min="3315" max="3315" width="79.5703125" style="161" customWidth="1"/>
    <col min="3316" max="3316" width="23.5703125" style="161" customWidth="1"/>
    <col min="3317" max="3317" width="27.85546875" style="161" customWidth="1"/>
    <col min="3318" max="3318" width="22.28515625" style="161" customWidth="1"/>
    <col min="3319" max="3319" width="23.5703125" style="161" customWidth="1"/>
    <col min="3320" max="3320" width="39" style="161" customWidth="1"/>
    <col min="3321" max="3321" width="36.42578125" style="161" customWidth="1"/>
    <col min="3322" max="3322" width="8" style="161" customWidth="1"/>
    <col min="3323" max="3323" width="15.5703125" style="161" customWidth="1"/>
    <col min="3324" max="3324" width="17.28515625" style="161" customWidth="1"/>
    <col min="3325" max="3325" width="18.85546875" style="161" customWidth="1"/>
    <col min="3326" max="3326" width="81" style="161" customWidth="1"/>
    <col min="3327" max="3327" width="14.85546875" style="161" customWidth="1"/>
    <col min="3328" max="3328" width="15.7109375" style="161" customWidth="1"/>
    <col min="3329" max="3329" width="17.5703125" style="161" customWidth="1"/>
    <col min="3330" max="3330" width="18.42578125" style="161" customWidth="1"/>
    <col min="3331" max="3331" width="16.5703125" style="161" customWidth="1"/>
    <col min="3332" max="3332" width="17.7109375" style="161" customWidth="1"/>
    <col min="3333" max="3333" width="17.85546875" style="161" customWidth="1"/>
    <col min="3334" max="3334" width="18.42578125" style="161" customWidth="1"/>
    <col min="3335" max="3335" width="15.42578125" style="161" customWidth="1"/>
    <col min="3336" max="3336" width="14.5703125" style="161" customWidth="1"/>
    <col min="3337" max="3337" width="15" style="161" customWidth="1"/>
    <col min="3338" max="3338" width="6.7109375" style="161" customWidth="1"/>
    <col min="3339" max="3339" width="14.28515625" style="161" customWidth="1"/>
    <col min="3340" max="3340" width="17.5703125" style="161" customWidth="1"/>
    <col min="3341" max="3341" width="27.7109375" style="161" customWidth="1"/>
    <col min="3342" max="3344" width="9.140625" style="161" customWidth="1"/>
    <col min="3345" max="3345" width="14.85546875" style="161" customWidth="1"/>
    <col min="3346" max="3346" width="13.85546875" style="161" customWidth="1"/>
    <col min="3347" max="3568" width="9.140625" style="161" customWidth="1"/>
    <col min="3569" max="3569" width="9" style="161"/>
    <col min="3570" max="3570" width="6.5703125" style="161" customWidth="1"/>
    <col min="3571" max="3571" width="79.5703125" style="161" customWidth="1"/>
    <col min="3572" max="3572" width="23.5703125" style="161" customWidth="1"/>
    <col min="3573" max="3573" width="27.85546875" style="161" customWidth="1"/>
    <col min="3574" max="3574" width="22.28515625" style="161" customWidth="1"/>
    <col min="3575" max="3575" width="23.5703125" style="161" customWidth="1"/>
    <col min="3576" max="3576" width="39" style="161" customWidth="1"/>
    <col min="3577" max="3577" width="36.42578125" style="161" customWidth="1"/>
    <col min="3578" max="3578" width="8" style="161" customWidth="1"/>
    <col min="3579" max="3579" width="15.5703125" style="161" customWidth="1"/>
    <col min="3580" max="3580" width="17.28515625" style="161" customWidth="1"/>
    <col min="3581" max="3581" width="18.85546875" style="161" customWidth="1"/>
    <col min="3582" max="3582" width="81" style="161" customWidth="1"/>
    <col min="3583" max="3583" width="14.85546875" style="161" customWidth="1"/>
    <col min="3584" max="3584" width="15.7109375" style="161" customWidth="1"/>
    <col min="3585" max="3585" width="17.5703125" style="161" customWidth="1"/>
    <col min="3586" max="3586" width="18.42578125" style="161" customWidth="1"/>
    <col min="3587" max="3587" width="16.5703125" style="161" customWidth="1"/>
    <col min="3588" max="3588" width="17.7109375" style="161" customWidth="1"/>
    <col min="3589" max="3589" width="17.85546875" style="161" customWidth="1"/>
    <col min="3590" max="3590" width="18.42578125" style="161" customWidth="1"/>
    <col min="3591" max="3591" width="15.42578125" style="161" customWidth="1"/>
    <col min="3592" max="3592" width="14.5703125" style="161" customWidth="1"/>
    <col min="3593" max="3593" width="15" style="161" customWidth="1"/>
    <col min="3594" max="3594" width="6.7109375" style="161" customWidth="1"/>
    <col min="3595" max="3595" width="14.28515625" style="161" customWidth="1"/>
    <col min="3596" max="3596" width="17.5703125" style="161" customWidth="1"/>
    <col min="3597" max="3597" width="27.7109375" style="161" customWidth="1"/>
    <col min="3598" max="3600" width="9.140625" style="161" customWidth="1"/>
    <col min="3601" max="3601" width="14.85546875" style="161" customWidth="1"/>
    <col min="3602" max="3602" width="13.85546875" style="161" customWidth="1"/>
    <col min="3603" max="3824" width="9.140625" style="161" customWidth="1"/>
    <col min="3825" max="3825" width="9" style="161"/>
    <col min="3826" max="3826" width="6.5703125" style="161" customWidth="1"/>
    <col min="3827" max="3827" width="79.5703125" style="161" customWidth="1"/>
    <col min="3828" max="3828" width="23.5703125" style="161" customWidth="1"/>
    <col min="3829" max="3829" width="27.85546875" style="161" customWidth="1"/>
    <col min="3830" max="3830" width="22.28515625" style="161" customWidth="1"/>
    <col min="3831" max="3831" width="23.5703125" style="161" customWidth="1"/>
    <col min="3832" max="3832" width="39" style="161" customWidth="1"/>
    <col min="3833" max="3833" width="36.42578125" style="161" customWidth="1"/>
    <col min="3834" max="3834" width="8" style="161" customWidth="1"/>
    <col min="3835" max="3835" width="15.5703125" style="161" customWidth="1"/>
    <col min="3836" max="3836" width="17.28515625" style="161" customWidth="1"/>
    <col min="3837" max="3837" width="18.85546875" style="161" customWidth="1"/>
    <col min="3838" max="3838" width="81" style="161" customWidth="1"/>
    <col min="3839" max="3839" width="14.85546875" style="161" customWidth="1"/>
    <col min="3840" max="3840" width="15.7109375" style="161" customWidth="1"/>
    <col min="3841" max="3841" width="17.5703125" style="161" customWidth="1"/>
    <col min="3842" max="3842" width="18.42578125" style="161" customWidth="1"/>
    <col min="3843" max="3843" width="16.5703125" style="161" customWidth="1"/>
    <col min="3844" max="3844" width="17.7109375" style="161" customWidth="1"/>
    <col min="3845" max="3845" width="17.85546875" style="161" customWidth="1"/>
    <col min="3846" max="3846" width="18.42578125" style="161" customWidth="1"/>
    <col min="3847" max="3847" width="15.42578125" style="161" customWidth="1"/>
    <col min="3848" max="3848" width="14.5703125" style="161" customWidth="1"/>
    <col min="3849" max="3849" width="15" style="161" customWidth="1"/>
    <col min="3850" max="3850" width="6.7109375" style="161" customWidth="1"/>
    <col min="3851" max="3851" width="14.28515625" style="161" customWidth="1"/>
    <col min="3852" max="3852" width="17.5703125" style="161" customWidth="1"/>
    <col min="3853" max="3853" width="27.7109375" style="161" customWidth="1"/>
    <col min="3854" max="3856" width="9.140625" style="161" customWidth="1"/>
    <col min="3857" max="3857" width="14.85546875" style="161" customWidth="1"/>
    <col min="3858" max="3858" width="13.85546875" style="161" customWidth="1"/>
    <col min="3859" max="4080" width="9.140625" style="161" customWidth="1"/>
    <col min="4081" max="4081" width="9" style="161"/>
    <col min="4082" max="4082" width="6.5703125" style="161" customWidth="1"/>
    <col min="4083" max="4083" width="79.5703125" style="161" customWidth="1"/>
    <col min="4084" max="4084" width="23.5703125" style="161" customWidth="1"/>
    <col min="4085" max="4085" width="27.85546875" style="161" customWidth="1"/>
    <col min="4086" max="4086" width="22.28515625" style="161" customWidth="1"/>
    <col min="4087" max="4087" width="23.5703125" style="161" customWidth="1"/>
    <col min="4088" max="4088" width="39" style="161" customWidth="1"/>
    <col min="4089" max="4089" width="36.42578125" style="161" customWidth="1"/>
    <col min="4090" max="4090" width="8" style="161" customWidth="1"/>
    <col min="4091" max="4091" width="15.5703125" style="161" customWidth="1"/>
    <col min="4092" max="4092" width="17.28515625" style="161" customWidth="1"/>
    <col min="4093" max="4093" width="18.85546875" style="161" customWidth="1"/>
    <col min="4094" max="4094" width="81" style="161" customWidth="1"/>
    <col min="4095" max="4095" width="14.85546875" style="161" customWidth="1"/>
    <col min="4096" max="4096" width="15.7109375" style="161" customWidth="1"/>
    <col min="4097" max="4097" width="17.5703125" style="161" customWidth="1"/>
    <col min="4098" max="4098" width="18.42578125" style="161" customWidth="1"/>
    <col min="4099" max="4099" width="16.5703125" style="161" customWidth="1"/>
    <col min="4100" max="4100" width="17.7109375" style="161" customWidth="1"/>
    <col min="4101" max="4101" width="17.85546875" style="161" customWidth="1"/>
    <col min="4102" max="4102" width="18.42578125" style="161" customWidth="1"/>
    <col min="4103" max="4103" width="15.42578125" style="161" customWidth="1"/>
    <col min="4104" max="4104" width="14.5703125" style="161" customWidth="1"/>
    <col min="4105" max="4105" width="15" style="161" customWidth="1"/>
    <col min="4106" max="4106" width="6.7109375" style="161" customWidth="1"/>
    <col min="4107" max="4107" width="14.28515625" style="161" customWidth="1"/>
    <col min="4108" max="4108" width="17.5703125" style="161" customWidth="1"/>
    <col min="4109" max="4109" width="27.7109375" style="161" customWidth="1"/>
    <col min="4110" max="4112" width="9.140625" style="161" customWidth="1"/>
    <col min="4113" max="4113" width="14.85546875" style="161" customWidth="1"/>
    <col min="4114" max="4114" width="13.85546875" style="161" customWidth="1"/>
    <col min="4115" max="4336" width="9.140625" style="161" customWidth="1"/>
    <col min="4337" max="4337" width="9" style="161"/>
    <col min="4338" max="4338" width="6.5703125" style="161" customWidth="1"/>
    <col min="4339" max="4339" width="79.5703125" style="161" customWidth="1"/>
    <col min="4340" max="4340" width="23.5703125" style="161" customWidth="1"/>
    <col min="4341" max="4341" width="27.85546875" style="161" customWidth="1"/>
    <col min="4342" max="4342" width="22.28515625" style="161" customWidth="1"/>
    <col min="4343" max="4343" width="23.5703125" style="161" customWidth="1"/>
    <col min="4344" max="4344" width="39" style="161" customWidth="1"/>
    <col min="4345" max="4345" width="36.42578125" style="161" customWidth="1"/>
    <col min="4346" max="4346" width="8" style="161" customWidth="1"/>
    <col min="4347" max="4347" width="15.5703125" style="161" customWidth="1"/>
    <col min="4348" max="4348" width="17.28515625" style="161" customWidth="1"/>
    <col min="4349" max="4349" width="18.85546875" style="161" customWidth="1"/>
    <col min="4350" max="4350" width="81" style="161" customWidth="1"/>
    <col min="4351" max="4351" width="14.85546875" style="161" customWidth="1"/>
    <col min="4352" max="4352" width="15.7109375" style="161" customWidth="1"/>
    <col min="4353" max="4353" width="17.5703125" style="161" customWidth="1"/>
    <col min="4354" max="4354" width="18.42578125" style="161" customWidth="1"/>
    <col min="4355" max="4355" width="16.5703125" style="161" customWidth="1"/>
    <col min="4356" max="4356" width="17.7109375" style="161" customWidth="1"/>
    <col min="4357" max="4357" width="17.85546875" style="161" customWidth="1"/>
    <col min="4358" max="4358" width="18.42578125" style="161" customWidth="1"/>
    <col min="4359" max="4359" width="15.42578125" style="161" customWidth="1"/>
    <col min="4360" max="4360" width="14.5703125" style="161" customWidth="1"/>
    <col min="4361" max="4361" width="15" style="161" customWidth="1"/>
    <col min="4362" max="4362" width="6.7109375" style="161" customWidth="1"/>
    <col min="4363" max="4363" width="14.28515625" style="161" customWidth="1"/>
    <col min="4364" max="4364" width="17.5703125" style="161" customWidth="1"/>
    <col min="4365" max="4365" width="27.7109375" style="161" customWidth="1"/>
    <col min="4366" max="4368" width="9.140625" style="161" customWidth="1"/>
    <col min="4369" max="4369" width="14.85546875" style="161" customWidth="1"/>
    <col min="4370" max="4370" width="13.85546875" style="161" customWidth="1"/>
    <col min="4371" max="4592" width="9.140625" style="161" customWidth="1"/>
    <col min="4593" max="4593" width="9" style="161"/>
    <col min="4594" max="4594" width="6.5703125" style="161" customWidth="1"/>
    <col min="4595" max="4595" width="79.5703125" style="161" customWidth="1"/>
    <col min="4596" max="4596" width="23.5703125" style="161" customWidth="1"/>
    <col min="4597" max="4597" width="27.85546875" style="161" customWidth="1"/>
    <col min="4598" max="4598" width="22.28515625" style="161" customWidth="1"/>
    <col min="4599" max="4599" width="23.5703125" style="161" customWidth="1"/>
    <col min="4600" max="4600" width="39" style="161" customWidth="1"/>
    <col min="4601" max="4601" width="36.42578125" style="161" customWidth="1"/>
    <col min="4602" max="4602" width="8" style="161" customWidth="1"/>
    <col min="4603" max="4603" width="15.5703125" style="161" customWidth="1"/>
    <col min="4604" max="4604" width="17.28515625" style="161" customWidth="1"/>
    <col min="4605" max="4605" width="18.85546875" style="161" customWidth="1"/>
    <col min="4606" max="4606" width="81" style="161" customWidth="1"/>
    <col min="4607" max="4607" width="14.85546875" style="161" customWidth="1"/>
    <col min="4608" max="4608" width="15.7109375" style="161" customWidth="1"/>
    <col min="4609" max="4609" width="17.5703125" style="161" customWidth="1"/>
    <col min="4610" max="4610" width="18.42578125" style="161" customWidth="1"/>
    <col min="4611" max="4611" width="16.5703125" style="161" customWidth="1"/>
    <col min="4612" max="4612" width="17.7109375" style="161" customWidth="1"/>
    <col min="4613" max="4613" width="17.85546875" style="161" customWidth="1"/>
    <col min="4614" max="4614" width="18.42578125" style="161" customWidth="1"/>
    <col min="4615" max="4615" width="15.42578125" style="161" customWidth="1"/>
    <col min="4616" max="4616" width="14.5703125" style="161" customWidth="1"/>
    <col min="4617" max="4617" width="15" style="161" customWidth="1"/>
    <col min="4618" max="4618" width="6.7109375" style="161" customWidth="1"/>
    <col min="4619" max="4619" width="14.28515625" style="161" customWidth="1"/>
    <col min="4620" max="4620" width="17.5703125" style="161" customWidth="1"/>
    <col min="4621" max="4621" width="27.7109375" style="161" customWidth="1"/>
    <col min="4622" max="4624" width="9.140625" style="161" customWidth="1"/>
    <col min="4625" max="4625" width="14.85546875" style="161" customWidth="1"/>
    <col min="4626" max="4626" width="13.85546875" style="161" customWidth="1"/>
    <col min="4627" max="4848" width="9.140625" style="161" customWidth="1"/>
    <col min="4849" max="4849" width="9" style="161"/>
    <col min="4850" max="4850" width="6.5703125" style="161" customWidth="1"/>
    <col min="4851" max="4851" width="79.5703125" style="161" customWidth="1"/>
    <col min="4852" max="4852" width="23.5703125" style="161" customWidth="1"/>
    <col min="4853" max="4853" width="27.85546875" style="161" customWidth="1"/>
    <col min="4854" max="4854" width="22.28515625" style="161" customWidth="1"/>
    <col min="4855" max="4855" width="23.5703125" style="161" customWidth="1"/>
    <col min="4856" max="4856" width="39" style="161" customWidth="1"/>
    <col min="4857" max="4857" width="36.42578125" style="161" customWidth="1"/>
    <col min="4858" max="4858" width="8" style="161" customWidth="1"/>
    <col min="4859" max="4859" width="15.5703125" style="161" customWidth="1"/>
    <col min="4860" max="4860" width="17.28515625" style="161" customWidth="1"/>
    <col min="4861" max="4861" width="18.85546875" style="161" customWidth="1"/>
    <col min="4862" max="4862" width="81" style="161" customWidth="1"/>
    <col min="4863" max="4863" width="14.85546875" style="161" customWidth="1"/>
    <col min="4864" max="4864" width="15.7109375" style="161" customWidth="1"/>
    <col min="4865" max="4865" width="17.5703125" style="161" customWidth="1"/>
    <col min="4866" max="4866" width="18.42578125" style="161" customWidth="1"/>
    <col min="4867" max="4867" width="16.5703125" style="161" customWidth="1"/>
    <col min="4868" max="4868" width="17.7109375" style="161" customWidth="1"/>
    <col min="4869" max="4869" width="17.85546875" style="161" customWidth="1"/>
    <col min="4870" max="4870" width="18.42578125" style="161" customWidth="1"/>
    <col min="4871" max="4871" width="15.42578125" style="161" customWidth="1"/>
    <col min="4872" max="4872" width="14.5703125" style="161" customWidth="1"/>
    <col min="4873" max="4873" width="15" style="161" customWidth="1"/>
    <col min="4874" max="4874" width="6.7109375" style="161" customWidth="1"/>
    <col min="4875" max="4875" width="14.28515625" style="161" customWidth="1"/>
    <col min="4876" max="4876" width="17.5703125" style="161" customWidth="1"/>
    <col min="4877" max="4877" width="27.7109375" style="161" customWidth="1"/>
    <col min="4878" max="4880" width="9.140625" style="161" customWidth="1"/>
    <col min="4881" max="4881" width="14.85546875" style="161" customWidth="1"/>
    <col min="4882" max="4882" width="13.85546875" style="161" customWidth="1"/>
    <col min="4883" max="5104" width="9.140625" style="161" customWidth="1"/>
    <col min="5105" max="5105" width="9" style="161"/>
    <col min="5106" max="5106" width="6.5703125" style="161" customWidth="1"/>
    <col min="5107" max="5107" width="79.5703125" style="161" customWidth="1"/>
    <col min="5108" max="5108" width="23.5703125" style="161" customWidth="1"/>
    <col min="5109" max="5109" width="27.85546875" style="161" customWidth="1"/>
    <col min="5110" max="5110" width="22.28515625" style="161" customWidth="1"/>
    <col min="5111" max="5111" width="23.5703125" style="161" customWidth="1"/>
    <col min="5112" max="5112" width="39" style="161" customWidth="1"/>
    <col min="5113" max="5113" width="36.42578125" style="161" customWidth="1"/>
    <col min="5114" max="5114" width="8" style="161" customWidth="1"/>
    <col min="5115" max="5115" width="15.5703125" style="161" customWidth="1"/>
    <col min="5116" max="5116" width="17.28515625" style="161" customWidth="1"/>
    <col min="5117" max="5117" width="18.85546875" style="161" customWidth="1"/>
    <col min="5118" max="5118" width="81" style="161" customWidth="1"/>
    <col min="5119" max="5119" width="14.85546875" style="161" customWidth="1"/>
    <col min="5120" max="5120" width="15.7109375" style="161" customWidth="1"/>
    <col min="5121" max="5121" width="17.5703125" style="161" customWidth="1"/>
    <col min="5122" max="5122" width="18.42578125" style="161" customWidth="1"/>
    <col min="5123" max="5123" width="16.5703125" style="161" customWidth="1"/>
    <col min="5124" max="5124" width="17.7109375" style="161" customWidth="1"/>
    <col min="5125" max="5125" width="17.85546875" style="161" customWidth="1"/>
    <col min="5126" max="5126" width="18.42578125" style="161" customWidth="1"/>
    <col min="5127" max="5127" width="15.42578125" style="161" customWidth="1"/>
    <col min="5128" max="5128" width="14.5703125" style="161" customWidth="1"/>
    <col min="5129" max="5129" width="15" style="161" customWidth="1"/>
    <col min="5130" max="5130" width="6.7109375" style="161" customWidth="1"/>
    <col min="5131" max="5131" width="14.28515625" style="161" customWidth="1"/>
    <col min="5132" max="5132" width="17.5703125" style="161" customWidth="1"/>
    <col min="5133" max="5133" width="27.7109375" style="161" customWidth="1"/>
    <col min="5134" max="5136" width="9.140625" style="161" customWidth="1"/>
    <col min="5137" max="5137" width="14.85546875" style="161" customWidth="1"/>
    <col min="5138" max="5138" width="13.85546875" style="161" customWidth="1"/>
    <col min="5139" max="5360" width="9.140625" style="161" customWidth="1"/>
    <col min="5361" max="5361" width="9" style="161"/>
    <col min="5362" max="5362" width="6.5703125" style="161" customWidth="1"/>
    <col min="5363" max="5363" width="79.5703125" style="161" customWidth="1"/>
    <col min="5364" max="5364" width="23.5703125" style="161" customWidth="1"/>
    <col min="5365" max="5365" width="27.85546875" style="161" customWidth="1"/>
    <col min="5366" max="5366" width="22.28515625" style="161" customWidth="1"/>
    <col min="5367" max="5367" width="23.5703125" style="161" customWidth="1"/>
    <col min="5368" max="5368" width="39" style="161" customWidth="1"/>
    <col min="5369" max="5369" width="36.42578125" style="161" customWidth="1"/>
    <col min="5370" max="5370" width="8" style="161" customWidth="1"/>
    <col min="5371" max="5371" width="15.5703125" style="161" customWidth="1"/>
    <col min="5372" max="5372" width="17.28515625" style="161" customWidth="1"/>
    <col min="5373" max="5373" width="18.85546875" style="161" customWidth="1"/>
    <col min="5374" max="5374" width="81" style="161" customWidth="1"/>
    <col min="5375" max="5375" width="14.85546875" style="161" customWidth="1"/>
    <col min="5376" max="5376" width="15.7109375" style="161" customWidth="1"/>
    <col min="5377" max="5377" width="17.5703125" style="161" customWidth="1"/>
    <col min="5378" max="5378" width="18.42578125" style="161" customWidth="1"/>
    <col min="5379" max="5379" width="16.5703125" style="161" customWidth="1"/>
    <col min="5380" max="5380" width="17.7109375" style="161" customWidth="1"/>
    <col min="5381" max="5381" width="17.85546875" style="161" customWidth="1"/>
    <col min="5382" max="5382" width="18.42578125" style="161" customWidth="1"/>
    <col min="5383" max="5383" width="15.42578125" style="161" customWidth="1"/>
    <col min="5384" max="5384" width="14.5703125" style="161" customWidth="1"/>
    <col min="5385" max="5385" width="15" style="161" customWidth="1"/>
    <col min="5386" max="5386" width="6.7109375" style="161" customWidth="1"/>
    <col min="5387" max="5387" width="14.28515625" style="161" customWidth="1"/>
    <col min="5388" max="5388" width="17.5703125" style="161" customWidth="1"/>
    <col min="5389" max="5389" width="27.7109375" style="161" customWidth="1"/>
    <col min="5390" max="5392" width="9.140625" style="161" customWidth="1"/>
    <col min="5393" max="5393" width="14.85546875" style="161" customWidth="1"/>
    <col min="5394" max="5394" width="13.85546875" style="161" customWidth="1"/>
    <col min="5395" max="5616" width="9.140625" style="161" customWidth="1"/>
    <col min="5617" max="5617" width="9" style="161"/>
    <col min="5618" max="5618" width="6.5703125" style="161" customWidth="1"/>
    <col min="5619" max="5619" width="79.5703125" style="161" customWidth="1"/>
    <col min="5620" max="5620" width="23.5703125" style="161" customWidth="1"/>
    <col min="5621" max="5621" width="27.85546875" style="161" customWidth="1"/>
    <col min="5622" max="5622" width="22.28515625" style="161" customWidth="1"/>
    <col min="5623" max="5623" width="23.5703125" style="161" customWidth="1"/>
    <col min="5624" max="5624" width="39" style="161" customWidth="1"/>
    <col min="5625" max="5625" width="36.42578125" style="161" customWidth="1"/>
    <col min="5626" max="5626" width="8" style="161" customWidth="1"/>
    <col min="5627" max="5627" width="15.5703125" style="161" customWidth="1"/>
    <col min="5628" max="5628" width="17.28515625" style="161" customWidth="1"/>
    <col min="5629" max="5629" width="18.85546875" style="161" customWidth="1"/>
    <col min="5630" max="5630" width="81" style="161" customWidth="1"/>
    <col min="5631" max="5631" width="14.85546875" style="161" customWidth="1"/>
    <col min="5632" max="5632" width="15.7109375" style="161" customWidth="1"/>
    <col min="5633" max="5633" width="17.5703125" style="161" customWidth="1"/>
    <col min="5634" max="5634" width="18.42578125" style="161" customWidth="1"/>
    <col min="5635" max="5635" width="16.5703125" style="161" customWidth="1"/>
    <col min="5636" max="5636" width="17.7109375" style="161" customWidth="1"/>
    <col min="5637" max="5637" width="17.85546875" style="161" customWidth="1"/>
    <col min="5638" max="5638" width="18.42578125" style="161" customWidth="1"/>
    <col min="5639" max="5639" width="15.42578125" style="161" customWidth="1"/>
    <col min="5640" max="5640" width="14.5703125" style="161" customWidth="1"/>
    <col min="5641" max="5641" width="15" style="161" customWidth="1"/>
    <col min="5642" max="5642" width="6.7109375" style="161" customWidth="1"/>
    <col min="5643" max="5643" width="14.28515625" style="161" customWidth="1"/>
    <col min="5644" max="5644" width="17.5703125" style="161" customWidth="1"/>
    <col min="5645" max="5645" width="27.7109375" style="161" customWidth="1"/>
    <col min="5646" max="5648" width="9.140625" style="161" customWidth="1"/>
    <col min="5649" max="5649" width="14.85546875" style="161" customWidth="1"/>
    <col min="5650" max="5650" width="13.85546875" style="161" customWidth="1"/>
    <col min="5651" max="5872" width="9.140625" style="161" customWidth="1"/>
    <col min="5873" max="5873" width="9" style="161"/>
    <col min="5874" max="5874" width="6.5703125" style="161" customWidth="1"/>
    <col min="5875" max="5875" width="79.5703125" style="161" customWidth="1"/>
    <col min="5876" max="5876" width="23.5703125" style="161" customWidth="1"/>
    <col min="5877" max="5877" width="27.85546875" style="161" customWidth="1"/>
    <col min="5878" max="5878" width="22.28515625" style="161" customWidth="1"/>
    <col min="5879" max="5879" width="23.5703125" style="161" customWidth="1"/>
    <col min="5880" max="5880" width="39" style="161" customWidth="1"/>
    <col min="5881" max="5881" width="36.42578125" style="161" customWidth="1"/>
    <col min="5882" max="5882" width="8" style="161" customWidth="1"/>
    <col min="5883" max="5883" width="15.5703125" style="161" customWidth="1"/>
    <col min="5884" max="5884" width="17.28515625" style="161" customWidth="1"/>
    <col min="5885" max="5885" width="18.85546875" style="161" customWidth="1"/>
    <col min="5886" max="5886" width="81" style="161" customWidth="1"/>
    <col min="5887" max="5887" width="14.85546875" style="161" customWidth="1"/>
    <col min="5888" max="5888" width="15.7109375" style="161" customWidth="1"/>
    <col min="5889" max="5889" width="17.5703125" style="161" customWidth="1"/>
    <col min="5890" max="5890" width="18.42578125" style="161" customWidth="1"/>
    <col min="5891" max="5891" width="16.5703125" style="161" customWidth="1"/>
    <col min="5892" max="5892" width="17.7109375" style="161" customWidth="1"/>
    <col min="5893" max="5893" width="17.85546875" style="161" customWidth="1"/>
    <col min="5894" max="5894" width="18.42578125" style="161" customWidth="1"/>
    <col min="5895" max="5895" width="15.42578125" style="161" customWidth="1"/>
    <col min="5896" max="5896" width="14.5703125" style="161" customWidth="1"/>
    <col min="5897" max="5897" width="15" style="161" customWidth="1"/>
    <col min="5898" max="5898" width="6.7109375" style="161" customWidth="1"/>
    <col min="5899" max="5899" width="14.28515625" style="161" customWidth="1"/>
    <col min="5900" max="5900" width="17.5703125" style="161" customWidth="1"/>
    <col min="5901" max="5901" width="27.7109375" style="161" customWidth="1"/>
    <col min="5902" max="5904" width="9.140625" style="161" customWidth="1"/>
    <col min="5905" max="5905" width="14.85546875" style="161" customWidth="1"/>
    <col min="5906" max="5906" width="13.85546875" style="161" customWidth="1"/>
    <col min="5907" max="6128" width="9.140625" style="161" customWidth="1"/>
    <col min="6129" max="6129" width="9" style="161"/>
    <col min="6130" max="6130" width="6.5703125" style="161" customWidth="1"/>
    <col min="6131" max="6131" width="79.5703125" style="161" customWidth="1"/>
    <col min="6132" max="6132" width="23.5703125" style="161" customWidth="1"/>
    <col min="6133" max="6133" width="27.85546875" style="161" customWidth="1"/>
    <col min="6134" max="6134" width="22.28515625" style="161" customWidth="1"/>
    <col min="6135" max="6135" width="23.5703125" style="161" customWidth="1"/>
    <col min="6136" max="6136" width="39" style="161" customWidth="1"/>
    <col min="6137" max="6137" width="36.42578125" style="161" customWidth="1"/>
    <col min="6138" max="6138" width="8" style="161" customWidth="1"/>
    <col min="6139" max="6139" width="15.5703125" style="161" customWidth="1"/>
    <col min="6140" max="6140" width="17.28515625" style="161" customWidth="1"/>
    <col min="6141" max="6141" width="18.85546875" style="161" customWidth="1"/>
    <col min="6142" max="6142" width="81" style="161" customWidth="1"/>
    <col min="6143" max="6143" width="14.85546875" style="161" customWidth="1"/>
    <col min="6144" max="6144" width="15.7109375" style="161" customWidth="1"/>
    <col min="6145" max="6145" width="17.5703125" style="161" customWidth="1"/>
    <col min="6146" max="6146" width="18.42578125" style="161" customWidth="1"/>
    <col min="6147" max="6147" width="16.5703125" style="161" customWidth="1"/>
    <col min="6148" max="6148" width="17.7109375" style="161" customWidth="1"/>
    <col min="6149" max="6149" width="17.85546875" style="161" customWidth="1"/>
    <col min="6150" max="6150" width="18.42578125" style="161" customWidth="1"/>
    <col min="6151" max="6151" width="15.42578125" style="161" customWidth="1"/>
    <col min="6152" max="6152" width="14.5703125" style="161" customWidth="1"/>
    <col min="6153" max="6153" width="15" style="161" customWidth="1"/>
    <col min="6154" max="6154" width="6.7109375" style="161" customWidth="1"/>
    <col min="6155" max="6155" width="14.28515625" style="161" customWidth="1"/>
    <col min="6156" max="6156" width="17.5703125" style="161" customWidth="1"/>
    <col min="6157" max="6157" width="27.7109375" style="161" customWidth="1"/>
    <col min="6158" max="6160" width="9.140625" style="161" customWidth="1"/>
    <col min="6161" max="6161" width="14.85546875" style="161" customWidth="1"/>
    <col min="6162" max="6162" width="13.85546875" style="161" customWidth="1"/>
    <col min="6163" max="6384" width="9.140625" style="161" customWidth="1"/>
    <col min="6385" max="6385" width="9" style="161"/>
    <col min="6386" max="6386" width="6.5703125" style="161" customWidth="1"/>
    <col min="6387" max="6387" width="79.5703125" style="161" customWidth="1"/>
    <col min="6388" max="6388" width="23.5703125" style="161" customWidth="1"/>
    <col min="6389" max="6389" width="27.85546875" style="161" customWidth="1"/>
    <col min="6390" max="6390" width="22.28515625" style="161" customWidth="1"/>
    <col min="6391" max="6391" width="23.5703125" style="161" customWidth="1"/>
    <col min="6392" max="6392" width="39" style="161" customWidth="1"/>
    <col min="6393" max="6393" width="36.42578125" style="161" customWidth="1"/>
    <col min="6394" max="6394" width="8" style="161" customWidth="1"/>
    <col min="6395" max="6395" width="15.5703125" style="161" customWidth="1"/>
    <col min="6396" max="6396" width="17.28515625" style="161" customWidth="1"/>
    <col min="6397" max="6397" width="18.85546875" style="161" customWidth="1"/>
    <col min="6398" max="6398" width="81" style="161" customWidth="1"/>
    <col min="6399" max="6399" width="14.85546875" style="161" customWidth="1"/>
    <col min="6400" max="6400" width="15.7109375" style="161" customWidth="1"/>
    <col min="6401" max="6401" width="17.5703125" style="161" customWidth="1"/>
    <col min="6402" max="6402" width="18.42578125" style="161" customWidth="1"/>
    <col min="6403" max="6403" width="16.5703125" style="161" customWidth="1"/>
    <col min="6404" max="6404" width="17.7109375" style="161" customWidth="1"/>
    <col min="6405" max="6405" width="17.85546875" style="161" customWidth="1"/>
    <col min="6406" max="6406" width="18.42578125" style="161" customWidth="1"/>
    <col min="6407" max="6407" width="15.42578125" style="161" customWidth="1"/>
    <col min="6408" max="6408" width="14.5703125" style="161" customWidth="1"/>
    <col min="6409" max="6409" width="15" style="161" customWidth="1"/>
    <col min="6410" max="6410" width="6.7109375" style="161" customWidth="1"/>
    <col min="6411" max="6411" width="14.28515625" style="161" customWidth="1"/>
    <col min="6412" max="6412" width="17.5703125" style="161" customWidth="1"/>
    <col min="6413" max="6413" width="27.7109375" style="161" customWidth="1"/>
    <col min="6414" max="6416" width="9.140625" style="161" customWidth="1"/>
    <col min="6417" max="6417" width="14.85546875" style="161" customWidth="1"/>
    <col min="6418" max="6418" width="13.85546875" style="161" customWidth="1"/>
    <col min="6419" max="6640" width="9.140625" style="161" customWidth="1"/>
    <col min="6641" max="6641" width="9" style="161"/>
    <col min="6642" max="6642" width="6.5703125" style="161" customWidth="1"/>
    <col min="6643" max="6643" width="79.5703125" style="161" customWidth="1"/>
    <col min="6644" max="6644" width="23.5703125" style="161" customWidth="1"/>
    <col min="6645" max="6645" width="27.85546875" style="161" customWidth="1"/>
    <col min="6646" max="6646" width="22.28515625" style="161" customWidth="1"/>
    <col min="6647" max="6647" width="23.5703125" style="161" customWidth="1"/>
    <col min="6648" max="6648" width="39" style="161" customWidth="1"/>
    <col min="6649" max="6649" width="36.42578125" style="161" customWidth="1"/>
    <col min="6650" max="6650" width="8" style="161" customWidth="1"/>
    <col min="6651" max="6651" width="15.5703125" style="161" customWidth="1"/>
    <col min="6652" max="6652" width="17.28515625" style="161" customWidth="1"/>
    <col min="6653" max="6653" width="18.85546875" style="161" customWidth="1"/>
    <col min="6654" max="6654" width="81" style="161" customWidth="1"/>
    <col min="6655" max="6655" width="14.85546875" style="161" customWidth="1"/>
    <col min="6656" max="6656" width="15.7109375" style="161" customWidth="1"/>
    <col min="6657" max="6657" width="17.5703125" style="161" customWidth="1"/>
    <col min="6658" max="6658" width="18.42578125" style="161" customWidth="1"/>
    <col min="6659" max="6659" width="16.5703125" style="161" customWidth="1"/>
    <col min="6660" max="6660" width="17.7109375" style="161" customWidth="1"/>
    <col min="6661" max="6661" width="17.85546875" style="161" customWidth="1"/>
    <col min="6662" max="6662" width="18.42578125" style="161" customWidth="1"/>
    <col min="6663" max="6663" width="15.42578125" style="161" customWidth="1"/>
    <col min="6664" max="6664" width="14.5703125" style="161" customWidth="1"/>
    <col min="6665" max="6665" width="15" style="161" customWidth="1"/>
    <col min="6666" max="6666" width="6.7109375" style="161" customWidth="1"/>
    <col min="6667" max="6667" width="14.28515625" style="161" customWidth="1"/>
    <col min="6668" max="6668" width="17.5703125" style="161" customWidth="1"/>
    <col min="6669" max="6669" width="27.7109375" style="161" customWidth="1"/>
    <col min="6670" max="6672" width="9.140625" style="161" customWidth="1"/>
    <col min="6673" max="6673" width="14.85546875" style="161" customWidth="1"/>
    <col min="6674" max="6674" width="13.85546875" style="161" customWidth="1"/>
    <col min="6675" max="6896" width="9.140625" style="161" customWidth="1"/>
    <col min="6897" max="6897" width="9" style="161"/>
    <col min="6898" max="6898" width="6.5703125" style="161" customWidth="1"/>
    <col min="6899" max="6899" width="79.5703125" style="161" customWidth="1"/>
    <col min="6900" max="6900" width="23.5703125" style="161" customWidth="1"/>
    <col min="6901" max="6901" width="27.85546875" style="161" customWidth="1"/>
    <col min="6902" max="6902" width="22.28515625" style="161" customWidth="1"/>
    <col min="6903" max="6903" width="23.5703125" style="161" customWidth="1"/>
    <col min="6904" max="6904" width="39" style="161" customWidth="1"/>
    <col min="6905" max="6905" width="36.42578125" style="161" customWidth="1"/>
    <col min="6906" max="6906" width="8" style="161" customWidth="1"/>
    <col min="6907" max="6907" width="15.5703125" style="161" customWidth="1"/>
    <col min="6908" max="6908" width="17.28515625" style="161" customWidth="1"/>
    <col min="6909" max="6909" width="18.85546875" style="161" customWidth="1"/>
    <col min="6910" max="6910" width="81" style="161" customWidth="1"/>
    <col min="6911" max="6911" width="14.85546875" style="161" customWidth="1"/>
    <col min="6912" max="6912" width="15.7109375" style="161" customWidth="1"/>
    <col min="6913" max="6913" width="17.5703125" style="161" customWidth="1"/>
    <col min="6914" max="6914" width="18.42578125" style="161" customWidth="1"/>
    <col min="6915" max="6915" width="16.5703125" style="161" customWidth="1"/>
    <col min="6916" max="6916" width="17.7109375" style="161" customWidth="1"/>
    <col min="6917" max="6917" width="17.85546875" style="161" customWidth="1"/>
    <col min="6918" max="6918" width="18.42578125" style="161" customWidth="1"/>
    <col min="6919" max="6919" width="15.42578125" style="161" customWidth="1"/>
    <col min="6920" max="6920" width="14.5703125" style="161" customWidth="1"/>
    <col min="6921" max="6921" width="15" style="161" customWidth="1"/>
    <col min="6922" max="6922" width="6.7109375" style="161" customWidth="1"/>
    <col min="6923" max="6923" width="14.28515625" style="161" customWidth="1"/>
    <col min="6924" max="6924" width="17.5703125" style="161" customWidth="1"/>
    <col min="6925" max="6925" width="27.7109375" style="161" customWidth="1"/>
    <col min="6926" max="6928" width="9.140625" style="161" customWidth="1"/>
    <col min="6929" max="6929" width="14.85546875" style="161" customWidth="1"/>
    <col min="6930" max="6930" width="13.85546875" style="161" customWidth="1"/>
    <col min="6931" max="7152" width="9.140625" style="161" customWidth="1"/>
    <col min="7153" max="7153" width="9" style="161"/>
    <col min="7154" max="7154" width="6.5703125" style="161" customWidth="1"/>
    <col min="7155" max="7155" width="79.5703125" style="161" customWidth="1"/>
    <col min="7156" max="7156" width="23.5703125" style="161" customWidth="1"/>
    <col min="7157" max="7157" width="27.85546875" style="161" customWidth="1"/>
    <col min="7158" max="7158" width="22.28515625" style="161" customWidth="1"/>
    <col min="7159" max="7159" width="23.5703125" style="161" customWidth="1"/>
    <col min="7160" max="7160" width="39" style="161" customWidth="1"/>
    <col min="7161" max="7161" width="36.42578125" style="161" customWidth="1"/>
    <col min="7162" max="7162" width="8" style="161" customWidth="1"/>
    <col min="7163" max="7163" width="15.5703125" style="161" customWidth="1"/>
    <col min="7164" max="7164" width="17.28515625" style="161" customWidth="1"/>
    <col min="7165" max="7165" width="18.85546875" style="161" customWidth="1"/>
    <col min="7166" max="7166" width="81" style="161" customWidth="1"/>
    <col min="7167" max="7167" width="14.85546875" style="161" customWidth="1"/>
    <col min="7168" max="7168" width="15.7109375" style="161" customWidth="1"/>
    <col min="7169" max="7169" width="17.5703125" style="161" customWidth="1"/>
    <col min="7170" max="7170" width="18.42578125" style="161" customWidth="1"/>
    <col min="7171" max="7171" width="16.5703125" style="161" customWidth="1"/>
    <col min="7172" max="7172" width="17.7109375" style="161" customWidth="1"/>
    <col min="7173" max="7173" width="17.85546875" style="161" customWidth="1"/>
    <col min="7174" max="7174" width="18.42578125" style="161" customWidth="1"/>
    <col min="7175" max="7175" width="15.42578125" style="161" customWidth="1"/>
    <col min="7176" max="7176" width="14.5703125" style="161" customWidth="1"/>
    <col min="7177" max="7177" width="15" style="161" customWidth="1"/>
    <col min="7178" max="7178" width="6.7109375" style="161" customWidth="1"/>
    <col min="7179" max="7179" width="14.28515625" style="161" customWidth="1"/>
    <col min="7180" max="7180" width="17.5703125" style="161" customWidth="1"/>
    <col min="7181" max="7181" width="27.7109375" style="161" customWidth="1"/>
    <col min="7182" max="7184" width="9.140625" style="161" customWidth="1"/>
    <col min="7185" max="7185" width="14.85546875" style="161" customWidth="1"/>
    <col min="7186" max="7186" width="13.85546875" style="161" customWidth="1"/>
    <col min="7187" max="7408" width="9.140625" style="161" customWidth="1"/>
    <col min="7409" max="7409" width="9" style="161"/>
    <col min="7410" max="7410" width="6.5703125" style="161" customWidth="1"/>
    <col min="7411" max="7411" width="79.5703125" style="161" customWidth="1"/>
    <col min="7412" max="7412" width="23.5703125" style="161" customWidth="1"/>
    <col min="7413" max="7413" width="27.85546875" style="161" customWidth="1"/>
    <col min="7414" max="7414" width="22.28515625" style="161" customWidth="1"/>
    <col min="7415" max="7415" width="23.5703125" style="161" customWidth="1"/>
    <col min="7416" max="7416" width="39" style="161" customWidth="1"/>
    <col min="7417" max="7417" width="36.42578125" style="161" customWidth="1"/>
    <col min="7418" max="7418" width="8" style="161" customWidth="1"/>
    <col min="7419" max="7419" width="15.5703125" style="161" customWidth="1"/>
    <col min="7420" max="7420" width="17.28515625" style="161" customWidth="1"/>
    <col min="7421" max="7421" width="18.85546875" style="161" customWidth="1"/>
    <col min="7422" max="7422" width="81" style="161" customWidth="1"/>
    <col min="7423" max="7423" width="14.85546875" style="161" customWidth="1"/>
    <col min="7424" max="7424" width="15.7109375" style="161" customWidth="1"/>
    <col min="7425" max="7425" width="17.5703125" style="161" customWidth="1"/>
    <col min="7426" max="7426" width="18.42578125" style="161" customWidth="1"/>
    <col min="7427" max="7427" width="16.5703125" style="161" customWidth="1"/>
    <col min="7428" max="7428" width="17.7109375" style="161" customWidth="1"/>
    <col min="7429" max="7429" width="17.85546875" style="161" customWidth="1"/>
    <col min="7430" max="7430" width="18.42578125" style="161" customWidth="1"/>
    <col min="7431" max="7431" width="15.42578125" style="161" customWidth="1"/>
    <col min="7432" max="7432" width="14.5703125" style="161" customWidth="1"/>
    <col min="7433" max="7433" width="15" style="161" customWidth="1"/>
    <col min="7434" max="7434" width="6.7109375" style="161" customWidth="1"/>
    <col min="7435" max="7435" width="14.28515625" style="161" customWidth="1"/>
    <col min="7436" max="7436" width="17.5703125" style="161" customWidth="1"/>
    <col min="7437" max="7437" width="27.7109375" style="161" customWidth="1"/>
    <col min="7438" max="7440" width="9.140625" style="161" customWidth="1"/>
    <col min="7441" max="7441" width="14.85546875" style="161" customWidth="1"/>
    <col min="7442" max="7442" width="13.85546875" style="161" customWidth="1"/>
    <col min="7443" max="7664" width="9.140625" style="161" customWidth="1"/>
    <col min="7665" max="7665" width="9" style="161"/>
    <col min="7666" max="7666" width="6.5703125" style="161" customWidth="1"/>
    <col min="7667" max="7667" width="79.5703125" style="161" customWidth="1"/>
    <col min="7668" max="7668" width="23.5703125" style="161" customWidth="1"/>
    <col min="7669" max="7669" width="27.85546875" style="161" customWidth="1"/>
    <col min="7670" max="7670" width="22.28515625" style="161" customWidth="1"/>
    <col min="7671" max="7671" width="23.5703125" style="161" customWidth="1"/>
    <col min="7672" max="7672" width="39" style="161" customWidth="1"/>
    <col min="7673" max="7673" width="36.42578125" style="161" customWidth="1"/>
    <col min="7674" max="7674" width="8" style="161" customWidth="1"/>
    <col min="7675" max="7675" width="15.5703125" style="161" customWidth="1"/>
    <col min="7676" max="7676" width="17.28515625" style="161" customWidth="1"/>
    <col min="7677" max="7677" width="18.85546875" style="161" customWidth="1"/>
    <col min="7678" max="7678" width="81" style="161" customWidth="1"/>
    <col min="7679" max="7679" width="14.85546875" style="161" customWidth="1"/>
    <col min="7680" max="7680" width="15.7109375" style="161" customWidth="1"/>
    <col min="7681" max="7681" width="17.5703125" style="161" customWidth="1"/>
    <col min="7682" max="7682" width="18.42578125" style="161" customWidth="1"/>
    <col min="7683" max="7683" width="16.5703125" style="161" customWidth="1"/>
    <col min="7684" max="7684" width="17.7109375" style="161" customWidth="1"/>
    <col min="7685" max="7685" width="17.85546875" style="161" customWidth="1"/>
    <col min="7686" max="7686" width="18.42578125" style="161" customWidth="1"/>
    <col min="7687" max="7687" width="15.42578125" style="161" customWidth="1"/>
    <col min="7688" max="7688" width="14.5703125" style="161" customWidth="1"/>
    <col min="7689" max="7689" width="15" style="161" customWidth="1"/>
    <col min="7690" max="7690" width="6.7109375" style="161" customWidth="1"/>
    <col min="7691" max="7691" width="14.28515625" style="161" customWidth="1"/>
    <col min="7692" max="7692" width="17.5703125" style="161" customWidth="1"/>
    <col min="7693" max="7693" width="27.7109375" style="161" customWidth="1"/>
    <col min="7694" max="7696" width="9.140625" style="161" customWidth="1"/>
    <col min="7697" max="7697" width="14.85546875" style="161" customWidth="1"/>
    <col min="7698" max="7698" width="13.85546875" style="161" customWidth="1"/>
    <col min="7699" max="7920" width="9.140625" style="161" customWidth="1"/>
    <col min="7921" max="7921" width="9" style="161"/>
    <col min="7922" max="7922" width="6.5703125" style="161" customWidth="1"/>
    <col min="7923" max="7923" width="79.5703125" style="161" customWidth="1"/>
    <col min="7924" max="7924" width="23.5703125" style="161" customWidth="1"/>
    <col min="7925" max="7925" width="27.85546875" style="161" customWidth="1"/>
    <col min="7926" max="7926" width="22.28515625" style="161" customWidth="1"/>
    <col min="7927" max="7927" width="23.5703125" style="161" customWidth="1"/>
    <col min="7928" max="7928" width="39" style="161" customWidth="1"/>
    <col min="7929" max="7929" width="36.42578125" style="161" customWidth="1"/>
    <col min="7930" max="7930" width="8" style="161" customWidth="1"/>
    <col min="7931" max="7931" width="15.5703125" style="161" customWidth="1"/>
    <col min="7932" max="7932" width="17.28515625" style="161" customWidth="1"/>
    <col min="7933" max="7933" width="18.85546875" style="161" customWidth="1"/>
    <col min="7934" max="7934" width="81" style="161" customWidth="1"/>
    <col min="7935" max="7935" width="14.85546875" style="161" customWidth="1"/>
    <col min="7936" max="7936" width="15.7109375" style="161" customWidth="1"/>
    <col min="7937" max="7937" width="17.5703125" style="161" customWidth="1"/>
    <col min="7938" max="7938" width="18.42578125" style="161" customWidth="1"/>
    <col min="7939" max="7939" width="16.5703125" style="161" customWidth="1"/>
    <col min="7940" max="7940" width="17.7109375" style="161" customWidth="1"/>
    <col min="7941" max="7941" width="17.85546875" style="161" customWidth="1"/>
    <col min="7942" max="7942" width="18.42578125" style="161" customWidth="1"/>
    <col min="7943" max="7943" width="15.42578125" style="161" customWidth="1"/>
    <col min="7944" max="7944" width="14.5703125" style="161" customWidth="1"/>
    <col min="7945" max="7945" width="15" style="161" customWidth="1"/>
    <col min="7946" max="7946" width="6.7109375" style="161" customWidth="1"/>
    <col min="7947" max="7947" width="14.28515625" style="161" customWidth="1"/>
    <col min="7948" max="7948" width="17.5703125" style="161" customWidth="1"/>
    <col min="7949" max="7949" width="27.7109375" style="161" customWidth="1"/>
    <col min="7950" max="7952" width="9.140625" style="161" customWidth="1"/>
    <col min="7953" max="7953" width="14.85546875" style="161" customWidth="1"/>
    <col min="7954" max="7954" width="13.85546875" style="161" customWidth="1"/>
    <col min="7955" max="8176" width="9.140625" style="161" customWidth="1"/>
    <col min="8177" max="8177" width="9" style="161"/>
    <col min="8178" max="8178" width="6.5703125" style="161" customWidth="1"/>
    <col min="8179" max="8179" width="79.5703125" style="161" customWidth="1"/>
    <col min="8180" max="8180" width="23.5703125" style="161" customWidth="1"/>
    <col min="8181" max="8181" width="27.85546875" style="161" customWidth="1"/>
    <col min="8182" max="8182" width="22.28515625" style="161" customWidth="1"/>
    <col min="8183" max="8183" width="23.5703125" style="161" customWidth="1"/>
    <col min="8184" max="8184" width="39" style="161" customWidth="1"/>
    <col min="8185" max="8185" width="36.42578125" style="161" customWidth="1"/>
    <col min="8186" max="8186" width="8" style="161" customWidth="1"/>
    <col min="8187" max="8187" width="15.5703125" style="161" customWidth="1"/>
    <col min="8188" max="8188" width="17.28515625" style="161" customWidth="1"/>
    <col min="8189" max="8189" width="18.85546875" style="161" customWidth="1"/>
    <col min="8190" max="8190" width="81" style="161" customWidth="1"/>
    <col min="8191" max="8191" width="14.85546875" style="161" customWidth="1"/>
    <col min="8192" max="8192" width="15.7109375" style="161" customWidth="1"/>
    <col min="8193" max="8193" width="17.5703125" style="161" customWidth="1"/>
    <col min="8194" max="8194" width="18.42578125" style="161" customWidth="1"/>
    <col min="8195" max="8195" width="16.5703125" style="161" customWidth="1"/>
    <col min="8196" max="8196" width="17.7109375" style="161" customWidth="1"/>
    <col min="8197" max="8197" width="17.85546875" style="161" customWidth="1"/>
    <col min="8198" max="8198" width="18.42578125" style="161" customWidth="1"/>
    <col min="8199" max="8199" width="15.42578125" style="161" customWidth="1"/>
    <col min="8200" max="8200" width="14.5703125" style="161" customWidth="1"/>
    <col min="8201" max="8201" width="15" style="161" customWidth="1"/>
    <col min="8202" max="8202" width="6.7109375" style="161" customWidth="1"/>
    <col min="8203" max="8203" width="14.28515625" style="161" customWidth="1"/>
    <col min="8204" max="8204" width="17.5703125" style="161" customWidth="1"/>
    <col min="8205" max="8205" width="27.7109375" style="161" customWidth="1"/>
    <col min="8206" max="8208" width="9.140625" style="161" customWidth="1"/>
    <col min="8209" max="8209" width="14.85546875" style="161" customWidth="1"/>
    <col min="8210" max="8210" width="13.85546875" style="161" customWidth="1"/>
    <col min="8211" max="8432" width="9.140625" style="161" customWidth="1"/>
    <col min="8433" max="8433" width="9" style="161"/>
    <col min="8434" max="8434" width="6.5703125" style="161" customWidth="1"/>
    <col min="8435" max="8435" width="79.5703125" style="161" customWidth="1"/>
    <col min="8436" max="8436" width="23.5703125" style="161" customWidth="1"/>
    <col min="8437" max="8437" width="27.85546875" style="161" customWidth="1"/>
    <col min="8438" max="8438" width="22.28515625" style="161" customWidth="1"/>
    <col min="8439" max="8439" width="23.5703125" style="161" customWidth="1"/>
    <col min="8440" max="8440" width="39" style="161" customWidth="1"/>
    <col min="8441" max="8441" width="36.42578125" style="161" customWidth="1"/>
    <col min="8442" max="8442" width="8" style="161" customWidth="1"/>
    <col min="8443" max="8443" width="15.5703125" style="161" customWidth="1"/>
    <col min="8444" max="8444" width="17.28515625" style="161" customWidth="1"/>
    <col min="8445" max="8445" width="18.85546875" style="161" customWidth="1"/>
    <col min="8446" max="8446" width="81" style="161" customWidth="1"/>
    <col min="8447" max="8447" width="14.85546875" style="161" customWidth="1"/>
    <col min="8448" max="8448" width="15.7109375" style="161" customWidth="1"/>
    <col min="8449" max="8449" width="17.5703125" style="161" customWidth="1"/>
    <col min="8450" max="8450" width="18.42578125" style="161" customWidth="1"/>
    <col min="8451" max="8451" width="16.5703125" style="161" customWidth="1"/>
    <col min="8452" max="8452" width="17.7109375" style="161" customWidth="1"/>
    <col min="8453" max="8453" width="17.85546875" style="161" customWidth="1"/>
    <col min="8454" max="8454" width="18.42578125" style="161" customWidth="1"/>
    <col min="8455" max="8455" width="15.42578125" style="161" customWidth="1"/>
    <col min="8456" max="8456" width="14.5703125" style="161" customWidth="1"/>
    <col min="8457" max="8457" width="15" style="161" customWidth="1"/>
    <col min="8458" max="8458" width="6.7109375" style="161" customWidth="1"/>
    <col min="8459" max="8459" width="14.28515625" style="161" customWidth="1"/>
    <col min="8460" max="8460" width="17.5703125" style="161" customWidth="1"/>
    <col min="8461" max="8461" width="27.7109375" style="161" customWidth="1"/>
    <col min="8462" max="8464" width="9.140625" style="161" customWidth="1"/>
    <col min="8465" max="8465" width="14.85546875" style="161" customWidth="1"/>
    <col min="8466" max="8466" width="13.85546875" style="161" customWidth="1"/>
    <col min="8467" max="8688" width="9.140625" style="161" customWidth="1"/>
    <col min="8689" max="8689" width="9" style="161"/>
    <col min="8690" max="8690" width="6.5703125" style="161" customWidth="1"/>
    <col min="8691" max="8691" width="79.5703125" style="161" customWidth="1"/>
    <col min="8692" max="8692" width="23.5703125" style="161" customWidth="1"/>
    <col min="8693" max="8693" width="27.85546875" style="161" customWidth="1"/>
    <col min="8694" max="8694" width="22.28515625" style="161" customWidth="1"/>
    <col min="8695" max="8695" width="23.5703125" style="161" customWidth="1"/>
    <col min="8696" max="8696" width="39" style="161" customWidth="1"/>
    <col min="8697" max="8697" width="36.42578125" style="161" customWidth="1"/>
    <col min="8698" max="8698" width="8" style="161" customWidth="1"/>
    <col min="8699" max="8699" width="15.5703125" style="161" customWidth="1"/>
    <col min="8700" max="8700" width="17.28515625" style="161" customWidth="1"/>
    <col min="8701" max="8701" width="18.85546875" style="161" customWidth="1"/>
    <col min="8702" max="8702" width="81" style="161" customWidth="1"/>
    <col min="8703" max="8703" width="14.85546875" style="161" customWidth="1"/>
    <col min="8704" max="8704" width="15.7109375" style="161" customWidth="1"/>
    <col min="8705" max="8705" width="17.5703125" style="161" customWidth="1"/>
    <col min="8706" max="8706" width="18.42578125" style="161" customWidth="1"/>
    <col min="8707" max="8707" width="16.5703125" style="161" customWidth="1"/>
    <col min="8708" max="8708" width="17.7109375" style="161" customWidth="1"/>
    <col min="8709" max="8709" width="17.85546875" style="161" customWidth="1"/>
    <col min="8710" max="8710" width="18.42578125" style="161" customWidth="1"/>
    <col min="8711" max="8711" width="15.42578125" style="161" customWidth="1"/>
    <col min="8712" max="8712" width="14.5703125" style="161" customWidth="1"/>
    <col min="8713" max="8713" width="15" style="161" customWidth="1"/>
    <col min="8714" max="8714" width="6.7109375" style="161" customWidth="1"/>
    <col min="8715" max="8715" width="14.28515625" style="161" customWidth="1"/>
    <col min="8716" max="8716" width="17.5703125" style="161" customWidth="1"/>
    <col min="8717" max="8717" width="27.7109375" style="161" customWidth="1"/>
    <col min="8718" max="8720" width="9.140625" style="161" customWidth="1"/>
    <col min="8721" max="8721" width="14.85546875" style="161" customWidth="1"/>
    <col min="8722" max="8722" width="13.85546875" style="161" customWidth="1"/>
    <col min="8723" max="8944" width="9.140625" style="161" customWidth="1"/>
    <col min="8945" max="8945" width="9" style="161"/>
    <col min="8946" max="8946" width="6.5703125" style="161" customWidth="1"/>
    <col min="8947" max="8947" width="79.5703125" style="161" customWidth="1"/>
    <col min="8948" max="8948" width="23.5703125" style="161" customWidth="1"/>
    <col min="8949" max="8949" width="27.85546875" style="161" customWidth="1"/>
    <col min="8950" max="8950" width="22.28515625" style="161" customWidth="1"/>
    <col min="8951" max="8951" width="23.5703125" style="161" customWidth="1"/>
    <col min="8952" max="8952" width="39" style="161" customWidth="1"/>
    <col min="8953" max="8953" width="36.42578125" style="161" customWidth="1"/>
    <col min="8954" max="8954" width="8" style="161" customWidth="1"/>
    <col min="8955" max="8955" width="15.5703125" style="161" customWidth="1"/>
    <col min="8956" max="8956" width="17.28515625" style="161" customWidth="1"/>
    <col min="8957" max="8957" width="18.85546875" style="161" customWidth="1"/>
    <col min="8958" max="8958" width="81" style="161" customWidth="1"/>
    <col min="8959" max="8959" width="14.85546875" style="161" customWidth="1"/>
    <col min="8960" max="8960" width="15.7109375" style="161" customWidth="1"/>
    <col min="8961" max="8961" width="17.5703125" style="161" customWidth="1"/>
    <col min="8962" max="8962" width="18.42578125" style="161" customWidth="1"/>
    <col min="8963" max="8963" width="16.5703125" style="161" customWidth="1"/>
    <col min="8964" max="8964" width="17.7109375" style="161" customWidth="1"/>
    <col min="8965" max="8965" width="17.85546875" style="161" customWidth="1"/>
    <col min="8966" max="8966" width="18.42578125" style="161" customWidth="1"/>
    <col min="8967" max="8967" width="15.42578125" style="161" customWidth="1"/>
    <col min="8968" max="8968" width="14.5703125" style="161" customWidth="1"/>
    <col min="8969" max="8969" width="15" style="161" customWidth="1"/>
    <col min="8970" max="8970" width="6.7109375" style="161" customWidth="1"/>
    <col min="8971" max="8971" width="14.28515625" style="161" customWidth="1"/>
    <col min="8972" max="8972" width="17.5703125" style="161" customWidth="1"/>
    <col min="8973" max="8973" width="27.7109375" style="161" customWidth="1"/>
    <col min="8974" max="8976" width="9.140625" style="161" customWidth="1"/>
    <col min="8977" max="8977" width="14.85546875" style="161" customWidth="1"/>
    <col min="8978" max="8978" width="13.85546875" style="161" customWidth="1"/>
    <col min="8979" max="9200" width="9.140625" style="161" customWidth="1"/>
    <col min="9201" max="9201" width="9" style="161"/>
    <col min="9202" max="9202" width="6.5703125" style="161" customWidth="1"/>
    <col min="9203" max="9203" width="79.5703125" style="161" customWidth="1"/>
    <col min="9204" max="9204" width="23.5703125" style="161" customWidth="1"/>
    <col min="9205" max="9205" width="27.85546875" style="161" customWidth="1"/>
    <col min="9206" max="9206" width="22.28515625" style="161" customWidth="1"/>
    <col min="9207" max="9207" width="23.5703125" style="161" customWidth="1"/>
    <col min="9208" max="9208" width="39" style="161" customWidth="1"/>
    <col min="9209" max="9209" width="36.42578125" style="161" customWidth="1"/>
    <col min="9210" max="9210" width="8" style="161" customWidth="1"/>
    <col min="9211" max="9211" width="15.5703125" style="161" customWidth="1"/>
    <col min="9212" max="9212" width="17.28515625" style="161" customWidth="1"/>
    <col min="9213" max="9213" width="18.85546875" style="161" customWidth="1"/>
    <col min="9214" max="9214" width="81" style="161" customWidth="1"/>
    <col min="9215" max="9215" width="14.85546875" style="161" customWidth="1"/>
    <col min="9216" max="9216" width="15.7109375" style="161" customWidth="1"/>
    <col min="9217" max="9217" width="17.5703125" style="161" customWidth="1"/>
    <col min="9218" max="9218" width="18.42578125" style="161" customWidth="1"/>
    <col min="9219" max="9219" width="16.5703125" style="161" customWidth="1"/>
    <col min="9220" max="9220" width="17.7109375" style="161" customWidth="1"/>
    <col min="9221" max="9221" width="17.85546875" style="161" customWidth="1"/>
    <col min="9222" max="9222" width="18.42578125" style="161" customWidth="1"/>
    <col min="9223" max="9223" width="15.42578125" style="161" customWidth="1"/>
    <col min="9224" max="9224" width="14.5703125" style="161" customWidth="1"/>
    <col min="9225" max="9225" width="15" style="161" customWidth="1"/>
    <col min="9226" max="9226" width="6.7109375" style="161" customWidth="1"/>
    <col min="9227" max="9227" width="14.28515625" style="161" customWidth="1"/>
    <col min="9228" max="9228" width="17.5703125" style="161" customWidth="1"/>
    <col min="9229" max="9229" width="27.7109375" style="161" customWidth="1"/>
    <col min="9230" max="9232" width="9.140625" style="161" customWidth="1"/>
    <col min="9233" max="9233" width="14.85546875" style="161" customWidth="1"/>
    <col min="9234" max="9234" width="13.85546875" style="161" customWidth="1"/>
    <col min="9235" max="9456" width="9.140625" style="161" customWidth="1"/>
    <col min="9457" max="9457" width="9" style="161"/>
    <col min="9458" max="9458" width="6.5703125" style="161" customWidth="1"/>
    <col min="9459" max="9459" width="79.5703125" style="161" customWidth="1"/>
    <col min="9460" max="9460" width="23.5703125" style="161" customWidth="1"/>
    <col min="9461" max="9461" width="27.85546875" style="161" customWidth="1"/>
    <col min="9462" max="9462" width="22.28515625" style="161" customWidth="1"/>
    <col min="9463" max="9463" width="23.5703125" style="161" customWidth="1"/>
    <col min="9464" max="9464" width="39" style="161" customWidth="1"/>
    <col min="9465" max="9465" width="36.42578125" style="161" customWidth="1"/>
    <col min="9466" max="9466" width="8" style="161" customWidth="1"/>
    <col min="9467" max="9467" width="15.5703125" style="161" customWidth="1"/>
    <col min="9468" max="9468" width="17.28515625" style="161" customWidth="1"/>
    <col min="9469" max="9469" width="18.85546875" style="161" customWidth="1"/>
    <col min="9470" max="9470" width="81" style="161" customWidth="1"/>
    <col min="9471" max="9471" width="14.85546875" style="161" customWidth="1"/>
    <col min="9472" max="9472" width="15.7109375" style="161" customWidth="1"/>
    <col min="9473" max="9473" width="17.5703125" style="161" customWidth="1"/>
    <col min="9474" max="9474" width="18.42578125" style="161" customWidth="1"/>
    <col min="9475" max="9475" width="16.5703125" style="161" customWidth="1"/>
    <col min="9476" max="9476" width="17.7109375" style="161" customWidth="1"/>
    <col min="9477" max="9477" width="17.85546875" style="161" customWidth="1"/>
    <col min="9478" max="9478" width="18.42578125" style="161" customWidth="1"/>
    <col min="9479" max="9479" width="15.42578125" style="161" customWidth="1"/>
    <col min="9480" max="9480" width="14.5703125" style="161" customWidth="1"/>
    <col min="9481" max="9481" width="15" style="161" customWidth="1"/>
    <col min="9482" max="9482" width="6.7109375" style="161" customWidth="1"/>
    <col min="9483" max="9483" width="14.28515625" style="161" customWidth="1"/>
    <col min="9484" max="9484" width="17.5703125" style="161" customWidth="1"/>
    <col min="9485" max="9485" width="27.7109375" style="161" customWidth="1"/>
    <col min="9486" max="9488" width="9.140625" style="161" customWidth="1"/>
    <col min="9489" max="9489" width="14.85546875" style="161" customWidth="1"/>
    <col min="9490" max="9490" width="13.85546875" style="161" customWidth="1"/>
    <col min="9491" max="9712" width="9.140625" style="161" customWidth="1"/>
    <col min="9713" max="9713" width="9" style="161"/>
    <col min="9714" max="9714" width="6.5703125" style="161" customWidth="1"/>
    <col min="9715" max="9715" width="79.5703125" style="161" customWidth="1"/>
    <col min="9716" max="9716" width="23.5703125" style="161" customWidth="1"/>
    <col min="9717" max="9717" width="27.85546875" style="161" customWidth="1"/>
    <col min="9718" max="9718" width="22.28515625" style="161" customWidth="1"/>
    <col min="9719" max="9719" width="23.5703125" style="161" customWidth="1"/>
    <col min="9720" max="9720" width="39" style="161" customWidth="1"/>
    <col min="9721" max="9721" width="36.42578125" style="161" customWidth="1"/>
    <col min="9722" max="9722" width="8" style="161" customWidth="1"/>
    <col min="9723" max="9723" width="15.5703125" style="161" customWidth="1"/>
    <col min="9724" max="9724" width="17.28515625" style="161" customWidth="1"/>
    <col min="9725" max="9725" width="18.85546875" style="161" customWidth="1"/>
    <col min="9726" max="9726" width="81" style="161" customWidth="1"/>
    <col min="9727" max="9727" width="14.85546875" style="161" customWidth="1"/>
    <col min="9728" max="9728" width="15.7109375" style="161" customWidth="1"/>
    <col min="9729" max="9729" width="17.5703125" style="161" customWidth="1"/>
    <col min="9730" max="9730" width="18.42578125" style="161" customWidth="1"/>
    <col min="9731" max="9731" width="16.5703125" style="161" customWidth="1"/>
    <col min="9732" max="9732" width="17.7109375" style="161" customWidth="1"/>
    <col min="9733" max="9733" width="17.85546875" style="161" customWidth="1"/>
    <col min="9734" max="9734" width="18.42578125" style="161" customWidth="1"/>
    <col min="9735" max="9735" width="15.42578125" style="161" customWidth="1"/>
    <col min="9736" max="9736" width="14.5703125" style="161" customWidth="1"/>
    <col min="9737" max="9737" width="15" style="161" customWidth="1"/>
    <col min="9738" max="9738" width="6.7109375" style="161" customWidth="1"/>
    <col min="9739" max="9739" width="14.28515625" style="161" customWidth="1"/>
    <col min="9740" max="9740" width="17.5703125" style="161" customWidth="1"/>
    <col min="9741" max="9741" width="27.7109375" style="161" customWidth="1"/>
    <col min="9742" max="9744" width="9.140625" style="161" customWidth="1"/>
    <col min="9745" max="9745" width="14.85546875" style="161" customWidth="1"/>
    <col min="9746" max="9746" width="13.85546875" style="161" customWidth="1"/>
    <col min="9747" max="9968" width="9.140625" style="161" customWidth="1"/>
    <col min="9969" max="9969" width="9" style="161"/>
    <col min="9970" max="9970" width="6.5703125" style="161" customWidth="1"/>
    <col min="9971" max="9971" width="79.5703125" style="161" customWidth="1"/>
    <col min="9972" max="9972" width="23.5703125" style="161" customWidth="1"/>
    <col min="9973" max="9973" width="27.85546875" style="161" customWidth="1"/>
    <col min="9974" max="9974" width="22.28515625" style="161" customWidth="1"/>
    <col min="9975" max="9975" width="23.5703125" style="161" customWidth="1"/>
    <col min="9976" max="9976" width="39" style="161" customWidth="1"/>
    <col min="9977" max="9977" width="36.42578125" style="161" customWidth="1"/>
    <col min="9978" max="9978" width="8" style="161" customWidth="1"/>
    <col min="9979" max="9979" width="15.5703125" style="161" customWidth="1"/>
    <col min="9980" max="9980" width="17.28515625" style="161" customWidth="1"/>
    <col min="9981" max="9981" width="18.85546875" style="161" customWidth="1"/>
    <col min="9982" max="9982" width="81" style="161" customWidth="1"/>
    <col min="9983" max="9983" width="14.85546875" style="161" customWidth="1"/>
    <col min="9984" max="9984" width="15.7109375" style="161" customWidth="1"/>
    <col min="9985" max="9985" width="17.5703125" style="161" customWidth="1"/>
    <col min="9986" max="9986" width="18.42578125" style="161" customWidth="1"/>
    <col min="9987" max="9987" width="16.5703125" style="161" customWidth="1"/>
    <col min="9988" max="9988" width="17.7109375" style="161" customWidth="1"/>
    <col min="9989" max="9989" width="17.85546875" style="161" customWidth="1"/>
    <col min="9990" max="9990" width="18.42578125" style="161" customWidth="1"/>
    <col min="9991" max="9991" width="15.42578125" style="161" customWidth="1"/>
    <col min="9992" max="9992" width="14.5703125" style="161" customWidth="1"/>
    <col min="9993" max="9993" width="15" style="161" customWidth="1"/>
    <col min="9994" max="9994" width="6.7109375" style="161" customWidth="1"/>
    <col min="9995" max="9995" width="14.28515625" style="161" customWidth="1"/>
    <col min="9996" max="9996" width="17.5703125" style="161" customWidth="1"/>
    <col min="9997" max="9997" width="27.7109375" style="161" customWidth="1"/>
    <col min="9998" max="10000" width="9.140625" style="161" customWidth="1"/>
    <col min="10001" max="10001" width="14.85546875" style="161" customWidth="1"/>
    <col min="10002" max="10002" width="13.85546875" style="161" customWidth="1"/>
    <col min="10003" max="10224" width="9.140625" style="161" customWidth="1"/>
    <col min="10225" max="10225" width="9" style="161"/>
    <col min="10226" max="10226" width="6.5703125" style="161" customWidth="1"/>
    <col min="10227" max="10227" width="79.5703125" style="161" customWidth="1"/>
    <col min="10228" max="10228" width="23.5703125" style="161" customWidth="1"/>
    <col min="10229" max="10229" width="27.85546875" style="161" customWidth="1"/>
    <col min="10230" max="10230" width="22.28515625" style="161" customWidth="1"/>
    <col min="10231" max="10231" width="23.5703125" style="161" customWidth="1"/>
    <col min="10232" max="10232" width="39" style="161" customWidth="1"/>
    <col min="10233" max="10233" width="36.42578125" style="161" customWidth="1"/>
    <col min="10234" max="10234" width="8" style="161" customWidth="1"/>
    <col min="10235" max="10235" width="15.5703125" style="161" customWidth="1"/>
    <col min="10236" max="10236" width="17.28515625" style="161" customWidth="1"/>
    <col min="10237" max="10237" width="18.85546875" style="161" customWidth="1"/>
    <col min="10238" max="10238" width="81" style="161" customWidth="1"/>
    <col min="10239" max="10239" width="14.85546875" style="161" customWidth="1"/>
    <col min="10240" max="10240" width="15.7109375" style="161" customWidth="1"/>
    <col min="10241" max="10241" width="17.5703125" style="161" customWidth="1"/>
    <col min="10242" max="10242" width="18.42578125" style="161" customWidth="1"/>
    <col min="10243" max="10243" width="16.5703125" style="161" customWidth="1"/>
    <col min="10244" max="10244" width="17.7109375" style="161" customWidth="1"/>
    <col min="10245" max="10245" width="17.85546875" style="161" customWidth="1"/>
    <col min="10246" max="10246" width="18.42578125" style="161" customWidth="1"/>
    <col min="10247" max="10247" width="15.42578125" style="161" customWidth="1"/>
    <col min="10248" max="10248" width="14.5703125" style="161" customWidth="1"/>
    <col min="10249" max="10249" width="15" style="161" customWidth="1"/>
    <col min="10250" max="10250" width="6.7109375" style="161" customWidth="1"/>
    <col min="10251" max="10251" width="14.28515625" style="161" customWidth="1"/>
    <col min="10252" max="10252" width="17.5703125" style="161" customWidth="1"/>
    <col min="10253" max="10253" width="27.7109375" style="161" customWidth="1"/>
    <col min="10254" max="10256" width="9.140625" style="161" customWidth="1"/>
    <col min="10257" max="10257" width="14.85546875" style="161" customWidth="1"/>
    <col min="10258" max="10258" width="13.85546875" style="161" customWidth="1"/>
    <col min="10259" max="10480" width="9.140625" style="161" customWidth="1"/>
    <col min="10481" max="10481" width="9" style="161"/>
    <col min="10482" max="10482" width="6.5703125" style="161" customWidth="1"/>
    <col min="10483" max="10483" width="79.5703125" style="161" customWidth="1"/>
    <col min="10484" max="10484" width="23.5703125" style="161" customWidth="1"/>
    <col min="10485" max="10485" width="27.85546875" style="161" customWidth="1"/>
    <col min="10486" max="10486" width="22.28515625" style="161" customWidth="1"/>
    <col min="10487" max="10487" width="23.5703125" style="161" customWidth="1"/>
    <col min="10488" max="10488" width="39" style="161" customWidth="1"/>
    <col min="10489" max="10489" width="36.42578125" style="161" customWidth="1"/>
    <col min="10490" max="10490" width="8" style="161" customWidth="1"/>
    <col min="10491" max="10491" width="15.5703125" style="161" customWidth="1"/>
    <col min="10492" max="10492" width="17.28515625" style="161" customWidth="1"/>
    <col min="10493" max="10493" width="18.85546875" style="161" customWidth="1"/>
    <col min="10494" max="10494" width="81" style="161" customWidth="1"/>
    <col min="10495" max="10495" width="14.85546875" style="161" customWidth="1"/>
    <col min="10496" max="10496" width="15.7109375" style="161" customWidth="1"/>
    <col min="10497" max="10497" width="17.5703125" style="161" customWidth="1"/>
    <col min="10498" max="10498" width="18.42578125" style="161" customWidth="1"/>
    <col min="10499" max="10499" width="16.5703125" style="161" customWidth="1"/>
    <col min="10500" max="10500" width="17.7109375" style="161" customWidth="1"/>
    <col min="10501" max="10501" width="17.85546875" style="161" customWidth="1"/>
    <col min="10502" max="10502" width="18.42578125" style="161" customWidth="1"/>
    <col min="10503" max="10503" width="15.42578125" style="161" customWidth="1"/>
    <col min="10504" max="10504" width="14.5703125" style="161" customWidth="1"/>
    <col min="10505" max="10505" width="15" style="161" customWidth="1"/>
    <col min="10506" max="10506" width="6.7109375" style="161" customWidth="1"/>
    <col min="10507" max="10507" width="14.28515625" style="161" customWidth="1"/>
    <col min="10508" max="10508" width="17.5703125" style="161" customWidth="1"/>
    <col min="10509" max="10509" width="27.7109375" style="161" customWidth="1"/>
    <col min="10510" max="10512" width="9.140625" style="161" customWidth="1"/>
    <col min="10513" max="10513" width="14.85546875" style="161" customWidth="1"/>
    <col min="10514" max="10514" width="13.85546875" style="161" customWidth="1"/>
    <col min="10515" max="10736" width="9.140625" style="161" customWidth="1"/>
    <col min="10737" max="10737" width="9" style="161"/>
    <col min="10738" max="10738" width="6.5703125" style="161" customWidth="1"/>
    <col min="10739" max="10739" width="79.5703125" style="161" customWidth="1"/>
    <col min="10740" max="10740" width="23.5703125" style="161" customWidth="1"/>
    <col min="10741" max="10741" width="27.85546875" style="161" customWidth="1"/>
    <col min="10742" max="10742" width="22.28515625" style="161" customWidth="1"/>
    <col min="10743" max="10743" width="23.5703125" style="161" customWidth="1"/>
    <col min="10744" max="10744" width="39" style="161" customWidth="1"/>
    <col min="10745" max="10745" width="36.42578125" style="161" customWidth="1"/>
    <col min="10746" max="10746" width="8" style="161" customWidth="1"/>
    <col min="10747" max="10747" width="15.5703125" style="161" customWidth="1"/>
    <col min="10748" max="10748" width="17.28515625" style="161" customWidth="1"/>
    <col min="10749" max="10749" width="18.85546875" style="161" customWidth="1"/>
    <col min="10750" max="10750" width="81" style="161" customWidth="1"/>
    <col min="10751" max="10751" width="14.85546875" style="161" customWidth="1"/>
    <col min="10752" max="10752" width="15.7109375" style="161" customWidth="1"/>
    <col min="10753" max="10753" width="17.5703125" style="161" customWidth="1"/>
    <col min="10754" max="10754" width="18.42578125" style="161" customWidth="1"/>
    <col min="10755" max="10755" width="16.5703125" style="161" customWidth="1"/>
    <col min="10756" max="10756" width="17.7109375" style="161" customWidth="1"/>
    <col min="10757" max="10757" width="17.85546875" style="161" customWidth="1"/>
    <col min="10758" max="10758" width="18.42578125" style="161" customWidth="1"/>
    <col min="10759" max="10759" width="15.42578125" style="161" customWidth="1"/>
    <col min="10760" max="10760" width="14.5703125" style="161" customWidth="1"/>
    <col min="10761" max="10761" width="15" style="161" customWidth="1"/>
    <col min="10762" max="10762" width="6.7109375" style="161" customWidth="1"/>
    <col min="10763" max="10763" width="14.28515625" style="161" customWidth="1"/>
    <col min="10764" max="10764" width="17.5703125" style="161" customWidth="1"/>
    <col min="10765" max="10765" width="27.7109375" style="161" customWidth="1"/>
    <col min="10766" max="10768" width="9.140625" style="161" customWidth="1"/>
    <col min="10769" max="10769" width="14.85546875" style="161" customWidth="1"/>
    <col min="10770" max="10770" width="13.85546875" style="161" customWidth="1"/>
    <col min="10771" max="10992" width="9.140625" style="161" customWidth="1"/>
    <col min="10993" max="10993" width="9" style="161"/>
    <col min="10994" max="10994" width="6.5703125" style="161" customWidth="1"/>
    <col min="10995" max="10995" width="79.5703125" style="161" customWidth="1"/>
    <col min="10996" max="10996" width="23.5703125" style="161" customWidth="1"/>
    <col min="10997" max="10997" width="27.85546875" style="161" customWidth="1"/>
    <col min="10998" max="10998" width="22.28515625" style="161" customWidth="1"/>
    <col min="10999" max="10999" width="23.5703125" style="161" customWidth="1"/>
    <col min="11000" max="11000" width="39" style="161" customWidth="1"/>
    <col min="11001" max="11001" width="36.42578125" style="161" customWidth="1"/>
    <col min="11002" max="11002" width="8" style="161" customWidth="1"/>
    <col min="11003" max="11003" width="15.5703125" style="161" customWidth="1"/>
    <col min="11004" max="11004" width="17.28515625" style="161" customWidth="1"/>
    <col min="11005" max="11005" width="18.85546875" style="161" customWidth="1"/>
    <col min="11006" max="11006" width="81" style="161" customWidth="1"/>
    <col min="11007" max="11007" width="14.85546875" style="161" customWidth="1"/>
    <col min="11008" max="11008" width="15.7109375" style="161" customWidth="1"/>
    <col min="11009" max="11009" width="17.5703125" style="161" customWidth="1"/>
    <col min="11010" max="11010" width="18.42578125" style="161" customWidth="1"/>
    <col min="11011" max="11011" width="16.5703125" style="161" customWidth="1"/>
    <col min="11012" max="11012" width="17.7109375" style="161" customWidth="1"/>
    <col min="11013" max="11013" width="17.85546875" style="161" customWidth="1"/>
    <col min="11014" max="11014" width="18.42578125" style="161" customWidth="1"/>
    <col min="11015" max="11015" width="15.42578125" style="161" customWidth="1"/>
    <col min="11016" max="11016" width="14.5703125" style="161" customWidth="1"/>
    <col min="11017" max="11017" width="15" style="161" customWidth="1"/>
    <col min="11018" max="11018" width="6.7109375" style="161" customWidth="1"/>
    <col min="11019" max="11019" width="14.28515625" style="161" customWidth="1"/>
    <col min="11020" max="11020" width="17.5703125" style="161" customWidth="1"/>
    <col min="11021" max="11021" width="27.7109375" style="161" customWidth="1"/>
    <col min="11022" max="11024" width="9.140625" style="161" customWidth="1"/>
    <col min="11025" max="11025" width="14.85546875" style="161" customWidth="1"/>
    <col min="11026" max="11026" width="13.85546875" style="161" customWidth="1"/>
    <col min="11027" max="11248" width="9.140625" style="161" customWidth="1"/>
    <col min="11249" max="11249" width="9" style="161"/>
    <col min="11250" max="11250" width="6.5703125" style="161" customWidth="1"/>
    <col min="11251" max="11251" width="79.5703125" style="161" customWidth="1"/>
    <col min="11252" max="11252" width="23.5703125" style="161" customWidth="1"/>
    <col min="11253" max="11253" width="27.85546875" style="161" customWidth="1"/>
    <col min="11254" max="11254" width="22.28515625" style="161" customWidth="1"/>
    <col min="11255" max="11255" width="23.5703125" style="161" customWidth="1"/>
    <col min="11256" max="11256" width="39" style="161" customWidth="1"/>
    <col min="11257" max="11257" width="36.42578125" style="161" customWidth="1"/>
    <col min="11258" max="11258" width="8" style="161" customWidth="1"/>
    <col min="11259" max="11259" width="15.5703125" style="161" customWidth="1"/>
    <col min="11260" max="11260" width="17.28515625" style="161" customWidth="1"/>
    <col min="11261" max="11261" width="18.85546875" style="161" customWidth="1"/>
    <col min="11262" max="11262" width="81" style="161" customWidth="1"/>
    <col min="11263" max="11263" width="14.85546875" style="161" customWidth="1"/>
    <col min="11264" max="11264" width="15.7109375" style="161" customWidth="1"/>
    <col min="11265" max="11265" width="17.5703125" style="161" customWidth="1"/>
    <col min="11266" max="11266" width="18.42578125" style="161" customWidth="1"/>
    <col min="11267" max="11267" width="16.5703125" style="161" customWidth="1"/>
    <col min="11268" max="11268" width="17.7109375" style="161" customWidth="1"/>
    <col min="11269" max="11269" width="17.85546875" style="161" customWidth="1"/>
    <col min="11270" max="11270" width="18.42578125" style="161" customWidth="1"/>
    <col min="11271" max="11271" width="15.42578125" style="161" customWidth="1"/>
    <col min="11272" max="11272" width="14.5703125" style="161" customWidth="1"/>
    <col min="11273" max="11273" width="15" style="161" customWidth="1"/>
    <col min="11274" max="11274" width="6.7109375" style="161" customWidth="1"/>
    <col min="11275" max="11275" width="14.28515625" style="161" customWidth="1"/>
    <col min="11276" max="11276" width="17.5703125" style="161" customWidth="1"/>
    <col min="11277" max="11277" width="27.7109375" style="161" customWidth="1"/>
    <col min="11278" max="11280" width="9.140625" style="161" customWidth="1"/>
    <col min="11281" max="11281" width="14.85546875" style="161" customWidth="1"/>
    <col min="11282" max="11282" width="13.85546875" style="161" customWidth="1"/>
    <col min="11283" max="11504" width="9.140625" style="161" customWidth="1"/>
    <col min="11505" max="11505" width="9" style="161"/>
    <col min="11506" max="11506" width="6.5703125" style="161" customWidth="1"/>
    <col min="11507" max="11507" width="79.5703125" style="161" customWidth="1"/>
    <col min="11508" max="11508" width="23.5703125" style="161" customWidth="1"/>
    <col min="11509" max="11509" width="27.85546875" style="161" customWidth="1"/>
    <col min="11510" max="11510" width="22.28515625" style="161" customWidth="1"/>
    <col min="11511" max="11511" width="23.5703125" style="161" customWidth="1"/>
    <col min="11512" max="11512" width="39" style="161" customWidth="1"/>
    <col min="11513" max="11513" width="36.42578125" style="161" customWidth="1"/>
    <col min="11514" max="11514" width="8" style="161" customWidth="1"/>
    <col min="11515" max="11515" width="15.5703125" style="161" customWidth="1"/>
    <col min="11516" max="11516" width="17.28515625" style="161" customWidth="1"/>
    <col min="11517" max="11517" width="18.85546875" style="161" customWidth="1"/>
    <col min="11518" max="11518" width="81" style="161" customWidth="1"/>
    <col min="11519" max="11519" width="14.85546875" style="161" customWidth="1"/>
    <col min="11520" max="11520" width="15.7109375" style="161" customWidth="1"/>
    <col min="11521" max="11521" width="17.5703125" style="161" customWidth="1"/>
    <col min="11522" max="11522" width="18.42578125" style="161" customWidth="1"/>
    <col min="11523" max="11523" width="16.5703125" style="161" customWidth="1"/>
    <col min="11524" max="11524" width="17.7109375" style="161" customWidth="1"/>
    <col min="11525" max="11525" width="17.85546875" style="161" customWidth="1"/>
    <col min="11526" max="11526" width="18.42578125" style="161" customWidth="1"/>
    <col min="11527" max="11527" width="15.42578125" style="161" customWidth="1"/>
    <col min="11528" max="11528" width="14.5703125" style="161" customWidth="1"/>
    <col min="11529" max="11529" width="15" style="161" customWidth="1"/>
    <col min="11530" max="11530" width="6.7109375" style="161" customWidth="1"/>
    <col min="11531" max="11531" width="14.28515625" style="161" customWidth="1"/>
    <col min="11532" max="11532" width="17.5703125" style="161" customWidth="1"/>
    <col min="11533" max="11533" width="27.7109375" style="161" customWidth="1"/>
    <col min="11534" max="11536" width="9.140625" style="161" customWidth="1"/>
    <col min="11537" max="11537" width="14.85546875" style="161" customWidth="1"/>
    <col min="11538" max="11538" width="13.85546875" style="161" customWidth="1"/>
    <col min="11539" max="11760" width="9.140625" style="161" customWidth="1"/>
    <col min="11761" max="11761" width="9" style="161"/>
    <col min="11762" max="11762" width="6.5703125" style="161" customWidth="1"/>
    <col min="11763" max="11763" width="79.5703125" style="161" customWidth="1"/>
    <col min="11764" max="11764" width="23.5703125" style="161" customWidth="1"/>
    <col min="11765" max="11765" width="27.85546875" style="161" customWidth="1"/>
    <col min="11766" max="11766" width="22.28515625" style="161" customWidth="1"/>
    <col min="11767" max="11767" width="23.5703125" style="161" customWidth="1"/>
    <col min="11768" max="11768" width="39" style="161" customWidth="1"/>
    <col min="11769" max="11769" width="36.42578125" style="161" customWidth="1"/>
    <col min="11770" max="11770" width="8" style="161" customWidth="1"/>
    <col min="11771" max="11771" width="15.5703125" style="161" customWidth="1"/>
    <col min="11772" max="11772" width="17.28515625" style="161" customWidth="1"/>
    <col min="11773" max="11773" width="18.85546875" style="161" customWidth="1"/>
    <col min="11774" max="11774" width="81" style="161" customWidth="1"/>
    <col min="11775" max="11775" width="14.85546875" style="161" customWidth="1"/>
    <col min="11776" max="11776" width="15.7109375" style="161" customWidth="1"/>
    <col min="11777" max="11777" width="17.5703125" style="161" customWidth="1"/>
    <col min="11778" max="11778" width="18.42578125" style="161" customWidth="1"/>
    <col min="11779" max="11779" width="16.5703125" style="161" customWidth="1"/>
    <col min="11780" max="11780" width="17.7109375" style="161" customWidth="1"/>
    <col min="11781" max="11781" width="17.85546875" style="161" customWidth="1"/>
    <col min="11782" max="11782" width="18.42578125" style="161" customWidth="1"/>
    <col min="11783" max="11783" width="15.42578125" style="161" customWidth="1"/>
    <col min="11784" max="11784" width="14.5703125" style="161" customWidth="1"/>
    <col min="11785" max="11785" width="15" style="161" customWidth="1"/>
    <col min="11786" max="11786" width="6.7109375" style="161" customWidth="1"/>
    <col min="11787" max="11787" width="14.28515625" style="161" customWidth="1"/>
    <col min="11788" max="11788" width="17.5703125" style="161" customWidth="1"/>
    <col min="11789" max="11789" width="27.7109375" style="161" customWidth="1"/>
    <col min="11790" max="11792" width="9.140625" style="161" customWidth="1"/>
    <col min="11793" max="11793" width="14.85546875" style="161" customWidth="1"/>
    <col min="11794" max="11794" width="13.85546875" style="161" customWidth="1"/>
    <col min="11795" max="12016" width="9.140625" style="161" customWidth="1"/>
    <col min="12017" max="12017" width="9" style="161"/>
    <col min="12018" max="12018" width="6.5703125" style="161" customWidth="1"/>
    <col min="12019" max="12019" width="79.5703125" style="161" customWidth="1"/>
    <col min="12020" max="12020" width="23.5703125" style="161" customWidth="1"/>
    <col min="12021" max="12021" width="27.85546875" style="161" customWidth="1"/>
    <col min="12022" max="12022" width="22.28515625" style="161" customWidth="1"/>
    <col min="12023" max="12023" width="23.5703125" style="161" customWidth="1"/>
    <col min="12024" max="12024" width="39" style="161" customWidth="1"/>
    <col min="12025" max="12025" width="36.42578125" style="161" customWidth="1"/>
    <col min="12026" max="12026" width="8" style="161" customWidth="1"/>
    <col min="12027" max="12027" width="15.5703125" style="161" customWidth="1"/>
    <col min="12028" max="12028" width="17.28515625" style="161" customWidth="1"/>
    <col min="12029" max="12029" width="18.85546875" style="161" customWidth="1"/>
    <col min="12030" max="12030" width="81" style="161" customWidth="1"/>
    <col min="12031" max="12031" width="14.85546875" style="161" customWidth="1"/>
    <col min="12032" max="12032" width="15.7109375" style="161" customWidth="1"/>
    <col min="12033" max="12033" width="17.5703125" style="161" customWidth="1"/>
    <col min="12034" max="12034" width="18.42578125" style="161" customWidth="1"/>
    <col min="12035" max="12035" width="16.5703125" style="161" customWidth="1"/>
    <col min="12036" max="12036" width="17.7109375" style="161" customWidth="1"/>
    <col min="12037" max="12037" width="17.85546875" style="161" customWidth="1"/>
    <col min="12038" max="12038" width="18.42578125" style="161" customWidth="1"/>
    <col min="12039" max="12039" width="15.42578125" style="161" customWidth="1"/>
    <col min="12040" max="12040" width="14.5703125" style="161" customWidth="1"/>
    <col min="12041" max="12041" width="15" style="161" customWidth="1"/>
    <col min="12042" max="12042" width="6.7109375" style="161" customWidth="1"/>
    <col min="12043" max="12043" width="14.28515625" style="161" customWidth="1"/>
    <col min="12044" max="12044" width="17.5703125" style="161" customWidth="1"/>
    <col min="12045" max="12045" width="27.7109375" style="161" customWidth="1"/>
    <col min="12046" max="12048" width="9.140625" style="161" customWidth="1"/>
    <col min="12049" max="12049" width="14.85546875" style="161" customWidth="1"/>
    <col min="12050" max="12050" width="13.85546875" style="161" customWidth="1"/>
    <col min="12051" max="12272" width="9.140625" style="161" customWidth="1"/>
    <col min="12273" max="12273" width="9" style="161"/>
    <col min="12274" max="12274" width="6.5703125" style="161" customWidth="1"/>
    <col min="12275" max="12275" width="79.5703125" style="161" customWidth="1"/>
    <col min="12276" max="12276" width="23.5703125" style="161" customWidth="1"/>
    <col min="12277" max="12277" width="27.85546875" style="161" customWidth="1"/>
    <col min="12278" max="12278" width="22.28515625" style="161" customWidth="1"/>
    <col min="12279" max="12279" width="23.5703125" style="161" customWidth="1"/>
    <col min="12280" max="12280" width="39" style="161" customWidth="1"/>
    <col min="12281" max="12281" width="36.42578125" style="161" customWidth="1"/>
    <col min="12282" max="12282" width="8" style="161" customWidth="1"/>
    <col min="12283" max="12283" width="15.5703125" style="161" customWidth="1"/>
    <col min="12284" max="12284" width="17.28515625" style="161" customWidth="1"/>
    <col min="12285" max="12285" width="18.85546875" style="161" customWidth="1"/>
    <col min="12286" max="12286" width="81" style="161" customWidth="1"/>
    <col min="12287" max="12287" width="14.85546875" style="161" customWidth="1"/>
    <col min="12288" max="12288" width="15.7109375" style="161" customWidth="1"/>
    <col min="12289" max="12289" width="17.5703125" style="161" customWidth="1"/>
    <col min="12290" max="12290" width="18.42578125" style="161" customWidth="1"/>
    <col min="12291" max="12291" width="16.5703125" style="161" customWidth="1"/>
    <col min="12292" max="12292" width="17.7109375" style="161" customWidth="1"/>
    <col min="12293" max="12293" width="17.85546875" style="161" customWidth="1"/>
    <col min="12294" max="12294" width="18.42578125" style="161" customWidth="1"/>
    <col min="12295" max="12295" width="15.42578125" style="161" customWidth="1"/>
    <col min="12296" max="12296" width="14.5703125" style="161" customWidth="1"/>
    <col min="12297" max="12297" width="15" style="161" customWidth="1"/>
    <col min="12298" max="12298" width="6.7109375" style="161" customWidth="1"/>
    <col min="12299" max="12299" width="14.28515625" style="161" customWidth="1"/>
    <col min="12300" max="12300" width="17.5703125" style="161" customWidth="1"/>
    <col min="12301" max="12301" width="27.7109375" style="161" customWidth="1"/>
    <col min="12302" max="12304" width="9.140625" style="161" customWidth="1"/>
    <col min="12305" max="12305" width="14.85546875" style="161" customWidth="1"/>
    <col min="12306" max="12306" width="13.85546875" style="161" customWidth="1"/>
    <col min="12307" max="12528" width="9.140625" style="161" customWidth="1"/>
    <col min="12529" max="12529" width="9" style="161"/>
    <col min="12530" max="12530" width="6.5703125" style="161" customWidth="1"/>
    <col min="12531" max="12531" width="79.5703125" style="161" customWidth="1"/>
    <col min="12532" max="12532" width="23.5703125" style="161" customWidth="1"/>
    <col min="12533" max="12533" width="27.85546875" style="161" customWidth="1"/>
    <col min="12534" max="12534" width="22.28515625" style="161" customWidth="1"/>
    <col min="12535" max="12535" width="23.5703125" style="161" customWidth="1"/>
    <col min="12536" max="12536" width="39" style="161" customWidth="1"/>
    <col min="12537" max="12537" width="36.42578125" style="161" customWidth="1"/>
    <col min="12538" max="12538" width="8" style="161" customWidth="1"/>
    <col min="12539" max="12539" width="15.5703125" style="161" customWidth="1"/>
    <col min="12540" max="12540" width="17.28515625" style="161" customWidth="1"/>
    <col min="12541" max="12541" width="18.85546875" style="161" customWidth="1"/>
    <col min="12542" max="12542" width="81" style="161" customWidth="1"/>
    <col min="12543" max="12543" width="14.85546875" style="161" customWidth="1"/>
    <col min="12544" max="12544" width="15.7109375" style="161" customWidth="1"/>
    <col min="12545" max="12545" width="17.5703125" style="161" customWidth="1"/>
    <col min="12546" max="12546" width="18.42578125" style="161" customWidth="1"/>
    <col min="12547" max="12547" width="16.5703125" style="161" customWidth="1"/>
    <col min="12548" max="12548" width="17.7109375" style="161" customWidth="1"/>
    <col min="12549" max="12549" width="17.85546875" style="161" customWidth="1"/>
    <col min="12550" max="12550" width="18.42578125" style="161" customWidth="1"/>
    <col min="12551" max="12551" width="15.42578125" style="161" customWidth="1"/>
    <col min="12552" max="12552" width="14.5703125" style="161" customWidth="1"/>
    <col min="12553" max="12553" width="15" style="161" customWidth="1"/>
    <col min="12554" max="12554" width="6.7109375" style="161" customWidth="1"/>
    <col min="12555" max="12555" width="14.28515625" style="161" customWidth="1"/>
    <col min="12556" max="12556" width="17.5703125" style="161" customWidth="1"/>
    <col min="12557" max="12557" width="27.7109375" style="161" customWidth="1"/>
    <col min="12558" max="12560" width="9.140625" style="161" customWidth="1"/>
    <col min="12561" max="12561" width="14.85546875" style="161" customWidth="1"/>
    <col min="12562" max="12562" width="13.85546875" style="161" customWidth="1"/>
    <col min="12563" max="12784" width="9.140625" style="161" customWidth="1"/>
    <col min="12785" max="12785" width="9" style="161"/>
    <col min="12786" max="12786" width="6.5703125" style="161" customWidth="1"/>
    <col min="12787" max="12787" width="79.5703125" style="161" customWidth="1"/>
    <col min="12788" max="12788" width="23.5703125" style="161" customWidth="1"/>
    <col min="12789" max="12789" width="27.85546875" style="161" customWidth="1"/>
    <col min="12790" max="12790" width="22.28515625" style="161" customWidth="1"/>
    <col min="12791" max="12791" width="23.5703125" style="161" customWidth="1"/>
    <col min="12792" max="12792" width="39" style="161" customWidth="1"/>
    <col min="12793" max="12793" width="36.42578125" style="161" customWidth="1"/>
    <col min="12794" max="12794" width="8" style="161" customWidth="1"/>
    <col min="12795" max="12795" width="15.5703125" style="161" customWidth="1"/>
    <col min="12796" max="12796" width="17.28515625" style="161" customWidth="1"/>
    <col min="12797" max="12797" width="18.85546875" style="161" customWidth="1"/>
    <col min="12798" max="12798" width="81" style="161" customWidth="1"/>
    <col min="12799" max="12799" width="14.85546875" style="161" customWidth="1"/>
    <col min="12800" max="12800" width="15.7109375" style="161" customWidth="1"/>
    <col min="12801" max="12801" width="17.5703125" style="161" customWidth="1"/>
    <col min="12802" max="12802" width="18.42578125" style="161" customWidth="1"/>
    <col min="12803" max="12803" width="16.5703125" style="161" customWidth="1"/>
    <col min="12804" max="12804" width="17.7109375" style="161" customWidth="1"/>
    <col min="12805" max="12805" width="17.85546875" style="161" customWidth="1"/>
    <col min="12806" max="12806" width="18.42578125" style="161" customWidth="1"/>
    <col min="12807" max="12807" width="15.42578125" style="161" customWidth="1"/>
    <col min="12808" max="12808" width="14.5703125" style="161" customWidth="1"/>
    <col min="12809" max="12809" width="15" style="161" customWidth="1"/>
    <col min="12810" max="12810" width="6.7109375" style="161" customWidth="1"/>
    <col min="12811" max="12811" width="14.28515625" style="161" customWidth="1"/>
    <col min="12812" max="12812" width="17.5703125" style="161" customWidth="1"/>
    <col min="12813" max="12813" width="27.7109375" style="161" customWidth="1"/>
    <col min="12814" max="12816" width="9.140625" style="161" customWidth="1"/>
    <col min="12817" max="12817" width="14.85546875" style="161" customWidth="1"/>
    <col min="12818" max="12818" width="13.85546875" style="161" customWidth="1"/>
    <col min="12819" max="13040" width="9.140625" style="161" customWidth="1"/>
    <col min="13041" max="13041" width="9" style="161"/>
    <col min="13042" max="13042" width="6.5703125" style="161" customWidth="1"/>
    <col min="13043" max="13043" width="79.5703125" style="161" customWidth="1"/>
    <col min="13044" max="13044" width="23.5703125" style="161" customWidth="1"/>
    <col min="13045" max="13045" width="27.85546875" style="161" customWidth="1"/>
    <col min="13046" max="13046" width="22.28515625" style="161" customWidth="1"/>
    <col min="13047" max="13047" width="23.5703125" style="161" customWidth="1"/>
    <col min="13048" max="13048" width="39" style="161" customWidth="1"/>
    <col min="13049" max="13049" width="36.42578125" style="161" customWidth="1"/>
    <col min="13050" max="13050" width="8" style="161" customWidth="1"/>
    <col min="13051" max="13051" width="15.5703125" style="161" customWidth="1"/>
    <col min="13052" max="13052" width="17.28515625" style="161" customWidth="1"/>
    <col min="13053" max="13053" width="18.85546875" style="161" customWidth="1"/>
    <col min="13054" max="13054" width="81" style="161" customWidth="1"/>
    <col min="13055" max="13055" width="14.85546875" style="161" customWidth="1"/>
    <col min="13056" max="13056" width="15.7109375" style="161" customWidth="1"/>
    <col min="13057" max="13057" width="17.5703125" style="161" customWidth="1"/>
    <col min="13058" max="13058" width="18.42578125" style="161" customWidth="1"/>
    <col min="13059" max="13059" width="16.5703125" style="161" customWidth="1"/>
    <col min="13060" max="13060" width="17.7109375" style="161" customWidth="1"/>
    <col min="13061" max="13061" width="17.85546875" style="161" customWidth="1"/>
    <col min="13062" max="13062" width="18.42578125" style="161" customWidth="1"/>
    <col min="13063" max="13063" width="15.42578125" style="161" customWidth="1"/>
    <col min="13064" max="13064" width="14.5703125" style="161" customWidth="1"/>
    <col min="13065" max="13065" width="15" style="161" customWidth="1"/>
    <col min="13066" max="13066" width="6.7109375" style="161" customWidth="1"/>
    <col min="13067" max="13067" width="14.28515625" style="161" customWidth="1"/>
    <col min="13068" max="13068" width="17.5703125" style="161" customWidth="1"/>
    <col min="13069" max="13069" width="27.7109375" style="161" customWidth="1"/>
    <col min="13070" max="13072" width="9.140625" style="161" customWidth="1"/>
    <col min="13073" max="13073" width="14.85546875" style="161" customWidth="1"/>
    <col min="13074" max="13074" width="13.85546875" style="161" customWidth="1"/>
    <col min="13075" max="13296" width="9.140625" style="161" customWidth="1"/>
    <col min="13297" max="13297" width="9" style="161"/>
    <col min="13298" max="13298" width="6.5703125" style="161" customWidth="1"/>
    <col min="13299" max="13299" width="79.5703125" style="161" customWidth="1"/>
    <col min="13300" max="13300" width="23.5703125" style="161" customWidth="1"/>
    <col min="13301" max="13301" width="27.85546875" style="161" customWidth="1"/>
    <col min="13302" max="13302" width="22.28515625" style="161" customWidth="1"/>
    <col min="13303" max="13303" width="23.5703125" style="161" customWidth="1"/>
    <col min="13304" max="13304" width="39" style="161" customWidth="1"/>
    <col min="13305" max="13305" width="36.42578125" style="161" customWidth="1"/>
    <col min="13306" max="13306" width="8" style="161" customWidth="1"/>
    <col min="13307" max="13307" width="15.5703125" style="161" customWidth="1"/>
    <col min="13308" max="13308" width="17.28515625" style="161" customWidth="1"/>
    <col min="13309" max="13309" width="18.85546875" style="161" customWidth="1"/>
    <col min="13310" max="13310" width="81" style="161" customWidth="1"/>
    <col min="13311" max="13311" width="14.85546875" style="161" customWidth="1"/>
    <col min="13312" max="13312" width="15.7109375" style="161" customWidth="1"/>
    <col min="13313" max="13313" width="17.5703125" style="161" customWidth="1"/>
    <col min="13314" max="13314" width="18.42578125" style="161" customWidth="1"/>
    <col min="13315" max="13315" width="16.5703125" style="161" customWidth="1"/>
    <col min="13316" max="13316" width="17.7109375" style="161" customWidth="1"/>
    <col min="13317" max="13317" width="17.85546875" style="161" customWidth="1"/>
    <col min="13318" max="13318" width="18.42578125" style="161" customWidth="1"/>
    <col min="13319" max="13319" width="15.42578125" style="161" customWidth="1"/>
    <col min="13320" max="13320" width="14.5703125" style="161" customWidth="1"/>
    <col min="13321" max="13321" width="15" style="161" customWidth="1"/>
    <col min="13322" max="13322" width="6.7109375" style="161" customWidth="1"/>
    <col min="13323" max="13323" width="14.28515625" style="161" customWidth="1"/>
    <col min="13324" max="13324" width="17.5703125" style="161" customWidth="1"/>
    <col min="13325" max="13325" width="27.7109375" style="161" customWidth="1"/>
    <col min="13326" max="13328" width="9.140625" style="161" customWidth="1"/>
    <col min="13329" max="13329" width="14.85546875" style="161" customWidth="1"/>
    <col min="13330" max="13330" width="13.85546875" style="161" customWidth="1"/>
    <col min="13331" max="13552" width="9.140625" style="161" customWidth="1"/>
    <col min="13553" max="13553" width="9" style="161"/>
    <col min="13554" max="13554" width="6.5703125" style="161" customWidth="1"/>
    <col min="13555" max="13555" width="79.5703125" style="161" customWidth="1"/>
    <col min="13556" max="13556" width="23.5703125" style="161" customWidth="1"/>
    <col min="13557" max="13557" width="27.85546875" style="161" customWidth="1"/>
    <col min="13558" max="13558" width="22.28515625" style="161" customWidth="1"/>
    <col min="13559" max="13559" width="23.5703125" style="161" customWidth="1"/>
    <col min="13560" max="13560" width="39" style="161" customWidth="1"/>
    <col min="13561" max="13561" width="36.42578125" style="161" customWidth="1"/>
    <col min="13562" max="13562" width="8" style="161" customWidth="1"/>
    <col min="13563" max="13563" width="15.5703125" style="161" customWidth="1"/>
    <col min="13564" max="13564" width="17.28515625" style="161" customWidth="1"/>
    <col min="13565" max="13565" width="18.85546875" style="161" customWidth="1"/>
    <col min="13566" max="13566" width="81" style="161" customWidth="1"/>
    <col min="13567" max="13567" width="14.85546875" style="161" customWidth="1"/>
    <col min="13568" max="13568" width="15.7109375" style="161" customWidth="1"/>
    <col min="13569" max="13569" width="17.5703125" style="161" customWidth="1"/>
    <col min="13570" max="13570" width="18.42578125" style="161" customWidth="1"/>
    <col min="13571" max="13571" width="16.5703125" style="161" customWidth="1"/>
    <col min="13572" max="13572" width="17.7109375" style="161" customWidth="1"/>
    <col min="13573" max="13573" width="17.85546875" style="161" customWidth="1"/>
    <col min="13574" max="13574" width="18.42578125" style="161" customWidth="1"/>
    <col min="13575" max="13575" width="15.42578125" style="161" customWidth="1"/>
    <col min="13576" max="13576" width="14.5703125" style="161" customWidth="1"/>
    <col min="13577" max="13577" width="15" style="161" customWidth="1"/>
    <col min="13578" max="13578" width="6.7109375" style="161" customWidth="1"/>
    <col min="13579" max="13579" width="14.28515625" style="161" customWidth="1"/>
    <col min="13580" max="13580" width="17.5703125" style="161" customWidth="1"/>
    <col min="13581" max="13581" width="27.7109375" style="161" customWidth="1"/>
    <col min="13582" max="13584" width="9.140625" style="161" customWidth="1"/>
    <col min="13585" max="13585" width="14.85546875" style="161" customWidth="1"/>
    <col min="13586" max="13586" width="13.85546875" style="161" customWidth="1"/>
    <col min="13587" max="13808" width="9.140625" style="161" customWidth="1"/>
    <col min="13809" max="13809" width="9" style="161"/>
    <col min="13810" max="13810" width="6.5703125" style="161" customWidth="1"/>
    <col min="13811" max="13811" width="79.5703125" style="161" customWidth="1"/>
    <col min="13812" max="13812" width="23.5703125" style="161" customWidth="1"/>
    <col min="13813" max="13813" width="27.85546875" style="161" customWidth="1"/>
    <col min="13814" max="13814" width="22.28515625" style="161" customWidth="1"/>
    <col min="13815" max="13815" width="23.5703125" style="161" customWidth="1"/>
    <col min="13816" max="13816" width="39" style="161" customWidth="1"/>
    <col min="13817" max="13817" width="36.42578125" style="161" customWidth="1"/>
    <col min="13818" max="13818" width="8" style="161" customWidth="1"/>
    <col min="13819" max="13819" width="15.5703125" style="161" customWidth="1"/>
    <col min="13820" max="13820" width="17.28515625" style="161" customWidth="1"/>
    <col min="13821" max="13821" width="18.85546875" style="161" customWidth="1"/>
    <col min="13822" max="13822" width="81" style="161" customWidth="1"/>
    <col min="13823" max="13823" width="14.85546875" style="161" customWidth="1"/>
    <col min="13824" max="13824" width="15.7109375" style="161" customWidth="1"/>
    <col min="13825" max="13825" width="17.5703125" style="161" customWidth="1"/>
    <col min="13826" max="13826" width="18.42578125" style="161" customWidth="1"/>
    <col min="13827" max="13827" width="16.5703125" style="161" customWidth="1"/>
    <col min="13828" max="13828" width="17.7109375" style="161" customWidth="1"/>
    <col min="13829" max="13829" width="17.85546875" style="161" customWidth="1"/>
    <col min="13830" max="13830" width="18.42578125" style="161" customWidth="1"/>
    <col min="13831" max="13831" width="15.42578125" style="161" customWidth="1"/>
    <col min="13832" max="13832" width="14.5703125" style="161" customWidth="1"/>
    <col min="13833" max="13833" width="15" style="161" customWidth="1"/>
    <col min="13834" max="13834" width="6.7109375" style="161" customWidth="1"/>
    <col min="13835" max="13835" width="14.28515625" style="161" customWidth="1"/>
    <col min="13836" max="13836" width="17.5703125" style="161" customWidth="1"/>
    <col min="13837" max="13837" width="27.7109375" style="161" customWidth="1"/>
    <col min="13838" max="13840" width="9.140625" style="161" customWidth="1"/>
    <col min="13841" max="13841" width="14.85546875" style="161" customWidth="1"/>
    <col min="13842" max="13842" width="13.85546875" style="161" customWidth="1"/>
    <col min="13843" max="14064" width="9.140625" style="161" customWidth="1"/>
    <col min="14065" max="14065" width="9" style="161"/>
    <col min="14066" max="14066" width="6.5703125" style="161" customWidth="1"/>
    <col min="14067" max="14067" width="79.5703125" style="161" customWidth="1"/>
    <col min="14068" max="14068" width="23.5703125" style="161" customWidth="1"/>
    <col min="14069" max="14069" width="27.85546875" style="161" customWidth="1"/>
    <col min="14070" max="14070" width="22.28515625" style="161" customWidth="1"/>
    <col min="14071" max="14071" width="23.5703125" style="161" customWidth="1"/>
    <col min="14072" max="14072" width="39" style="161" customWidth="1"/>
    <col min="14073" max="14073" width="36.42578125" style="161" customWidth="1"/>
    <col min="14074" max="14074" width="8" style="161" customWidth="1"/>
    <col min="14075" max="14075" width="15.5703125" style="161" customWidth="1"/>
    <col min="14076" max="14076" width="17.28515625" style="161" customWidth="1"/>
    <col min="14077" max="14077" width="18.85546875" style="161" customWidth="1"/>
    <col min="14078" max="14078" width="81" style="161" customWidth="1"/>
    <col min="14079" max="14079" width="14.85546875" style="161" customWidth="1"/>
    <col min="14080" max="14080" width="15.7109375" style="161" customWidth="1"/>
    <col min="14081" max="14081" width="17.5703125" style="161" customWidth="1"/>
    <col min="14082" max="14082" width="18.42578125" style="161" customWidth="1"/>
    <col min="14083" max="14083" width="16.5703125" style="161" customWidth="1"/>
    <col min="14084" max="14084" width="17.7109375" style="161" customWidth="1"/>
    <col min="14085" max="14085" width="17.85546875" style="161" customWidth="1"/>
    <col min="14086" max="14086" width="18.42578125" style="161" customWidth="1"/>
    <col min="14087" max="14087" width="15.42578125" style="161" customWidth="1"/>
    <col min="14088" max="14088" width="14.5703125" style="161" customWidth="1"/>
    <col min="14089" max="14089" width="15" style="161" customWidth="1"/>
    <col min="14090" max="14090" width="6.7109375" style="161" customWidth="1"/>
    <col min="14091" max="14091" width="14.28515625" style="161" customWidth="1"/>
    <col min="14092" max="14092" width="17.5703125" style="161" customWidth="1"/>
    <col min="14093" max="14093" width="27.7109375" style="161" customWidth="1"/>
    <col min="14094" max="14096" width="9.140625" style="161" customWidth="1"/>
    <col min="14097" max="14097" width="14.85546875" style="161" customWidth="1"/>
    <col min="14098" max="14098" width="13.85546875" style="161" customWidth="1"/>
    <col min="14099" max="14320" width="9.140625" style="161" customWidth="1"/>
    <col min="14321" max="14321" width="9" style="161"/>
    <col min="14322" max="14322" width="6.5703125" style="161" customWidth="1"/>
    <col min="14323" max="14323" width="79.5703125" style="161" customWidth="1"/>
    <col min="14324" max="14324" width="23.5703125" style="161" customWidth="1"/>
    <col min="14325" max="14325" width="27.85546875" style="161" customWidth="1"/>
    <col min="14326" max="14326" width="22.28515625" style="161" customWidth="1"/>
    <col min="14327" max="14327" width="23.5703125" style="161" customWidth="1"/>
    <col min="14328" max="14328" width="39" style="161" customWidth="1"/>
    <col min="14329" max="14329" width="36.42578125" style="161" customWidth="1"/>
    <col min="14330" max="14330" width="8" style="161" customWidth="1"/>
    <col min="14331" max="14331" width="15.5703125" style="161" customWidth="1"/>
    <col min="14332" max="14332" width="17.28515625" style="161" customWidth="1"/>
    <col min="14333" max="14333" width="18.85546875" style="161" customWidth="1"/>
    <col min="14334" max="14334" width="81" style="161" customWidth="1"/>
    <col min="14335" max="14335" width="14.85546875" style="161" customWidth="1"/>
    <col min="14336" max="14336" width="15.7109375" style="161" customWidth="1"/>
    <col min="14337" max="14337" width="17.5703125" style="161" customWidth="1"/>
    <col min="14338" max="14338" width="18.42578125" style="161" customWidth="1"/>
    <col min="14339" max="14339" width="16.5703125" style="161" customWidth="1"/>
    <col min="14340" max="14340" width="17.7109375" style="161" customWidth="1"/>
    <col min="14341" max="14341" width="17.85546875" style="161" customWidth="1"/>
    <col min="14342" max="14342" width="18.42578125" style="161" customWidth="1"/>
    <col min="14343" max="14343" width="15.42578125" style="161" customWidth="1"/>
    <col min="14344" max="14344" width="14.5703125" style="161" customWidth="1"/>
    <col min="14345" max="14345" width="15" style="161" customWidth="1"/>
    <col min="14346" max="14346" width="6.7109375" style="161" customWidth="1"/>
    <col min="14347" max="14347" width="14.28515625" style="161" customWidth="1"/>
    <col min="14348" max="14348" width="17.5703125" style="161" customWidth="1"/>
    <col min="14349" max="14349" width="27.7109375" style="161" customWidth="1"/>
    <col min="14350" max="14352" width="9.140625" style="161" customWidth="1"/>
    <col min="14353" max="14353" width="14.85546875" style="161" customWidth="1"/>
    <col min="14354" max="14354" width="13.85546875" style="161" customWidth="1"/>
    <col min="14355" max="14576" width="9.140625" style="161" customWidth="1"/>
    <col min="14577" max="14577" width="9" style="161"/>
    <col min="14578" max="14578" width="6.5703125" style="161" customWidth="1"/>
    <col min="14579" max="14579" width="79.5703125" style="161" customWidth="1"/>
    <col min="14580" max="14580" width="23.5703125" style="161" customWidth="1"/>
    <col min="14581" max="14581" width="27.85546875" style="161" customWidth="1"/>
    <col min="14582" max="14582" width="22.28515625" style="161" customWidth="1"/>
    <col min="14583" max="14583" width="23.5703125" style="161" customWidth="1"/>
    <col min="14584" max="14584" width="39" style="161" customWidth="1"/>
    <col min="14585" max="14585" width="36.42578125" style="161" customWidth="1"/>
    <col min="14586" max="14586" width="8" style="161" customWidth="1"/>
    <col min="14587" max="14587" width="15.5703125" style="161" customWidth="1"/>
    <col min="14588" max="14588" width="17.28515625" style="161" customWidth="1"/>
    <col min="14589" max="14589" width="18.85546875" style="161" customWidth="1"/>
    <col min="14590" max="14590" width="81" style="161" customWidth="1"/>
    <col min="14591" max="14591" width="14.85546875" style="161" customWidth="1"/>
    <col min="14592" max="14592" width="15.7109375" style="161" customWidth="1"/>
    <col min="14593" max="14593" width="17.5703125" style="161" customWidth="1"/>
    <col min="14594" max="14594" width="18.42578125" style="161" customWidth="1"/>
    <col min="14595" max="14595" width="16.5703125" style="161" customWidth="1"/>
    <col min="14596" max="14596" width="17.7109375" style="161" customWidth="1"/>
    <col min="14597" max="14597" width="17.85546875" style="161" customWidth="1"/>
    <col min="14598" max="14598" width="18.42578125" style="161" customWidth="1"/>
    <col min="14599" max="14599" width="15.42578125" style="161" customWidth="1"/>
    <col min="14600" max="14600" width="14.5703125" style="161" customWidth="1"/>
    <col min="14601" max="14601" width="15" style="161" customWidth="1"/>
    <col min="14602" max="14602" width="6.7109375" style="161" customWidth="1"/>
    <col min="14603" max="14603" width="14.28515625" style="161" customWidth="1"/>
    <col min="14604" max="14604" width="17.5703125" style="161" customWidth="1"/>
    <col min="14605" max="14605" width="27.7109375" style="161" customWidth="1"/>
    <col min="14606" max="14608" width="9.140625" style="161" customWidth="1"/>
    <col min="14609" max="14609" width="14.85546875" style="161" customWidth="1"/>
    <col min="14610" max="14610" width="13.85546875" style="161" customWidth="1"/>
    <col min="14611" max="14832" width="9.140625" style="161" customWidth="1"/>
    <col min="14833" max="14833" width="9" style="161"/>
    <col min="14834" max="14834" width="6.5703125" style="161" customWidth="1"/>
    <col min="14835" max="14835" width="79.5703125" style="161" customWidth="1"/>
    <col min="14836" max="14836" width="23.5703125" style="161" customWidth="1"/>
    <col min="14837" max="14837" width="27.85546875" style="161" customWidth="1"/>
    <col min="14838" max="14838" width="22.28515625" style="161" customWidth="1"/>
    <col min="14839" max="14839" width="23.5703125" style="161" customWidth="1"/>
    <col min="14840" max="14840" width="39" style="161" customWidth="1"/>
    <col min="14841" max="14841" width="36.42578125" style="161" customWidth="1"/>
    <col min="14842" max="14842" width="8" style="161" customWidth="1"/>
    <col min="14843" max="14843" width="15.5703125" style="161" customWidth="1"/>
    <col min="14844" max="14844" width="17.28515625" style="161" customWidth="1"/>
    <col min="14845" max="14845" width="18.85546875" style="161" customWidth="1"/>
    <col min="14846" max="14846" width="81" style="161" customWidth="1"/>
    <col min="14847" max="14847" width="14.85546875" style="161" customWidth="1"/>
    <col min="14848" max="14848" width="15.7109375" style="161" customWidth="1"/>
    <col min="14849" max="14849" width="17.5703125" style="161" customWidth="1"/>
    <col min="14850" max="14850" width="18.42578125" style="161" customWidth="1"/>
    <col min="14851" max="14851" width="16.5703125" style="161" customWidth="1"/>
    <col min="14852" max="14852" width="17.7109375" style="161" customWidth="1"/>
    <col min="14853" max="14853" width="17.85546875" style="161" customWidth="1"/>
    <col min="14854" max="14854" width="18.42578125" style="161" customWidth="1"/>
    <col min="14855" max="14855" width="15.42578125" style="161" customWidth="1"/>
    <col min="14856" max="14856" width="14.5703125" style="161" customWidth="1"/>
    <col min="14857" max="14857" width="15" style="161" customWidth="1"/>
    <col min="14858" max="14858" width="6.7109375" style="161" customWidth="1"/>
    <col min="14859" max="14859" width="14.28515625" style="161" customWidth="1"/>
    <col min="14860" max="14860" width="17.5703125" style="161" customWidth="1"/>
    <col min="14861" max="14861" width="27.7109375" style="161" customWidth="1"/>
    <col min="14862" max="14864" width="9.140625" style="161" customWidth="1"/>
    <col min="14865" max="14865" width="14.85546875" style="161" customWidth="1"/>
    <col min="14866" max="14866" width="13.85546875" style="161" customWidth="1"/>
    <col min="14867" max="15088" width="9.140625" style="161" customWidth="1"/>
    <col min="15089" max="15089" width="9" style="161"/>
    <col min="15090" max="15090" width="6.5703125" style="161" customWidth="1"/>
    <col min="15091" max="15091" width="79.5703125" style="161" customWidth="1"/>
    <col min="15092" max="15092" width="23.5703125" style="161" customWidth="1"/>
    <col min="15093" max="15093" width="27.85546875" style="161" customWidth="1"/>
    <col min="15094" max="15094" width="22.28515625" style="161" customWidth="1"/>
    <col min="15095" max="15095" width="23.5703125" style="161" customWidth="1"/>
    <col min="15096" max="15096" width="39" style="161" customWidth="1"/>
    <col min="15097" max="15097" width="36.42578125" style="161" customWidth="1"/>
    <col min="15098" max="15098" width="8" style="161" customWidth="1"/>
    <col min="15099" max="15099" width="15.5703125" style="161" customWidth="1"/>
    <col min="15100" max="15100" width="17.28515625" style="161" customWidth="1"/>
    <col min="15101" max="15101" width="18.85546875" style="161" customWidth="1"/>
    <col min="15102" max="15102" width="81" style="161" customWidth="1"/>
    <col min="15103" max="15103" width="14.85546875" style="161" customWidth="1"/>
    <col min="15104" max="15104" width="15.7109375" style="161" customWidth="1"/>
    <col min="15105" max="15105" width="17.5703125" style="161" customWidth="1"/>
    <col min="15106" max="15106" width="18.42578125" style="161" customWidth="1"/>
    <col min="15107" max="15107" width="16.5703125" style="161" customWidth="1"/>
    <col min="15108" max="15108" width="17.7109375" style="161" customWidth="1"/>
    <col min="15109" max="15109" width="17.85546875" style="161" customWidth="1"/>
    <col min="15110" max="15110" width="18.42578125" style="161" customWidth="1"/>
    <col min="15111" max="15111" width="15.42578125" style="161" customWidth="1"/>
    <col min="15112" max="15112" width="14.5703125" style="161" customWidth="1"/>
    <col min="15113" max="15113" width="15" style="161" customWidth="1"/>
    <col min="15114" max="15114" width="6.7109375" style="161" customWidth="1"/>
    <col min="15115" max="15115" width="14.28515625" style="161" customWidth="1"/>
    <col min="15116" max="15116" width="17.5703125" style="161" customWidth="1"/>
    <col min="15117" max="15117" width="27.7109375" style="161" customWidth="1"/>
    <col min="15118" max="15120" width="9.140625" style="161" customWidth="1"/>
    <col min="15121" max="15121" width="14.85546875" style="161" customWidth="1"/>
    <col min="15122" max="15122" width="13.85546875" style="161" customWidth="1"/>
    <col min="15123" max="15344" width="9.140625" style="161" customWidth="1"/>
    <col min="15345" max="15345" width="9" style="161"/>
    <col min="15346" max="15346" width="6.5703125" style="161" customWidth="1"/>
    <col min="15347" max="15347" width="79.5703125" style="161" customWidth="1"/>
    <col min="15348" max="15348" width="23.5703125" style="161" customWidth="1"/>
    <col min="15349" max="15349" width="27.85546875" style="161" customWidth="1"/>
    <col min="15350" max="15350" width="22.28515625" style="161" customWidth="1"/>
    <col min="15351" max="15351" width="23.5703125" style="161" customWidth="1"/>
    <col min="15352" max="15352" width="39" style="161" customWidth="1"/>
    <col min="15353" max="15353" width="36.42578125" style="161" customWidth="1"/>
    <col min="15354" max="15354" width="8" style="161" customWidth="1"/>
    <col min="15355" max="15355" width="15.5703125" style="161" customWidth="1"/>
    <col min="15356" max="15356" width="17.28515625" style="161" customWidth="1"/>
    <col min="15357" max="15357" width="18.85546875" style="161" customWidth="1"/>
    <col min="15358" max="15358" width="81" style="161" customWidth="1"/>
    <col min="15359" max="15359" width="14.85546875" style="161" customWidth="1"/>
    <col min="15360" max="15360" width="15.7109375" style="161" customWidth="1"/>
    <col min="15361" max="15361" width="17.5703125" style="161" customWidth="1"/>
    <col min="15362" max="15362" width="18.42578125" style="161" customWidth="1"/>
    <col min="15363" max="15363" width="16.5703125" style="161" customWidth="1"/>
    <col min="15364" max="15364" width="17.7109375" style="161" customWidth="1"/>
    <col min="15365" max="15365" width="17.85546875" style="161" customWidth="1"/>
    <col min="15366" max="15366" width="18.42578125" style="161" customWidth="1"/>
    <col min="15367" max="15367" width="15.42578125" style="161" customWidth="1"/>
    <col min="15368" max="15368" width="14.5703125" style="161" customWidth="1"/>
    <col min="15369" max="15369" width="15" style="161" customWidth="1"/>
    <col min="15370" max="15370" width="6.7109375" style="161" customWidth="1"/>
    <col min="15371" max="15371" width="14.28515625" style="161" customWidth="1"/>
    <col min="15372" max="15372" width="17.5703125" style="161" customWidth="1"/>
    <col min="15373" max="15373" width="27.7109375" style="161" customWidth="1"/>
    <col min="15374" max="15376" width="9.140625" style="161" customWidth="1"/>
    <col min="15377" max="15377" width="14.85546875" style="161" customWidth="1"/>
    <col min="15378" max="15378" width="13.85546875" style="161" customWidth="1"/>
    <col min="15379" max="15600" width="9.140625" style="161" customWidth="1"/>
    <col min="15601" max="15601" width="9" style="161"/>
    <col min="15602" max="15602" width="6.5703125" style="161" customWidth="1"/>
    <col min="15603" max="15603" width="79.5703125" style="161" customWidth="1"/>
    <col min="15604" max="15604" width="23.5703125" style="161" customWidth="1"/>
    <col min="15605" max="15605" width="27.85546875" style="161" customWidth="1"/>
    <col min="15606" max="15606" width="22.28515625" style="161" customWidth="1"/>
    <col min="15607" max="15607" width="23.5703125" style="161" customWidth="1"/>
    <col min="15608" max="15608" width="39" style="161" customWidth="1"/>
    <col min="15609" max="15609" width="36.42578125" style="161" customWidth="1"/>
    <col min="15610" max="15610" width="8" style="161" customWidth="1"/>
    <col min="15611" max="15611" width="15.5703125" style="161" customWidth="1"/>
    <col min="15612" max="15612" width="17.28515625" style="161" customWidth="1"/>
    <col min="15613" max="15613" width="18.85546875" style="161" customWidth="1"/>
    <col min="15614" max="15614" width="81" style="161" customWidth="1"/>
    <col min="15615" max="15615" width="14.85546875" style="161" customWidth="1"/>
    <col min="15616" max="15616" width="15.7109375" style="161" customWidth="1"/>
    <col min="15617" max="15617" width="17.5703125" style="161" customWidth="1"/>
    <col min="15618" max="15618" width="18.42578125" style="161" customWidth="1"/>
    <col min="15619" max="15619" width="16.5703125" style="161" customWidth="1"/>
    <col min="15620" max="15620" width="17.7109375" style="161" customWidth="1"/>
    <col min="15621" max="15621" width="17.85546875" style="161" customWidth="1"/>
    <col min="15622" max="15622" width="18.42578125" style="161" customWidth="1"/>
    <col min="15623" max="15623" width="15.42578125" style="161" customWidth="1"/>
    <col min="15624" max="15624" width="14.5703125" style="161" customWidth="1"/>
    <col min="15625" max="15625" width="15" style="161" customWidth="1"/>
    <col min="15626" max="15626" width="6.7109375" style="161" customWidth="1"/>
    <col min="15627" max="15627" width="14.28515625" style="161" customWidth="1"/>
    <col min="15628" max="15628" width="17.5703125" style="161" customWidth="1"/>
    <col min="15629" max="15629" width="27.7109375" style="161" customWidth="1"/>
    <col min="15630" max="15632" width="9.140625" style="161" customWidth="1"/>
    <col min="15633" max="15633" width="14.85546875" style="161" customWidth="1"/>
    <col min="15634" max="15634" width="13.85546875" style="161" customWidth="1"/>
    <col min="15635" max="15856" width="9.140625" style="161" customWidth="1"/>
    <col min="15857" max="15857" width="9" style="161"/>
    <col min="15858" max="15858" width="6.5703125" style="161" customWidth="1"/>
    <col min="15859" max="15859" width="79.5703125" style="161" customWidth="1"/>
    <col min="15860" max="15860" width="23.5703125" style="161" customWidth="1"/>
    <col min="15861" max="15861" width="27.85546875" style="161" customWidth="1"/>
    <col min="15862" max="15862" width="22.28515625" style="161" customWidth="1"/>
    <col min="15863" max="15863" width="23.5703125" style="161" customWidth="1"/>
    <col min="15864" max="15864" width="39" style="161" customWidth="1"/>
    <col min="15865" max="15865" width="36.42578125" style="161" customWidth="1"/>
    <col min="15866" max="15866" width="8" style="161" customWidth="1"/>
    <col min="15867" max="15867" width="15.5703125" style="161" customWidth="1"/>
    <col min="15868" max="15868" width="17.28515625" style="161" customWidth="1"/>
    <col min="15869" max="15869" width="18.85546875" style="161" customWidth="1"/>
    <col min="15870" max="15870" width="81" style="161" customWidth="1"/>
    <col min="15871" max="15871" width="14.85546875" style="161" customWidth="1"/>
    <col min="15872" max="15872" width="15.7109375" style="161" customWidth="1"/>
    <col min="15873" max="15873" width="17.5703125" style="161" customWidth="1"/>
    <col min="15874" max="15874" width="18.42578125" style="161" customWidth="1"/>
    <col min="15875" max="15875" width="16.5703125" style="161" customWidth="1"/>
    <col min="15876" max="15876" width="17.7109375" style="161" customWidth="1"/>
    <col min="15877" max="15877" width="17.85546875" style="161" customWidth="1"/>
    <col min="15878" max="15878" width="18.42578125" style="161" customWidth="1"/>
    <col min="15879" max="15879" width="15.42578125" style="161" customWidth="1"/>
    <col min="15880" max="15880" width="14.5703125" style="161" customWidth="1"/>
    <col min="15881" max="15881" width="15" style="161" customWidth="1"/>
    <col min="15882" max="15882" width="6.7109375" style="161" customWidth="1"/>
    <col min="15883" max="15883" width="14.28515625" style="161" customWidth="1"/>
    <col min="15884" max="15884" width="17.5703125" style="161" customWidth="1"/>
    <col min="15885" max="15885" width="27.7109375" style="161" customWidth="1"/>
    <col min="15886" max="15888" width="9.140625" style="161" customWidth="1"/>
    <col min="15889" max="15889" width="14.85546875" style="161" customWidth="1"/>
    <col min="15890" max="15890" width="13.85546875" style="161" customWidth="1"/>
    <col min="15891" max="16112" width="9.140625" style="161" customWidth="1"/>
    <col min="16113" max="16113" width="9" style="161"/>
    <col min="16114" max="16114" width="6.5703125" style="161" customWidth="1"/>
    <col min="16115" max="16115" width="79.5703125" style="161" customWidth="1"/>
    <col min="16116" max="16116" width="23.5703125" style="161" customWidth="1"/>
    <col min="16117" max="16117" width="27.85546875" style="161" customWidth="1"/>
    <col min="16118" max="16118" width="22.28515625" style="161" customWidth="1"/>
    <col min="16119" max="16119" width="23.5703125" style="161" customWidth="1"/>
    <col min="16120" max="16120" width="39" style="161" customWidth="1"/>
    <col min="16121" max="16121" width="36.42578125" style="161" customWidth="1"/>
    <col min="16122" max="16122" width="8" style="161" customWidth="1"/>
    <col min="16123" max="16123" width="15.5703125" style="161" customWidth="1"/>
    <col min="16124" max="16124" width="17.28515625" style="161" customWidth="1"/>
    <col min="16125" max="16125" width="18.85546875" style="161" customWidth="1"/>
    <col min="16126" max="16126" width="81" style="161" customWidth="1"/>
    <col min="16127" max="16127" width="14.85546875" style="161" customWidth="1"/>
    <col min="16128" max="16128" width="15.7109375" style="161" customWidth="1"/>
    <col min="16129" max="16129" width="17.5703125" style="161" customWidth="1"/>
    <col min="16130" max="16130" width="18.42578125" style="161" customWidth="1"/>
    <col min="16131" max="16131" width="16.5703125" style="161" customWidth="1"/>
    <col min="16132" max="16132" width="17.7109375" style="161" customWidth="1"/>
    <col min="16133" max="16133" width="17.85546875" style="161" customWidth="1"/>
    <col min="16134" max="16134" width="18.42578125" style="161" customWidth="1"/>
    <col min="16135" max="16135" width="15.42578125" style="161" customWidth="1"/>
    <col min="16136" max="16136" width="14.5703125" style="161" customWidth="1"/>
    <col min="16137" max="16137" width="15" style="161" customWidth="1"/>
    <col min="16138" max="16138" width="6.7109375" style="161" customWidth="1"/>
    <col min="16139" max="16139" width="14.28515625" style="161" customWidth="1"/>
    <col min="16140" max="16140" width="17.5703125" style="161" customWidth="1"/>
    <col min="16141" max="16141" width="27.7109375" style="161" customWidth="1"/>
    <col min="16142" max="16144" width="9.140625" style="161" customWidth="1"/>
    <col min="16145" max="16145" width="14.85546875" style="161" customWidth="1"/>
    <col min="16146" max="16146" width="13.85546875" style="161" customWidth="1"/>
    <col min="16147" max="16362" width="9.140625" style="161" customWidth="1"/>
    <col min="16363" max="16384" width="9" style="161"/>
  </cols>
  <sheetData>
    <row r="1" spans="1:16" s="151" customFormat="1" ht="31.5">
      <c r="A1" s="401" t="s">
        <v>234</v>
      </c>
      <c r="B1" s="401" t="s">
        <v>235</v>
      </c>
      <c r="C1" s="402" t="s">
        <v>236</v>
      </c>
      <c r="D1" s="402" t="s">
        <v>237</v>
      </c>
      <c r="E1" s="402" t="s">
        <v>238</v>
      </c>
      <c r="F1" s="402" t="s">
        <v>239</v>
      </c>
      <c r="G1" s="402" t="s">
        <v>240</v>
      </c>
      <c r="H1" s="417" t="s">
        <v>1033</v>
      </c>
      <c r="I1" s="417" t="s">
        <v>1034</v>
      </c>
      <c r="J1" s="403" t="s">
        <v>1035</v>
      </c>
      <c r="K1" s="403" t="s">
        <v>1036</v>
      </c>
      <c r="L1" s="403" t="s">
        <v>1037</v>
      </c>
      <c r="M1" s="403" t="s">
        <v>1038</v>
      </c>
      <c r="N1" s="403" t="s">
        <v>1039</v>
      </c>
      <c r="O1" s="403" t="s">
        <v>1040</v>
      </c>
      <c r="P1" s="403" t="s">
        <v>1041</v>
      </c>
    </row>
    <row r="2" spans="1:16" s="152" customFormat="1">
      <c r="A2" s="391" t="s">
        <v>467</v>
      </c>
      <c r="B2" s="392" t="s">
        <v>468</v>
      </c>
      <c r="C2" s="266">
        <v>66832667434</v>
      </c>
      <c r="D2" s="267" t="s">
        <v>474</v>
      </c>
      <c r="E2" s="267">
        <v>2</v>
      </c>
      <c r="F2" s="273" t="s">
        <v>708</v>
      </c>
      <c r="G2" s="271" t="s">
        <v>906</v>
      </c>
      <c r="H2" s="418">
        <v>1</v>
      </c>
      <c r="I2" s="419">
        <v>44</v>
      </c>
      <c r="J2" s="420">
        <v>1252.53</v>
      </c>
      <c r="K2" s="421">
        <v>0</v>
      </c>
      <c r="L2" s="421">
        <v>0</v>
      </c>
      <c r="M2" s="421">
        <f>220+7.85+32.72+146.56</f>
        <v>407.13</v>
      </c>
      <c r="N2" s="421">
        <v>0</v>
      </c>
      <c r="O2" s="421">
        <f>219.87</f>
        <v>219.87</v>
      </c>
      <c r="P2" s="422">
        <f t="shared" ref="P2:P33" si="0">SUM(J2:N2)-O2</f>
        <v>1439.79</v>
      </c>
    </row>
    <row r="3" spans="1:16" s="152" customFormat="1">
      <c r="A3" s="391" t="s">
        <v>467</v>
      </c>
      <c r="B3" s="392" t="s">
        <v>468</v>
      </c>
      <c r="C3" s="266" t="s">
        <v>475</v>
      </c>
      <c r="D3" s="267" t="s">
        <v>476</v>
      </c>
      <c r="E3" s="267">
        <v>3</v>
      </c>
      <c r="F3" s="273" t="s">
        <v>709</v>
      </c>
      <c r="G3" s="271" t="s">
        <v>906</v>
      </c>
      <c r="H3" s="418">
        <v>1</v>
      </c>
      <c r="I3" s="419">
        <v>44</v>
      </c>
      <c r="J3" s="420">
        <v>990</v>
      </c>
      <c r="K3" s="421">
        <v>0</v>
      </c>
      <c r="L3" s="421">
        <v>0</v>
      </c>
      <c r="M3" s="421">
        <f>110+198+56.32+234.67</f>
        <v>598.99</v>
      </c>
      <c r="N3" s="421">
        <v>0</v>
      </c>
      <c r="O3" s="421">
        <v>214.5</v>
      </c>
      <c r="P3" s="422">
        <f t="shared" si="0"/>
        <v>1374.49</v>
      </c>
    </row>
    <row r="4" spans="1:16" s="153" customFormat="1">
      <c r="A4" s="391" t="s">
        <v>467</v>
      </c>
      <c r="B4" s="392" t="s">
        <v>468</v>
      </c>
      <c r="C4" s="266">
        <v>13595668480</v>
      </c>
      <c r="D4" s="267" t="s">
        <v>477</v>
      </c>
      <c r="E4" s="267">
        <v>3</v>
      </c>
      <c r="F4" s="274" t="s">
        <v>710</v>
      </c>
      <c r="G4" s="271" t="s">
        <v>906</v>
      </c>
      <c r="H4" s="418">
        <v>1</v>
      </c>
      <c r="I4" s="419">
        <v>44</v>
      </c>
      <c r="J4" s="420">
        <v>586.66999999999996</v>
      </c>
      <c r="K4" s="421">
        <v>0</v>
      </c>
      <c r="L4" s="421">
        <v>0</v>
      </c>
      <c r="M4" s="421">
        <f>513.33+117.33+28.16+117.33</f>
        <v>776.15000000000009</v>
      </c>
      <c r="N4" s="421">
        <v>0</v>
      </c>
      <c r="O4" s="421">
        <v>194.15</v>
      </c>
      <c r="P4" s="422">
        <f t="shared" si="0"/>
        <v>1168.67</v>
      </c>
    </row>
    <row r="5" spans="1:16" s="153" customFormat="1">
      <c r="A5" s="391" t="s">
        <v>467</v>
      </c>
      <c r="B5" s="392" t="s">
        <v>468</v>
      </c>
      <c r="C5" s="266" t="s">
        <v>478</v>
      </c>
      <c r="D5" s="267" t="s">
        <v>479</v>
      </c>
      <c r="E5" s="267">
        <v>3</v>
      </c>
      <c r="F5" s="273" t="s">
        <v>711</v>
      </c>
      <c r="G5" s="271" t="s">
        <v>906</v>
      </c>
      <c r="H5" s="418">
        <v>2</v>
      </c>
      <c r="I5" s="419">
        <v>44</v>
      </c>
      <c r="J5" s="420">
        <v>3387.62</v>
      </c>
      <c r="K5" s="421">
        <v>0</v>
      </c>
      <c r="L5" s="421">
        <v>0</v>
      </c>
      <c r="M5" s="421">
        <v>220</v>
      </c>
      <c r="N5" s="421">
        <v>0</v>
      </c>
      <c r="O5" s="421">
        <v>556.98</v>
      </c>
      <c r="P5" s="422">
        <f t="shared" si="0"/>
        <v>3050.64</v>
      </c>
    </row>
    <row r="6" spans="1:16" s="154" customFormat="1">
      <c r="A6" s="391" t="s">
        <v>467</v>
      </c>
      <c r="B6" s="392" t="s">
        <v>468</v>
      </c>
      <c r="C6" s="266" t="s">
        <v>480</v>
      </c>
      <c r="D6" s="267" t="s">
        <v>481</v>
      </c>
      <c r="E6" s="267">
        <v>2</v>
      </c>
      <c r="F6" s="273" t="s">
        <v>708</v>
      </c>
      <c r="G6" s="271" t="s">
        <v>906</v>
      </c>
      <c r="H6" s="418">
        <v>1</v>
      </c>
      <c r="I6" s="419">
        <v>44</v>
      </c>
      <c r="J6" s="420">
        <v>876.77</v>
      </c>
      <c r="K6" s="421">
        <v>0</v>
      </c>
      <c r="L6" s="421">
        <v>0</v>
      </c>
      <c r="M6" s="421">
        <f>375.76+154+62.83+261.78+201.56</f>
        <v>1055.93</v>
      </c>
      <c r="N6" s="421">
        <v>0</v>
      </c>
      <c r="O6" s="421">
        <v>246.24</v>
      </c>
      <c r="P6" s="422">
        <f t="shared" si="0"/>
        <v>1686.46</v>
      </c>
    </row>
    <row r="7" spans="1:16" s="154" customFormat="1">
      <c r="A7" s="391" t="s">
        <v>467</v>
      </c>
      <c r="B7" s="392" t="s">
        <v>468</v>
      </c>
      <c r="C7" s="266" t="s">
        <v>482</v>
      </c>
      <c r="D7" s="267" t="s">
        <v>483</v>
      </c>
      <c r="E7" s="267">
        <v>2</v>
      </c>
      <c r="F7" s="273" t="s">
        <v>712</v>
      </c>
      <c r="G7" s="271" t="s">
        <v>906</v>
      </c>
      <c r="H7" s="418">
        <v>1</v>
      </c>
      <c r="I7" s="419">
        <v>44</v>
      </c>
      <c r="J7" s="420">
        <v>2090.16</v>
      </c>
      <c r="K7" s="421">
        <v>0</v>
      </c>
      <c r="L7" s="421">
        <v>0</v>
      </c>
      <c r="M7" s="421">
        <f>70.23+292.62+836.06</f>
        <v>1198.9099999999999</v>
      </c>
      <c r="N7" s="421">
        <v>0</v>
      </c>
      <c r="O7" s="421">
        <v>364.12</v>
      </c>
      <c r="P7" s="422">
        <f t="shared" si="0"/>
        <v>2924.95</v>
      </c>
    </row>
    <row r="8" spans="1:16" s="154" customFormat="1">
      <c r="A8" s="391" t="s">
        <v>467</v>
      </c>
      <c r="B8" s="392" t="s">
        <v>468</v>
      </c>
      <c r="C8" s="266" t="s">
        <v>484</v>
      </c>
      <c r="D8" s="267" t="s">
        <v>485</v>
      </c>
      <c r="E8" s="267">
        <v>2</v>
      </c>
      <c r="F8" s="273" t="s">
        <v>708</v>
      </c>
      <c r="G8" s="271" t="s">
        <v>906</v>
      </c>
      <c r="H8" s="418">
        <v>1</v>
      </c>
      <c r="I8" s="419">
        <v>44</v>
      </c>
      <c r="J8" s="420">
        <v>1252.53</v>
      </c>
      <c r="K8" s="421">
        <v>0</v>
      </c>
      <c r="L8" s="421">
        <v>0</v>
      </c>
      <c r="M8" s="421">
        <f>220+149.62</f>
        <v>369.62</v>
      </c>
      <c r="N8" s="421">
        <v>0</v>
      </c>
      <c r="O8" s="421">
        <v>216.22</v>
      </c>
      <c r="P8" s="422">
        <f t="shared" si="0"/>
        <v>1405.93</v>
      </c>
    </row>
    <row r="9" spans="1:16" s="152" customFormat="1">
      <c r="A9" s="391" t="s">
        <v>467</v>
      </c>
      <c r="B9" s="392" t="s">
        <v>468</v>
      </c>
      <c r="C9" s="266">
        <v>88999882420</v>
      </c>
      <c r="D9" s="267" t="s">
        <v>486</v>
      </c>
      <c r="E9" s="267">
        <v>3</v>
      </c>
      <c r="F9" s="274" t="s">
        <v>710</v>
      </c>
      <c r="G9" s="271" t="s">
        <v>906</v>
      </c>
      <c r="H9" s="418">
        <v>1</v>
      </c>
      <c r="I9" s="419">
        <v>44</v>
      </c>
      <c r="J9" s="420">
        <v>1100</v>
      </c>
      <c r="K9" s="421">
        <v>0</v>
      </c>
      <c r="L9" s="421">
        <v>0</v>
      </c>
      <c r="M9" s="421">
        <f>220+63.36+264</f>
        <v>547.36</v>
      </c>
      <c r="N9" s="421">
        <v>0</v>
      </c>
      <c r="O9" s="421">
        <v>219.76</v>
      </c>
      <c r="P9" s="422">
        <f t="shared" si="0"/>
        <v>1427.6000000000001</v>
      </c>
    </row>
    <row r="10" spans="1:16" s="152" customFormat="1">
      <c r="A10" s="391" t="s">
        <v>467</v>
      </c>
      <c r="B10" s="392" t="s">
        <v>468</v>
      </c>
      <c r="C10" s="266" t="s">
        <v>487</v>
      </c>
      <c r="D10" s="267" t="s">
        <v>488</v>
      </c>
      <c r="E10" s="267">
        <v>2</v>
      </c>
      <c r="F10" s="273" t="s">
        <v>708</v>
      </c>
      <c r="G10" s="271" t="s">
        <v>906</v>
      </c>
      <c r="H10" s="418">
        <v>1</v>
      </c>
      <c r="I10" s="419">
        <v>44</v>
      </c>
      <c r="J10" s="420">
        <v>1252.53</v>
      </c>
      <c r="K10" s="421">
        <v>0</v>
      </c>
      <c r="L10" s="421">
        <v>0</v>
      </c>
      <c r="M10" s="421">
        <f>220+161.31</f>
        <v>381.31</v>
      </c>
      <c r="N10" s="421">
        <v>0</v>
      </c>
      <c r="O10" s="421">
        <v>216.22</v>
      </c>
      <c r="P10" s="422">
        <f t="shared" si="0"/>
        <v>1417.62</v>
      </c>
    </row>
    <row r="11" spans="1:16" s="154" customFormat="1">
      <c r="A11" s="391" t="s">
        <v>467</v>
      </c>
      <c r="B11" s="392" t="s">
        <v>468</v>
      </c>
      <c r="C11" s="266" t="s">
        <v>489</v>
      </c>
      <c r="D11" s="267" t="s">
        <v>490</v>
      </c>
      <c r="E11" s="267">
        <v>2</v>
      </c>
      <c r="F11" s="273" t="s">
        <v>708</v>
      </c>
      <c r="G11" s="271" t="s">
        <v>906</v>
      </c>
      <c r="H11" s="418">
        <v>1</v>
      </c>
      <c r="I11" s="419">
        <v>44</v>
      </c>
      <c r="J11" s="420">
        <v>1252.53</v>
      </c>
      <c r="K11" s="421">
        <v>0</v>
      </c>
      <c r="L11" s="421">
        <v>0</v>
      </c>
      <c r="M11" s="421">
        <f>51.27+220+167.69</f>
        <v>438.96</v>
      </c>
      <c r="N11" s="421">
        <v>0</v>
      </c>
      <c r="O11" s="421">
        <v>216.22</v>
      </c>
      <c r="P11" s="422">
        <f t="shared" si="0"/>
        <v>1475.27</v>
      </c>
    </row>
    <row r="12" spans="1:16" s="154" customFormat="1">
      <c r="A12" s="391" t="s">
        <v>467</v>
      </c>
      <c r="B12" s="392" t="s">
        <v>468</v>
      </c>
      <c r="C12" s="266" t="s">
        <v>491</v>
      </c>
      <c r="D12" s="267" t="s">
        <v>492</v>
      </c>
      <c r="E12" s="267">
        <v>2</v>
      </c>
      <c r="F12" s="273" t="s">
        <v>712</v>
      </c>
      <c r="G12" s="271" t="s">
        <v>906</v>
      </c>
      <c r="H12" s="418">
        <v>1</v>
      </c>
      <c r="I12" s="419">
        <v>44</v>
      </c>
      <c r="J12" s="420">
        <v>2090.16</v>
      </c>
      <c r="K12" s="421">
        <v>0</v>
      </c>
      <c r="L12" s="421">
        <v>0</v>
      </c>
      <c r="M12" s="421">
        <f>70.23+292.62+836.06</f>
        <v>1198.9099999999999</v>
      </c>
      <c r="N12" s="421">
        <v>0</v>
      </c>
      <c r="O12" s="421">
        <v>403.83</v>
      </c>
      <c r="P12" s="422">
        <f t="shared" si="0"/>
        <v>2885.24</v>
      </c>
    </row>
    <row r="13" spans="1:16" s="154" customFormat="1">
      <c r="A13" s="391" t="s">
        <v>467</v>
      </c>
      <c r="B13" s="392" t="s">
        <v>468</v>
      </c>
      <c r="C13" s="266" t="s">
        <v>493</v>
      </c>
      <c r="D13" s="267" t="s">
        <v>494</v>
      </c>
      <c r="E13" s="267">
        <v>2</v>
      </c>
      <c r="F13" s="273" t="s">
        <v>713</v>
      </c>
      <c r="G13" s="271" t="s">
        <v>906</v>
      </c>
      <c r="H13" s="418">
        <v>1</v>
      </c>
      <c r="I13" s="419">
        <v>44</v>
      </c>
      <c r="J13" s="420">
        <v>0</v>
      </c>
      <c r="K13" s="421">
        <v>0</v>
      </c>
      <c r="L13" s="421">
        <v>0</v>
      </c>
      <c r="M13" s="421">
        <f>205.59+102.54+113.08</f>
        <v>421.21</v>
      </c>
      <c r="N13" s="421">
        <v>0</v>
      </c>
      <c r="O13" s="421">
        <v>23.9</v>
      </c>
      <c r="P13" s="422">
        <f t="shared" si="0"/>
        <v>397.31</v>
      </c>
    </row>
    <row r="14" spans="1:16" s="154" customFormat="1">
      <c r="A14" s="391" t="s">
        <v>467</v>
      </c>
      <c r="B14" s="392" t="s">
        <v>468</v>
      </c>
      <c r="C14" s="266" t="s">
        <v>495</v>
      </c>
      <c r="D14" s="267" t="s">
        <v>496</v>
      </c>
      <c r="E14" s="267">
        <v>2</v>
      </c>
      <c r="F14" s="275" t="s">
        <v>714</v>
      </c>
      <c r="G14" s="271" t="s">
        <v>906</v>
      </c>
      <c r="H14" s="418">
        <v>1</v>
      </c>
      <c r="I14" s="419">
        <v>44</v>
      </c>
      <c r="J14" s="420">
        <v>1500</v>
      </c>
      <c r="K14" s="421">
        <v>0</v>
      </c>
      <c r="L14" s="421">
        <v>0</v>
      </c>
      <c r="M14" s="421">
        <v>220</v>
      </c>
      <c r="N14" s="421">
        <v>0</v>
      </c>
      <c r="O14" s="421">
        <v>138.30000000000001</v>
      </c>
      <c r="P14" s="422">
        <f t="shared" si="0"/>
        <v>1581.7</v>
      </c>
    </row>
    <row r="15" spans="1:16" s="154" customFormat="1">
      <c r="A15" s="391" t="s">
        <v>467</v>
      </c>
      <c r="B15" s="392" t="s">
        <v>468</v>
      </c>
      <c r="C15" s="266">
        <v>10283186429</v>
      </c>
      <c r="D15" s="267" t="s">
        <v>497</v>
      </c>
      <c r="E15" s="267">
        <v>2</v>
      </c>
      <c r="F15" s="274" t="s">
        <v>715</v>
      </c>
      <c r="G15" s="271" t="s">
        <v>906</v>
      </c>
      <c r="H15" s="418">
        <v>1</v>
      </c>
      <c r="I15" s="419">
        <v>44</v>
      </c>
      <c r="J15" s="420">
        <v>1208.82</v>
      </c>
      <c r="K15" s="421">
        <v>0</v>
      </c>
      <c r="L15" s="421">
        <v>0</v>
      </c>
      <c r="M15" s="421">
        <f>102.54+220</f>
        <v>322.54000000000002</v>
      </c>
      <c r="N15" s="421">
        <v>0</v>
      </c>
      <c r="O15" s="421">
        <v>208.8</v>
      </c>
      <c r="P15" s="422">
        <f t="shared" si="0"/>
        <v>1322.56</v>
      </c>
    </row>
    <row r="16" spans="1:16" s="154" customFormat="1">
      <c r="A16" s="391" t="s">
        <v>467</v>
      </c>
      <c r="B16" s="392" t="s">
        <v>468</v>
      </c>
      <c r="C16" s="266" t="s">
        <v>498</v>
      </c>
      <c r="D16" s="268" t="s">
        <v>499</v>
      </c>
      <c r="E16" s="267">
        <v>2</v>
      </c>
      <c r="F16" s="274" t="s">
        <v>715</v>
      </c>
      <c r="G16" s="271" t="s">
        <v>906</v>
      </c>
      <c r="H16" s="418">
        <v>1</v>
      </c>
      <c r="I16" s="419">
        <v>44</v>
      </c>
      <c r="J16" s="420">
        <v>1168.53</v>
      </c>
      <c r="K16" s="421">
        <v>0</v>
      </c>
      <c r="L16" s="421">
        <v>0</v>
      </c>
      <c r="M16" s="421">
        <f>40.29+212.67</f>
        <v>252.95999999999998</v>
      </c>
      <c r="N16" s="421">
        <v>0</v>
      </c>
      <c r="O16" s="421">
        <v>208.14</v>
      </c>
      <c r="P16" s="422">
        <f t="shared" si="0"/>
        <v>1213.3499999999999</v>
      </c>
    </row>
    <row r="17" spans="1:16" s="154" customFormat="1">
      <c r="A17" s="391" t="s">
        <v>467</v>
      </c>
      <c r="B17" s="392" t="s">
        <v>468</v>
      </c>
      <c r="C17" s="266" t="s">
        <v>500</v>
      </c>
      <c r="D17" s="267" t="s">
        <v>501</v>
      </c>
      <c r="E17" s="267">
        <v>3</v>
      </c>
      <c r="F17" s="276" t="s">
        <v>716</v>
      </c>
      <c r="G17" s="271" t="s">
        <v>906</v>
      </c>
      <c r="H17" s="418">
        <v>1</v>
      </c>
      <c r="I17" s="419">
        <v>44</v>
      </c>
      <c r="J17" s="420">
        <v>1100</v>
      </c>
      <c r="K17" s="421">
        <v>0</v>
      </c>
      <c r="L17" s="421">
        <v>0</v>
      </c>
      <c r="M17" s="421">
        <f>220+66.88+278.67</f>
        <v>565.54999999999995</v>
      </c>
      <c r="N17" s="421">
        <v>0</v>
      </c>
      <c r="O17" s="421">
        <v>155.38999999999999</v>
      </c>
      <c r="P17" s="422">
        <f t="shared" si="0"/>
        <v>1510.1599999999999</v>
      </c>
    </row>
    <row r="18" spans="1:16" s="154" customFormat="1">
      <c r="A18" s="391" t="s">
        <v>467</v>
      </c>
      <c r="B18" s="392" t="s">
        <v>468</v>
      </c>
      <c r="C18" s="266">
        <v>70178717401</v>
      </c>
      <c r="D18" s="267" t="s">
        <v>502</v>
      </c>
      <c r="E18" s="267">
        <v>3</v>
      </c>
      <c r="F18" s="276" t="s">
        <v>716</v>
      </c>
      <c r="G18" s="271" t="s">
        <v>906</v>
      </c>
      <c r="H18" s="418">
        <v>1</v>
      </c>
      <c r="I18" s="419">
        <v>44</v>
      </c>
      <c r="J18" s="420">
        <v>1100</v>
      </c>
      <c r="K18" s="421">
        <v>0</v>
      </c>
      <c r="L18" s="421">
        <v>0</v>
      </c>
      <c r="M18" s="421">
        <f>220+64+63.36+264</f>
        <v>611.36</v>
      </c>
      <c r="N18" s="421">
        <v>0</v>
      </c>
      <c r="O18" s="421">
        <v>219.76</v>
      </c>
      <c r="P18" s="422">
        <f t="shared" si="0"/>
        <v>1491.6000000000001</v>
      </c>
    </row>
    <row r="19" spans="1:16" s="154" customFormat="1">
      <c r="A19" s="391" t="s">
        <v>467</v>
      </c>
      <c r="B19" s="392" t="s">
        <v>468</v>
      </c>
      <c r="C19" s="266">
        <v>76801144472</v>
      </c>
      <c r="D19" s="267" t="s">
        <v>503</v>
      </c>
      <c r="E19" s="267">
        <v>3</v>
      </c>
      <c r="F19" s="273" t="s">
        <v>717</v>
      </c>
      <c r="G19" s="271" t="s">
        <v>906</v>
      </c>
      <c r="H19" s="418">
        <v>1</v>
      </c>
      <c r="I19" s="419">
        <v>44</v>
      </c>
      <c r="J19" s="420">
        <v>1100</v>
      </c>
      <c r="K19" s="421">
        <v>0</v>
      </c>
      <c r="L19" s="421">
        <v>0</v>
      </c>
      <c r="M19" s="421">
        <f>220+59.84+249.33</f>
        <v>529.17000000000007</v>
      </c>
      <c r="N19" s="421">
        <v>0</v>
      </c>
      <c r="O19" s="421">
        <v>218.12</v>
      </c>
      <c r="P19" s="422">
        <f t="shared" si="0"/>
        <v>1411.0500000000002</v>
      </c>
    </row>
    <row r="20" spans="1:16" s="154" customFormat="1">
      <c r="A20" s="391" t="s">
        <v>467</v>
      </c>
      <c r="B20" s="392" t="s">
        <v>468</v>
      </c>
      <c r="C20" s="266" t="s">
        <v>504</v>
      </c>
      <c r="D20" s="268" t="s">
        <v>505</v>
      </c>
      <c r="E20" s="267">
        <v>2</v>
      </c>
      <c r="F20" s="273" t="s">
        <v>708</v>
      </c>
      <c r="G20" s="271" t="s">
        <v>906</v>
      </c>
      <c r="H20" s="418">
        <v>1</v>
      </c>
      <c r="I20" s="419">
        <v>44</v>
      </c>
      <c r="J20" s="420">
        <v>1252.53</v>
      </c>
      <c r="K20" s="421">
        <v>0</v>
      </c>
      <c r="L20" s="421">
        <v>0</v>
      </c>
      <c r="M20" s="421">
        <f>220+149.01</f>
        <v>369.01</v>
      </c>
      <c r="N20" s="421">
        <v>0</v>
      </c>
      <c r="O20" s="421">
        <v>216.22</v>
      </c>
      <c r="P20" s="422">
        <f t="shared" si="0"/>
        <v>1405.32</v>
      </c>
    </row>
    <row r="21" spans="1:16" s="154" customFormat="1">
      <c r="A21" s="391" t="s">
        <v>467</v>
      </c>
      <c r="B21" s="392" t="s">
        <v>468</v>
      </c>
      <c r="C21" s="266" t="s">
        <v>506</v>
      </c>
      <c r="D21" s="267" t="s">
        <v>507</v>
      </c>
      <c r="E21" s="267">
        <v>3</v>
      </c>
      <c r="F21" s="274" t="s">
        <v>718</v>
      </c>
      <c r="G21" s="271" t="s">
        <v>906</v>
      </c>
      <c r="H21" s="418">
        <v>1</v>
      </c>
      <c r="I21" s="419">
        <v>44</v>
      </c>
      <c r="J21" s="420">
        <v>1254.55</v>
      </c>
      <c r="K21" s="421">
        <v>0</v>
      </c>
      <c r="L21" s="421">
        <v>0</v>
      </c>
      <c r="M21" s="421">
        <f>220+11.8+49.15</f>
        <v>280.95</v>
      </c>
      <c r="N21" s="421">
        <v>0</v>
      </c>
      <c r="O21" s="421">
        <v>146.78</v>
      </c>
      <c r="P21" s="422">
        <f t="shared" si="0"/>
        <v>1388.72</v>
      </c>
    </row>
    <row r="22" spans="1:16" s="154" customFormat="1">
      <c r="A22" s="391" t="s">
        <v>467</v>
      </c>
      <c r="B22" s="392" t="s">
        <v>468</v>
      </c>
      <c r="C22" s="266" t="s">
        <v>508</v>
      </c>
      <c r="D22" s="267" t="s">
        <v>509</v>
      </c>
      <c r="E22" s="267">
        <v>2</v>
      </c>
      <c r="F22" s="274" t="s">
        <v>719</v>
      </c>
      <c r="G22" s="271" t="s">
        <v>906</v>
      </c>
      <c r="H22" s="418">
        <v>1</v>
      </c>
      <c r="I22" s="419">
        <v>44</v>
      </c>
      <c r="J22" s="420">
        <v>1500</v>
      </c>
      <c r="K22" s="421">
        <v>0</v>
      </c>
      <c r="L22" s="421">
        <v>0</v>
      </c>
      <c r="M22" s="421">
        <v>220</v>
      </c>
      <c r="N22" s="421">
        <v>0</v>
      </c>
      <c r="O22" s="421">
        <v>138.30000000000001</v>
      </c>
      <c r="P22" s="422">
        <f t="shared" si="0"/>
        <v>1581.7</v>
      </c>
    </row>
    <row r="23" spans="1:16" s="154" customFormat="1">
      <c r="A23" s="391" t="s">
        <v>467</v>
      </c>
      <c r="B23" s="392" t="s">
        <v>468</v>
      </c>
      <c r="C23" s="266" t="s">
        <v>510</v>
      </c>
      <c r="D23" s="267" t="s">
        <v>511</v>
      </c>
      <c r="E23" s="267">
        <v>3</v>
      </c>
      <c r="F23" s="274" t="s">
        <v>720</v>
      </c>
      <c r="G23" s="271" t="s">
        <v>906</v>
      </c>
      <c r="H23" s="418">
        <v>2</v>
      </c>
      <c r="I23" s="419">
        <v>44</v>
      </c>
      <c r="J23" s="420">
        <v>3000</v>
      </c>
      <c r="K23" s="421">
        <v>0</v>
      </c>
      <c r="L23" s="421">
        <v>0</v>
      </c>
      <c r="M23" s="421">
        <v>220</v>
      </c>
      <c r="N23" s="421">
        <v>0</v>
      </c>
      <c r="O23" s="421">
        <v>566.41999999999996</v>
      </c>
      <c r="P23" s="422">
        <f t="shared" si="0"/>
        <v>2653.58</v>
      </c>
    </row>
    <row r="24" spans="1:16" s="154" customFormat="1">
      <c r="A24" s="391" t="s">
        <v>467</v>
      </c>
      <c r="B24" s="392" t="s">
        <v>468</v>
      </c>
      <c r="C24" s="266" t="s">
        <v>512</v>
      </c>
      <c r="D24" s="267" t="s">
        <v>513</v>
      </c>
      <c r="E24" s="267">
        <v>2</v>
      </c>
      <c r="F24" s="273" t="s">
        <v>708</v>
      </c>
      <c r="G24" s="271" t="s">
        <v>906</v>
      </c>
      <c r="H24" s="418">
        <v>1</v>
      </c>
      <c r="I24" s="419">
        <v>44</v>
      </c>
      <c r="J24" s="420">
        <v>1252.53</v>
      </c>
      <c r="K24" s="421">
        <v>0</v>
      </c>
      <c r="L24" s="421">
        <v>0</v>
      </c>
      <c r="M24" s="421">
        <f>153.81+220+64+5.8</f>
        <v>443.61</v>
      </c>
      <c r="N24" s="421">
        <v>0</v>
      </c>
      <c r="O24" s="421">
        <v>216.22</v>
      </c>
      <c r="P24" s="422">
        <f t="shared" si="0"/>
        <v>1479.9199999999998</v>
      </c>
    </row>
    <row r="25" spans="1:16" s="154" customFormat="1">
      <c r="A25" s="391" t="s">
        <v>467</v>
      </c>
      <c r="B25" s="392" t="s">
        <v>468</v>
      </c>
      <c r="C25" s="266">
        <v>78272203472</v>
      </c>
      <c r="D25" s="267" t="s">
        <v>514</v>
      </c>
      <c r="E25" s="267">
        <v>3</v>
      </c>
      <c r="F25" s="274" t="s">
        <v>718</v>
      </c>
      <c r="G25" s="271" t="s">
        <v>906</v>
      </c>
      <c r="H25" s="418">
        <v>1</v>
      </c>
      <c r="I25" s="419">
        <v>44</v>
      </c>
      <c r="J25" s="420">
        <v>1254.55</v>
      </c>
      <c r="K25" s="421">
        <v>0</v>
      </c>
      <c r="L25" s="421">
        <v>0</v>
      </c>
      <c r="M25" s="421">
        <f>220+7.86+32.77</f>
        <v>260.63</v>
      </c>
      <c r="N25" s="421">
        <v>0</v>
      </c>
      <c r="O25" s="421">
        <v>144.94999999999999</v>
      </c>
      <c r="P25" s="422">
        <f t="shared" si="0"/>
        <v>1370.2299999999998</v>
      </c>
    </row>
    <row r="26" spans="1:16" s="154" customFormat="1">
      <c r="A26" s="391" t="s">
        <v>467</v>
      </c>
      <c r="B26" s="392" t="s">
        <v>468</v>
      </c>
      <c r="C26" s="266">
        <v>65002938434</v>
      </c>
      <c r="D26" s="267" t="s">
        <v>515</v>
      </c>
      <c r="E26" s="267">
        <v>2</v>
      </c>
      <c r="F26" s="274" t="s">
        <v>721</v>
      </c>
      <c r="G26" s="271" t="s">
        <v>906</v>
      </c>
      <c r="H26" s="418">
        <v>1</v>
      </c>
      <c r="I26" s="419">
        <v>44</v>
      </c>
      <c r="J26" s="420">
        <v>3209.67</v>
      </c>
      <c r="K26" s="421">
        <v>0</v>
      </c>
      <c r="L26" s="421">
        <v>0</v>
      </c>
      <c r="M26" s="421">
        <f>327.11+220</f>
        <v>547.11</v>
      </c>
      <c r="N26" s="421">
        <v>0</v>
      </c>
      <c r="O26" s="421">
        <v>516.97</v>
      </c>
      <c r="P26" s="422">
        <f t="shared" si="0"/>
        <v>3239.8100000000004</v>
      </c>
    </row>
    <row r="27" spans="1:16" s="154" customFormat="1">
      <c r="A27" s="391" t="s">
        <v>467</v>
      </c>
      <c r="B27" s="392" t="s">
        <v>468</v>
      </c>
      <c r="C27" s="266" t="s">
        <v>516</v>
      </c>
      <c r="D27" s="267" t="s">
        <v>517</v>
      </c>
      <c r="E27" s="267">
        <v>2</v>
      </c>
      <c r="F27" s="273" t="s">
        <v>713</v>
      </c>
      <c r="G27" s="271" t="s">
        <v>906</v>
      </c>
      <c r="H27" s="418">
        <v>1</v>
      </c>
      <c r="I27" s="419">
        <v>44</v>
      </c>
      <c r="J27" s="420">
        <v>1771.76</v>
      </c>
      <c r="K27" s="421">
        <v>0</v>
      </c>
      <c r="L27" s="421">
        <v>0</v>
      </c>
      <c r="M27" s="421">
        <f>220+23.9+99.59</f>
        <v>343.49</v>
      </c>
      <c r="N27" s="421">
        <v>0</v>
      </c>
      <c r="O27" s="421">
        <v>176.3</v>
      </c>
      <c r="P27" s="422">
        <f t="shared" si="0"/>
        <v>1938.95</v>
      </c>
    </row>
    <row r="28" spans="1:16" s="154" customFormat="1">
      <c r="A28" s="391" t="s">
        <v>467</v>
      </c>
      <c r="B28" s="392" t="s">
        <v>468</v>
      </c>
      <c r="C28" s="266">
        <v>84767812453</v>
      </c>
      <c r="D28" s="268" t="s">
        <v>518</v>
      </c>
      <c r="E28" s="267">
        <v>3</v>
      </c>
      <c r="F28" s="274" t="s">
        <v>722</v>
      </c>
      <c r="G28" s="271" t="s">
        <v>906</v>
      </c>
      <c r="H28" s="418">
        <v>1</v>
      </c>
      <c r="I28" s="419">
        <v>44</v>
      </c>
      <c r="J28" s="420">
        <v>1261.3800000000001</v>
      </c>
      <c r="K28" s="421">
        <v>0</v>
      </c>
      <c r="L28" s="421">
        <v>0</v>
      </c>
      <c r="M28" s="421">
        <f>630.39+146.67</f>
        <v>777.06</v>
      </c>
      <c r="N28" s="421">
        <v>0</v>
      </c>
      <c r="O28" s="421">
        <v>204.82</v>
      </c>
      <c r="P28" s="422">
        <f t="shared" si="0"/>
        <v>1833.6200000000001</v>
      </c>
    </row>
    <row r="29" spans="1:16" s="154" customFormat="1">
      <c r="A29" s="391" t="s">
        <v>467</v>
      </c>
      <c r="B29" s="392" t="s">
        <v>468</v>
      </c>
      <c r="C29" s="266">
        <v>77118162434</v>
      </c>
      <c r="D29" s="267" t="s">
        <v>519</v>
      </c>
      <c r="E29" s="267">
        <v>2</v>
      </c>
      <c r="F29" s="273" t="s">
        <v>713</v>
      </c>
      <c r="G29" s="271" t="s">
        <v>906</v>
      </c>
      <c r="H29" s="418">
        <v>1</v>
      </c>
      <c r="I29" s="419">
        <v>44</v>
      </c>
      <c r="J29" s="420">
        <v>1122.1099999999999</v>
      </c>
      <c r="K29" s="421">
        <v>2710.72</v>
      </c>
      <c r="L29" s="421">
        <v>0</v>
      </c>
      <c r="M29" s="421">
        <v>139.33000000000001</v>
      </c>
      <c r="N29" s="421">
        <v>0</v>
      </c>
      <c r="O29" s="421">
        <v>2881.08</v>
      </c>
      <c r="P29" s="422">
        <f t="shared" si="0"/>
        <v>1091.08</v>
      </c>
    </row>
    <row r="30" spans="1:16" s="154" customFormat="1">
      <c r="A30" s="391" t="s">
        <v>467</v>
      </c>
      <c r="B30" s="392" t="s">
        <v>468</v>
      </c>
      <c r="C30" s="266" t="s">
        <v>520</v>
      </c>
      <c r="D30" s="267" t="s">
        <v>521</v>
      </c>
      <c r="E30" s="267">
        <v>3</v>
      </c>
      <c r="F30" s="274" t="s">
        <v>718</v>
      </c>
      <c r="G30" s="271" t="s">
        <v>906</v>
      </c>
      <c r="H30" s="418">
        <v>1</v>
      </c>
      <c r="I30" s="419">
        <v>44</v>
      </c>
      <c r="J30" s="420">
        <v>41.82</v>
      </c>
      <c r="K30" s="421">
        <v>0</v>
      </c>
      <c r="L30" s="421">
        <v>0</v>
      </c>
      <c r="M30" s="421">
        <f>2244.07-41.82</f>
        <v>2202.25</v>
      </c>
      <c r="N30" s="421">
        <v>0</v>
      </c>
      <c r="O30" s="421">
        <v>1303.8900000000001</v>
      </c>
      <c r="P30" s="422">
        <f t="shared" si="0"/>
        <v>940.18000000000006</v>
      </c>
    </row>
    <row r="31" spans="1:16" s="154" customFormat="1">
      <c r="A31" s="391" t="s">
        <v>467</v>
      </c>
      <c r="B31" s="392" t="s">
        <v>468</v>
      </c>
      <c r="C31" s="266">
        <v>62012720463</v>
      </c>
      <c r="D31" s="267" t="s">
        <v>522</v>
      </c>
      <c r="E31" s="267">
        <v>3</v>
      </c>
      <c r="F31" s="274" t="s">
        <v>722</v>
      </c>
      <c r="G31" s="271" t="s">
        <v>906</v>
      </c>
      <c r="H31" s="418">
        <v>1</v>
      </c>
      <c r="I31" s="419">
        <v>44</v>
      </c>
      <c r="J31" s="420">
        <v>1892.07</v>
      </c>
      <c r="K31" s="421">
        <v>0</v>
      </c>
      <c r="L31" s="421">
        <v>0</v>
      </c>
      <c r="M31" s="421">
        <f>220</f>
        <v>220</v>
      </c>
      <c r="N31" s="421">
        <v>0</v>
      </c>
      <c r="O31" s="421">
        <v>211.42</v>
      </c>
      <c r="P31" s="422">
        <f t="shared" si="0"/>
        <v>1900.6499999999996</v>
      </c>
    </row>
    <row r="32" spans="1:16" s="154" customFormat="1">
      <c r="A32" s="391" t="s">
        <v>467</v>
      </c>
      <c r="B32" s="392" t="s">
        <v>468</v>
      </c>
      <c r="C32" s="266" t="s">
        <v>523</v>
      </c>
      <c r="D32" s="268" t="s">
        <v>524</v>
      </c>
      <c r="E32" s="267">
        <v>3</v>
      </c>
      <c r="F32" s="277" t="s">
        <v>723</v>
      </c>
      <c r="G32" s="271" t="s">
        <v>906</v>
      </c>
      <c r="H32" s="418">
        <v>2</v>
      </c>
      <c r="I32" s="419">
        <v>44</v>
      </c>
      <c r="J32" s="420">
        <v>1262.93</v>
      </c>
      <c r="K32" s="421">
        <v>0</v>
      </c>
      <c r="L32" s="421">
        <v>0</v>
      </c>
      <c r="M32" s="421">
        <f>51.27+220</f>
        <v>271.27</v>
      </c>
      <c r="N32" s="421">
        <v>0</v>
      </c>
      <c r="O32" s="421">
        <v>142.22</v>
      </c>
      <c r="P32" s="422">
        <f t="shared" si="0"/>
        <v>1391.98</v>
      </c>
    </row>
    <row r="33" spans="1:16" s="154" customFormat="1">
      <c r="A33" s="391" t="s">
        <v>467</v>
      </c>
      <c r="B33" s="392" t="s">
        <v>468</v>
      </c>
      <c r="C33" s="266" t="s">
        <v>525</v>
      </c>
      <c r="D33" s="267" t="s">
        <v>526</v>
      </c>
      <c r="E33" s="267">
        <v>2</v>
      </c>
      <c r="F33" s="273" t="s">
        <v>708</v>
      </c>
      <c r="G33" s="271" t="s">
        <v>906</v>
      </c>
      <c r="H33" s="418">
        <v>1</v>
      </c>
      <c r="I33" s="419">
        <v>44</v>
      </c>
      <c r="J33" s="420">
        <v>1127.28</v>
      </c>
      <c r="K33" s="421">
        <v>0</v>
      </c>
      <c r="L33" s="421">
        <v>0</v>
      </c>
      <c r="M33" s="421">
        <f>125.25+198+51.05+212.7+173.32</f>
        <v>760.31999999999994</v>
      </c>
      <c r="N33" s="421">
        <v>0</v>
      </c>
      <c r="O33" s="421">
        <v>237.98</v>
      </c>
      <c r="P33" s="422">
        <f t="shared" si="0"/>
        <v>1649.62</v>
      </c>
    </row>
    <row r="34" spans="1:16" s="154" customFormat="1">
      <c r="A34" s="391" t="s">
        <v>467</v>
      </c>
      <c r="B34" s="392" t="s">
        <v>468</v>
      </c>
      <c r="C34" s="266" t="s">
        <v>527</v>
      </c>
      <c r="D34" s="267" t="s">
        <v>528</v>
      </c>
      <c r="E34" s="267">
        <v>2</v>
      </c>
      <c r="F34" s="273" t="s">
        <v>708</v>
      </c>
      <c r="G34" s="271" t="s">
        <v>906</v>
      </c>
      <c r="H34" s="418">
        <v>1</v>
      </c>
      <c r="I34" s="419">
        <v>44</v>
      </c>
      <c r="J34" s="420">
        <v>1252.53</v>
      </c>
      <c r="K34" s="421">
        <v>0</v>
      </c>
      <c r="L34" s="421">
        <v>0</v>
      </c>
      <c r="M34" s="421">
        <f>220+73.87+307.78+137.63</f>
        <v>739.28</v>
      </c>
      <c r="N34" s="421">
        <v>0</v>
      </c>
      <c r="O34" s="421">
        <v>236.91</v>
      </c>
      <c r="P34" s="422">
        <f t="shared" ref="P34:P65" si="1">SUM(J34:N34)-O34</f>
        <v>1754.8999999999999</v>
      </c>
    </row>
    <row r="35" spans="1:16" s="154" customFormat="1">
      <c r="A35" s="391" t="s">
        <v>467</v>
      </c>
      <c r="B35" s="392" t="s">
        <v>468</v>
      </c>
      <c r="C35" s="269" t="s">
        <v>529</v>
      </c>
      <c r="D35" s="268" t="s">
        <v>530</v>
      </c>
      <c r="E35" s="267">
        <v>3</v>
      </c>
      <c r="F35" s="273" t="s">
        <v>717</v>
      </c>
      <c r="G35" s="271" t="s">
        <v>906</v>
      </c>
      <c r="H35" s="418">
        <v>1</v>
      </c>
      <c r="I35" s="419">
        <v>44</v>
      </c>
      <c r="J35" s="420">
        <v>1100</v>
      </c>
      <c r="K35" s="421">
        <v>0</v>
      </c>
      <c r="L35" s="421">
        <v>0</v>
      </c>
      <c r="M35" s="421">
        <f>220+63.36+264</f>
        <v>547.36</v>
      </c>
      <c r="N35" s="421">
        <v>0</v>
      </c>
      <c r="O35" s="421">
        <v>153.76</v>
      </c>
      <c r="P35" s="422">
        <f t="shared" si="1"/>
        <v>1493.6000000000001</v>
      </c>
    </row>
    <row r="36" spans="1:16" s="154" customFormat="1">
      <c r="A36" s="391" t="s">
        <v>467</v>
      </c>
      <c r="B36" s="392" t="s">
        <v>468</v>
      </c>
      <c r="C36" s="269" t="s">
        <v>531</v>
      </c>
      <c r="D36" s="267" t="s">
        <v>532</v>
      </c>
      <c r="E36" s="267">
        <v>2</v>
      </c>
      <c r="F36" s="273" t="s">
        <v>708</v>
      </c>
      <c r="G36" s="271" t="s">
        <v>906</v>
      </c>
      <c r="H36" s="418">
        <v>1</v>
      </c>
      <c r="I36" s="419">
        <v>44</v>
      </c>
      <c r="J36" s="420">
        <v>1252.53</v>
      </c>
      <c r="K36" s="421">
        <v>0</v>
      </c>
      <c r="L36" s="421">
        <v>0</v>
      </c>
      <c r="M36" s="421">
        <f>220+54.97+229.06+168.72</f>
        <v>672.75</v>
      </c>
      <c r="N36" s="421">
        <v>0</v>
      </c>
      <c r="O36" s="421">
        <v>402.44</v>
      </c>
      <c r="P36" s="422">
        <f t="shared" si="1"/>
        <v>1522.84</v>
      </c>
    </row>
    <row r="37" spans="1:16" s="154" customFormat="1">
      <c r="A37" s="391" t="s">
        <v>467</v>
      </c>
      <c r="B37" s="392" t="s">
        <v>468</v>
      </c>
      <c r="C37" s="269" t="s">
        <v>533</v>
      </c>
      <c r="D37" s="267" t="s">
        <v>534</v>
      </c>
      <c r="E37" s="267">
        <v>2</v>
      </c>
      <c r="F37" s="273" t="s">
        <v>708</v>
      </c>
      <c r="G37" s="271" t="s">
        <v>906</v>
      </c>
      <c r="H37" s="418">
        <v>1</v>
      </c>
      <c r="I37" s="419">
        <v>44</v>
      </c>
      <c r="J37" s="420">
        <v>1252.53</v>
      </c>
      <c r="K37" s="421">
        <v>0</v>
      </c>
      <c r="L37" s="421">
        <v>0</v>
      </c>
      <c r="M37" s="421">
        <f>220+69.66+290.24+177.68</f>
        <v>757.57999999999993</v>
      </c>
      <c r="N37" s="421">
        <v>0</v>
      </c>
      <c r="O37" s="421">
        <v>248.61</v>
      </c>
      <c r="P37" s="422">
        <f t="shared" si="1"/>
        <v>1761.5</v>
      </c>
    </row>
    <row r="38" spans="1:16" s="154" customFormat="1">
      <c r="A38" s="391" t="s">
        <v>467</v>
      </c>
      <c r="B38" s="392" t="s">
        <v>468</v>
      </c>
      <c r="C38" s="269" t="s">
        <v>535</v>
      </c>
      <c r="D38" s="267" t="s">
        <v>536</v>
      </c>
      <c r="E38" s="267">
        <v>3</v>
      </c>
      <c r="F38" s="274" t="s">
        <v>724</v>
      </c>
      <c r="G38" s="271" t="s">
        <v>906</v>
      </c>
      <c r="H38" s="418">
        <v>1</v>
      </c>
      <c r="I38" s="419">
        <v>44</v>
      </c>
      <c r="J38" s="420">
        <v>1100</v>
      </c>
      <c r="K38" s="421">
        <v>0</v>
      </c>
      <c r="L38" s="421">
        <v>0</v>
      </c>
      <c r="M38" s="421">
        <f>51.27+220+64+17.6+73.33</f>
        <v>426.2</v>
      </c>
      <c r="N38" s="421">
        <v>0</v>
      </c>
      <c r="O38" s="421">
        <v>132.47999999999999</v>
      </c>
      <c r="P38" s="422">
        <f t="shared" si="1"/>
        <v>1393.72</v>
      </c>
    </row>
    <row r="39" spans="1:16" s="154" customFormat="1">
      <c r="A39" s="391" t="s">
        <v>467</v>
      </c>
      <c r="B39" s="392" t="s">
        <v>468</v>
      </c>
      <c r="C39" s="269" t="s">
        <v>537</v>
      </c>
      <c r="D39" s="267" t="s">
        <v>538</v>
      </c>
      <c r="E39" s="267">
        <v>3</v>
      </c>
      <c r="F39" s="276" t="s">
        <v>724</v>
      </c>
      <c r="G39" s="271" t="s">
        <v>906</v>
      </c>
      <c r="H39" s="418">
        <v>1</v>
      </c>
      <c r="I39" s="419">
        <v>44</v>
      </c>
      <c r="J39" s="420">
        <v>1100</v>
      </c>
      <c r="K39" s="421">
        <v>0</v>
      </c>
      <c r="L39" s="421">
        <v>0</v>
      </c>
      <c r="M39" s="421">
        <f>51.27+220+64</f>
        <v>335.27</v>
      </c>
      <c r="N39" s="421">
        <v>0</v>
      </c>
      <c r="O39" s="421">
        <v>190.3</v>
      </c>
      <c r="P39" s="422">
        <f t="shared" si="1"/>
        <v>1244.97</v>
      </c>
    </row>
    <row r="40" spans="1:16" s="154" customFormat="1">
      <c r="A40" s="391" t="s">
        <v>467</v>
      </c>
      <c r="B40" s="392" t="s">
        <v>468</v>
      </c>
      <c r="C40" s="269" t="s">
        <v>539</v>
      </c>
      <c r="D40" s="267" t="s">
        <v>540</v>
      </c>
      <c r="E40" s="267">
        <v>3</v>
      </c>
      <c r="F40" s="274" t="s">
        <v>724</v>
      </c>
      <c r="G40" s="271" t="s">
        <v>906</v>
      </c>
      <c r="H40" s="418">
        <v>1</v>
      </c>
      <c r="I40" s="419">
        <v>44</v>
      </c>
      <c r="J40" s="420">
        <v>843.33</v>
      </c>
      <c r="K40" s="421">
        <v>0</v>
      </c>
      <c r="L40" s="421">
        <v>0</v>
      </c>
      <c r="M40" s="421">
        <f>256.67+168.67+52.8+220</f>
        <v>698.1400000000001</v>
      </c>
      <c r="N40" s="421">
        <v>0</v>
      </c>
      <c r="O40" s="421">
        <v>210.23</v>
      </c>
      <c r="P40" s="422">
        <f t="shared" si="1"/>
        <v>1331.2400000000002</v>
      </c>
    </row>
    <row r="41" spans="1:16" s="154" customFormat="1">
      <c r="A41" s="391" t="s">
        <v>467</v>
      </c>
      <c r="B41" s="392" t="s">
        <v>468</v>
      </c>
      <c r="C41" s="269" t="s">
        <v>541</v>
      </c>
      <c r="D41" s="267" t="s">
        <v>542</v>
      </c>
      <c r="E41" s="267">
        <v>2</v>
      </c>
      <c r="F41" s="273" t="s">
        <v>713</v>
      </c>
      <c r="G41" s="271" t="s">
        <v>906</v>
      </c>
      <c r="H41" s="418">
        <v>1</v>
      </c>
      <c r="I41" s="419">
        <v>44</v>
      </c>
      <c r="J41" s="420">
        <v>2055.94</v>
      </c>
      <c r="K41" s="421">
        <v>0</v>
      </c>
      <c r="L41" s="421">
        <v>0</v>
      </c>
      <c r="M41" s="421">
        <f>220+103.28+119.14+496.43+113.08</f>
        <v>1051.9299999999998</v>
      </c>
      <c r="N41" s="421">
        <v>0</v>
      </c>
      <c r="O41" s="421">
        <v>313.63</v>
      </c>
      <c r="P41" s="422">
        <f t="shared" si="1"/>
        <v>2794.24</v>
      </c>
    </row>
    <row r="42" spans="1:16" s="154" customFormat="1">
      <c r="A42" s="391" t="s">
        <v>467</v>
      </c>
      <c r="B42" s="392" t="s">
        <v>468</v>
      </c>
      <c r="C42" s="269">
        <v>86643770491</v>
      </c>
      <c r="D42" s="267" t="s">
        <v>543</v>
      </c>
      <c r="E42" s="267">
        <v>2</v>
      </c>
      <c r="F42" s="273" t="s">
        <v>713</v>
      </c>
      <c r="G42" s="271" t="s">
        <v>906</v>
      </c>
      <c r="H42" s="418">
        <v>1</v>
      </c>
      <c r="I42" s="419">
        <v>44</v>
      </c>
      <c r="J42" s="420">
        <v>1918.88</v>
      </c>
      <c r="K42" s="421">
        <v>0</v>
      </c>
      <c r="L42" s="421">
        <v>0</v>
      </c>
      <c r="M42" s="421">
        <f>137.06+205.33+10.92+45.52+113.08</f>
        <v>511.90999999999997</v>
      </c>
      <c r="N42" s="421">
        <v>0</v>
      </c>
      <c r="O42" s="421">
        <v>235.34</v>
      </c>
      <c r="P42" s="422">
        <f t="shared" si="1"/>
        <v>2195.4499999999998</v>
      </c>
    </row>
    <row r="43" spans="1:16" s="154" customFormat="1">
      <c r="A43" s="391" t="s">
        <v>467</v>
      </c>
      <c r="B43" s="392" t="s">
        <v>468</v>
      </c>
      <c r="C43" s="269" t="s">
        <v>544</v>
      </c>
      <c r="D43" s="267" t="s">
        <v>545</v>
      </c>
      <c r="E43" s="267">
        <v>3</v>
      </c>
      <c r="F43" s="278" t="s">
        <v>725</v>
      </c>
      <c r="G43" s="271" t="s">
        <v>906</v>
      </c>
      <c r="H43" s="418">
        <v>1</v>
      </c>
      <c r="I43" s="419">
        <v>44</v>
      </c>
      <c r="J43" s="420">
        <v>1261.3800000000001</v>
      </c>
      <c r="K43" s="421">
        <v>0</v>
      </c>
      <c r="L43" s="421">
        <v>0</v>
      </c>
      <c r="M43" s="421">
        <f>220+71.11+296.28</f>
        <v>587.39</v>
      </c>
      <c r="N43" s="421">
        <v>0</v>
      </c>
      <c r="O43" s="421">
        <v>250.79</v>
      </c>
      <c r="P43" s="422">
        <f t="shared" si="1"/>
        <v>1597.98</v>
      </c>
    </row>
    <row r="44" spans="1:16" s="154" customFormat="1">
      <c r="A44" s="391" t="s">
        <v>467</v>
      </c>
      <c r="B44" s="392" t="s">
        <v>468</v>
      </c>
      <c r="C44" s="269" t="s">
        <v>546</v>
      </c>
      <c r="D44" s="267" t="s">
        <v>547</v>
      </c>
      <c r="E44" s="267">
        <v>3</v>
      </c>
      <c r="F44" s="273" t="s">
        <v>709</v>
      </c>
      <c r="G44" s="271" t="s">
        <v>906</v>
      </c>
      <c r="H44" s="418">
        <v>1</v>
      </c>
      <c r="I44" s="419">
        <v>44</v>
      </c>
      <c r="J44" s="420">
        <v>1100</v>
      </c>
      <c r="K44" s="421">
        <v>0</v>
      </c>
      <c r="L44" s="421">
        <v>0</v>
      </c>
      <c r="M44" s="421">
        <f>220+59.84+249.33</f>
        <v>529.17000000000007</v>
      </c>
      <c r="N44" s="421">
        <v>0</v>
      </c>
      <c r="O44" s="421">
        <v>218.12</v>
      </c>
      <c r="P44" s="422">
        <f t="shared" si="1"/>
        <v>1411.0500000000002</v>
      </c>
    </row>
    <row r="45" spans="1:16" s="154" customFormat="1">
      <c r="A45" s="391" t="s">
        <v>467</v>
      </c>
      <c r="B45" s="392" t="s">
        <v>468</v>
      </c>
      <c r="C45" s="269" t="s">
        <v>548</v>
      </c>
      <c r="D45" s="268" t="s">
        <v>549</v>
      </c>
      <c r="E45" s="267">
        <v>2</v>
      </c>
      <c r="F45" s="279" t="s">
        <v>721</v>
      </c>
      <c r="G45" s="271" t="s">
        <v>906</v>
      </c>
      <c r="H45" s="418">
        <v>1</v>
      </c>
      <c r="I45" s="419">
        <v>44</v>
      </c>
      <c r="J45" s="420">
        <v>3209.67</v>
      </c>
      <c r="K45" s="421">
        <v>0</v>
      </c>
      <c r="L45" s="421">
        <v>0</v>
      </c>
      <c r="M45" s="421">
        <f>892+318.6+220</f>
        <v>1430.6</v>
      </c>
      <c r="N45" s="421">
        <v>0</v>
      </c>
      <c r="O45" s="421">
        <v>812.19</v>
      </c>
      <c r="P45" s="422">
        <f t="shared" si="1"/>
        <v>3828.0800000000004</v>
      </c>
    </row>
    <row r="46" spans="1:16" s="154" customFormat="1">
      <c r="A46" s="391" t="s">
        <v>467</v>
      </c>
      <c r="B46" s="392" t="s">
        <v>468</v>
      </c>
      <c r="C46" s="269" t="s">
        <v>550</v>
      </c>
      <c r="D46" s="267" t="s">
        <v>551</v>
      </c>
      <c r="E46" s="267">
        <v>2</v>
      </c>
      <c r="F46" s="273" t="s">
        <v>708</v>
      </c>
      <c r="G46" s="271" t="s">
        <v>906</v>
      </c>
      <c r="H46" s="418">
        <v>1</v>
      </c>
      <c r="I46" s="419">
        <v>44</v>
      </c>
      <c r="J46" s="420">
        <v>1085.53</v>
      </c>
      <c r="K46" s="421">
        <v>0</v>
      </c>
      <c r="L46" s="421">
        <v>0</v>
      </c>
      <c r="M46" s="421">
        <f>167+190.67+64+7.85+32.72+157.24</f>
        <v>619.48</v>
      </c>
      <c r="N46" s="421">
        <v>0</v>
      </c>
      <c r="O46" s="421">
        <v>224.68</v>
      </c>
      <c r="P46" s="422">
        <f t="shared" si="1"/>
        <v>1480.33</v>
      </c>
    </row>
    <row r="47" spans="1:16" s="155" customFormat="1">
      <c r="A47" s="391" t="s">
        <v>467</v>
      </c>
      <c r="B47" s="392" t="s">
        <v>468</v>
      </c>
      <c r="C47" s="269" t="s">
        <v>552</v>
      </c>
      <c r="D47" s="267" t="s">
        <v>553</v>
      </c>
      <c r="E47" s="267">
        <v>3</v>
      </c>
      <c r="F47" s="273" t="s">
        <v>709</v>
      </c>
      <c r="G47" s="271" t="s">
        <v>906</v>
      </c>
      <c r="H47" s="418">
        <v>2</v>
      </c>
      <c r="I47" s="419">
        <v>44</v>
      </c>
      <c r="J47" s="420">
        <v>1100</v>
      </c>
      <c r="K47" s="421">
        <v>0</v>
      </c>
      <c r="L47" s="421">
        <v>0</v>
      </c>
      <c r="M47" s="421">
        <v>220</v>
      </c>
      <c r="N47" s="421">
        <v>0</v>
      </c>
      <c r="O47" s="421">
        <v>190.3</v>
      </c>
      <c r="P47" s="422">
        <f t="shared" si="1"/>
        <v>1129.7</v>
      </c>
    </row>
    <row r="48" spans="1:16" s="156" customFormat="1">
      <c r="A48" s="391" t="s">
        <v>467</v>
      </c>
      <c r="B48" s="392" t="s">
        <v>468</v>
      </c>
      <c r="C48" s="269" t="s">
        <v>554</v>
      </c>
      <c r="D48" s="267" t="s">
        <v>555</v>
      </c>
      <c r="E48" s="267">
        <v>2</v>
      </c>
      <c r="F48" s="276" t="s">
        <v>713</v>
      </c>
      <c r="G48" s="271" t="s">
        <v>906</v>
      </c>
      <c r="H48" s="418">
        <v>1</v>
      </c>
      <c r="I48" s="419">
        <v>44</v>
      </c>
      <c r="J48" s="420">
        <v>1771.76</v>
      </c>
      <c r="K48" s="421">
        <v>0</v>
      </c>
      <c r="L48" s="421">
        <v>0</v>
      </c>
      <c r="M48" s="421">
        <f>220+139.66+581.93</f>
        <v>941.58999999999992</v>
      </c>
      <c r="N48" s="421">
        <v>0</v>
      </c>
      <c r="O48" s="421">
        <v>273.68</v>
      </c>
      <c r="P48" s="422">
        <f t="shared" si="1"/>
        <v>2439.67</v>
      </c>
    </row>
    <row r="49" spans="1:16" s="156" customFormat="1">
      <c r="A49" s="391" t="s">
        <v>467</v>
      </c>
      <c r="B49" s="392" t="s">
        <v>468</v>
      </c>
      <c r="C49" s="269" t="s">
        <v>556</v>
      </c>
      <c r="D49" s="267" t="s">
        <v>557</v>
      </c>
      <c r="E49" s="267">
        <v>2</v>
      </c>
      <c r="F49" s="273" t="s">
        <v>712</v>
      </c>
      <c r="G49" s="271" t="s">
        <v>906</v>
      </c>
      <c r="H49" s="418">
        <v>1</v>
      </c>
      <c r="I49" s="419">
        <v>44</v>
      </c>
      <c r="J49" s="420">
        <v>2090.16</v>
      </c>
      <c r="K49" s="421">
        <v>0</v>
      </c>
      <c r="L49" s="421">
        <v>0</v>
      </c>
      <c r="M49" s="421">
        <f>105.34+438.93+836.06</f>
        <v>1380.33</v>
      </c>
      <c r="N49" s="421">
        <v>0</v>
      </c>
      <c r="O49" s="421">
        <v>423.9</v>
      </c>
      <c r="P49" s="422">
        <f t="shared" si="1"/>
        <v>3046.5899999999997</v>
      </c>
    </row>
    <row r="50" spans="1:16" s="156" customFormat="1">
      <c r="A50" s="391" t="s">
        <v>467</v>
      </c>
      <c r="B50" s="392" t="s">
        <v>468</v>
      </c>
      <c r="C50" s="269" t="s">
        <v>558</v>
      </c>
      <c r="D50" s="267" t="s">
        <v>559</v>
      </c>
      <c r="E50" s="267">
        <v>3</v>
      </c>
      <c r="F50" s="273" t="s">
        <v>726</v>
      </c>
      <c r="G50" s="271" t="s">
        <v>906</v>
      </c>
      <c r="H50" s="418">
        <v>2</v>
      </c>
      <c r="I50" s="419">
        <v>44</v>
      </c>
      <c r="J50" s="420">
        <v>5175</v>
      </c>
      <c r="K50" s="421">
        <v>0</v>
      </c>
      <c r="L50" s="421">
        <v>0</v>
      </c>
      <c r="M50" s="421">
        <v>220</v>
      </c>
      <c r="N50" s="421">
        <v>0</v>
      </c>
      <c r="O50" s="421">
        <v>1005.18</v>
      </c>
      <c r="P50" s="422">
        <f t="shared" si="1"/>
        <v>4389.82</v>
      </c>
    </row>
    <row r="51" spans="1:16" s="156" customFormat="1">
      <c r="A51" s="391" t="s">
        <v>467</v>
      </c>
      <c r="B51" s="392" t="s">
        <v>468</v>
      </c>
      <c r="C51" s="269" t="s">
        <v>560</v>
      </c>
      <c r="D51" s="267" t="s">
        <v>561</v>
      </c>
      <c r="E51" s="267">
        <v>3</v>
      </c>
      <c r="F51" s="273" t="s">
        <v>710</v>
      </c>
      <c r="G51" s="271" t="s">
        <v>906</v>
      </c>
      <c r="H51" s="418">
        <v>2</v>
      </c>
      <c r="I51" s="419">
        <v>44</v>
      </c>
      <c r="J51" s="420">
        <v>880</v>
      </c>
      <c r="K51" s="421">
        <v>0</v>
      </c>
      <c r="L51" s="421">
        <v>0</v>
      </c>
      <c r="M51" s="421">
        <f>220+51.27+176+64</f>
        <v>511.27</v>
      </c>
      <c r="N51" s="421">
        <v>0</v>
      </c>
      <c r="O51" s="421">
        <v>120.34</v>
      </c>
      <c r="P51" s="422">
        <f t="shared" si="1"/>
        <v>1270.93</v>
      </c>
    </row>
    <row r="52" spans="1:16" s="156" customFormat="1">
      <c r="A52" s="391" t="s">
        <v>467</v>
      </c>
      <c r="B52" s="392" t="s">
        <v>468</v>
      </c>
      <c r="C52" s="269" t="s">
        <v>562</v>
      </c>
      <c r="D52" s="268" t="s">
        <v>563</v>
      </c>
      <c r="E52" s="267">
        <v>3</v>
      </c>
      <c r="F52" s="278" t="s">
        <v>725</v>
      </c>
      <c r="G52" s="271" t="s">
        <v>906</v>
      </c>
      <c r="H52" s="418">
        <v>1</v>
      </c>
      <c r="I52" s="419">
        <v>44</v>
      </c>
      <c r="J52" s="420">
        <v>1261.3800000000001</v>
      </c>
      <c r="K52" s="421">
        <v>0</v>
      </c>
      <c r="L52" s="421">
        <v>0</v>
      </c>
      <c r="M52" s="421">
        <f>220+64+78.44+326.84</f>
        <v>689.28</v>
      </c>
      <c r="N52" s="421">
        <v>0</v>
      </c>
      <c r="O52" s="421">
        <v>254.2</v>
      </c>
      <c r="P52" s="422">
        <f t="shared" si="1"/>
        <v>1696.46</v>
      </c>
    </row>
    <row r="53" spans="1:16" s="156" customFormat="1">
      <c r="A53" s="391" t="s">
        <v>467</v>
      </c>
      <c r="B53" s="392" t="s">
        <v>468</v>
      </c>
      <c r="C53" s="269">
        <v>39960544400</v>
      </c>
      <c r="D53" s="267" t="s">
        <v>564</v>
      </c>
      <c r="E53" s="267">
        <v>2</v>
      </c>
      <c r="F53" s="273" t="s">
        <v>712</v>
      </c>
      <c r="G53" s="271" t="s">
        <v>906</v>
      </c>
      <c r="H53" s="418">
        <v>1</v>
      </c>
      <c r="I53" s="419">
        <v>44</v>
      </c>
      <c r="J53" s="420">
        <v>2090.16</v>
      </c>
      <c r="K53" s="421">
        <v>0</v>
      </c>
      <c r="L53" s="421">
        <v>0</v>
      </c>
      <c r="M53" s="421">
        <f>70.23+292.62+836.06</f>
        <v>1198.9099999999999</v>
      </c>
      <c r="N53" s="421">
        <v>0</v>
      </c>
      <c r="O53" s="421">
        <v>403.83</v>
      </c>
      <c r="P53" s="422">
        <f t="shared" si="1"/>
        <v>2885.24</v>
      </c>
    </row>
    <row r="54" spans="1:16" s="156" customFormat="1">
      <c r="A54" s="391" t="s">
        <v>467</v>
      </c>
      <c r="B54" s="392" t="s">
        <v>468</v>
      </c>
      <c r="C54" s="269" t="s">
        <v>565</v>
      </c>
      <c r="D54" s="267" t="s">
        <v>566</v>
      </c>
      <c r="E54" s="267">
        <v>2</v>
      </c>
      <c r="F54" s="273" t="s">
        <v>708</v>
      </c>
      <c r="G54" s="271" t="s">
        <v>906</v>
      </c>
      <c r="H54" s="418">
        <v>1</v>
      </c>
      <c r="I54" s="419">
        <v>44</v>
      </c>
      <c r="J54" s="420">
        <v>668.02</v>
      </c>
      <c r="K54" s="421">
        <v>0</v>
      </c>
      <c r="L54" s="421">
        <v>0</v>
      </c>
      <c r="M54" s="421">
        <f>117.33+152.79</f>
        <v>270.12</v>
      </c>
      <c r="N54" s="421">
        <v>0</v>
      </c>
      <c r="O54" s="421">
        <v>83.95</v>
      </c>
      <c r="P54" s="422">
        <f t="shared" si="1"/>
        <v>854.18999999999994</v>
      </c>
    </row>
    <row r="55" spans="1:16" s="156" customFormat="1">
      <c r="A55" s="391" t="s">
        <v>467</v>
      </c>
      <c r="B55" s="392" t="s">
        <v>468</v>
      </c>
      <c r="C55" s="269" t="s">
        <v>567</v>
      </c>
      <c r="D55" s="267" t="s">
        <v>568</v>
      </c>
      <c r="E55" s="267">
        <v>3</v>
      </c>
      <c r="F55" s="273" t="s">
        <v>709</v>
      </c>
      <c r="G55" s="271" t="s">
        <v>906</v>
      </c>
      <c r="H55" s="418">
        <v>2</v>
      </c>
      <c r="I55" s="419">
        <v>44</v>
      </c>
      <c r="J55" s="420">
        <v>586.66999999999996</v>
      </c>
      <c r="K55" s="421">
        <v>0</v>
      </c>
      <c r="L55" s="421">
        <v>0</v>
      </c>
      <c r="M55" s="421">
        <f>3894-586.67</f>
        <v>3307.33</v>
      </c>
      <c r="N55" s="421">
        <v>0</v>
      </c>
      <c r="O55" s="421">
        <v>926.41</v>
      </c>
      <c r="P55" s="422">
        <f t="shared" si="1"/>
        <v>2967.59</v>
      </c>
    </row>
    <row r="56" spans="1:16" s="156" customFormat="1">
      <c r="A56" s="391" t="s">
        <v>467</v>
      </c>
      <c r="B56" s="392" t="s">
        <v>468</v>
      </c>
      <c r="C56" s="266" t="s">
        <v>569</v>
      </c>
      <c r="D56" s="267" t="s">
        <v>570</v>
      </c>
      <c r="E56" s="267">
        <v>3</v>
      </c>
      <c r="F56" s="273" t="s">
        <v>716</v>
      </c>
      <c r="G56" s="271" t="s">
        <v>906</v>
      </c>
      <c r="H56" s="418">
        <v>1</v>
      </c>
      <c r="I56" s="419">
        <v>44</v>
      </c>
      <c r="J56" s="420">
        <v>586.66999999999996</v>
      </c>
      <c r="K56" s="421">
        <v>0</v>
      </c>
      <c r="L56" s="421">
        <v>0</v>
      </c>
      <c r="M56" s="421">
        <f>513.33+117.33</f>
        <v>630.66000000000008</v>
      </c>
      <c r="N56" s="421">
        <v>0</v>
      </c>
      <c r="O56" s="421">
        <v>181.05</v>
      </c>
      <c r="P56" s="422">
        <f t="shared" si="1"/>
        <v>1036.28</v>
      </c>
    </row>
    <row r="57" spans="1:16" s="156" customFormat="1">
      <c r="A57" s="391" t="s">
        <v>467</v>
      </c>
      <c r="B57" s="392" t="s">
        <v>468</v>
      </c>
      <c r="C57" s="269" t="s">
        <v>571</v>
      </c>
      <c r="D57" s="267" t="s">
        <v>572</v>
      </c>
      <c r="E57" s="267">
        <v>2</v>
      </c>
      <c r="F57" s="274" t="s">
        <v>721</v>
      </c>
      <c r="G57" s="271" t="s">
        <v>906</v>
      </c>
      <c r="H57" s="418">
        <v>1</v>
      </c>
      <c r="I57" s="419">
        <v>44</v>
      </c>
      <c r="J57" s="420">
        <v>3209.67</v>
      </c>
      <c r="K57" s="421">
        <v>0</v>
      </c>
      <c r="L57" s="421">
        <v>0</v>
      </c>
      <c r="M57" s="421">
        <f>316.83+220+131.7+548.75</f>
        <v>1217.28</v>
      </c>
      <c r="N57" s="421">
        <v>0</v>
      </c>
      <c r="O57" s="421">
        <v>741.05</v>
      </c>
      <c r="P57" s="422">
        <f t="shared" si="1"/>
        <v>3685.8999999999996</v>
      </c>
    </row>
    <row r="58" spans="1:16" s="156" customFormat="1">
      <c r="A58" s="391" t="s">
        <v>467</v>
      </c>
      <c r="B58" s="392" t="s">
        <v>468</v>
      </c>
      <c r="C58" s="269" t="s">
        <v>573</v>
      </c>
      <c r="D58" s="267" t="s">
        <v>574</v>
      </c>
      <c r="E58" s="267">
        <v>3</v>
      </c>
      <c r="F58" s="274" t="s">
        <v>727</v>
      </c>
      <c r="G58" s="271" t="s">
        <v>906</v>
      </c>
      <c r="H58" s="418">
        <v>2</v>
      </c>
      <c r="I58" s="419">
        <v>44</v>
      </c>
      <c r="J58" s="420">
        <v>569.25</v>
      </c>
      <c r="K58" s="421">
        <v>1487.49</v>
      </c>
      <c r="L58" s="421">
        <v>0</v>
      </c>
      <c r="M58" s="421">
        <f>80.67</f>
        <v>80.67</v>
      </c>
      <c r="N58" s="421">
        <v>0</v>
      </c>
      <c r="O58" s="421">
        <v>1694.4</v>
      </c>
      <c r="P58" s="422">
        <f t="shared" si="1"/>
        <v>443.00999999999976</v>
      </c>
    </row>
    <row r="59" spans="1:16" s="156" customFormat="1">
      <c r="A59" s="391" t="s">
        <v>467</v>
      </c>
      <c r="B59" s="392" t="s">
        <v>468</v>
      </c>
      <c r="C59" s="269" t="s">
        <v>575</v>
      </c>
      <c r="D59" s="267" t="s">
        <v>576</v>
      </c>
      <c r="E59" s="267">
        <v>3</v>
      </c>
      <c r="F59" s="274" t="s">
        <v>722</v>
      </c>
      <c r="G59" s="271" t="s">
        <v>906</v>
      </c>
      <c r="H59" s="418">
        <v>1</v>
      </c>
      <c r="I59" s="419">
        <v>44</v>
      </c>
      <c r="J59" s="420">
        <v>1892.07</v>
      </c>
      <c r="K59" s="421">
        <v>0</v>
      </c>
      <c r="L59" s="421">
        <v>0</v>
      </c>
      <c r="M59" s="421">
        <v>220</v>
      </c>
      <c r="N59" s="421">
        <v>0</v>
      </c>
      <c r="O59" s="421">
        <v>211.42</v>
      </c>
      <c r="P59" s="422">
        <f t="shared" si="1"/>
        <v>1900.6499999999996</v>
      </c>
    </row>
    <row r="60" spans="1:16" s="155" customFormat="1">
      <c r="A60" s="391" t="s">
        <v>467</v>
      </c>
      <c r="B60" s="392" t="s">
        <v>468</v>
      </c>
      <c r="C60" s="269">
        <v>11293575461</v>
      </c>
      <c r="D60" s="267" t="s">
        <v>577</v>
      </c>
      <c r="E60" s="267">
        <v>3</v>
      </c>
      <c r="F60" s="273" t="s">
        <v>717</v>
      </c>
      <c r="G60" s="271" t="s">
        <v>906</v>
      </c>
      <c r="H60" s="418">
        <v>1</v>
      </c>
      <c r="I60" s="419">
        <v>44</v>
      </c>
      <c r="J60" s="420">
        <v>843.33</v>
      </c>
      <c r="K60" s="421">
        <v>0</v>
      </c>
      <c r="L60" s="421">
        <v>0</v>
      </c>
      <c r="M60" s="421">
        <f>256.67+51.27+168.67+64+3.52+14.67</f>
        <v>558.79999999999995</v>
      </c>
      <c r="N60" s="421">
        <v>0</v>
      </c>
      <c r="O60" s="421">
        <v>121.31</v>
      </c>
      <c r="P60" s="422">
        <f t="shared" si="1"/>
        <v>1280.8200000000002</v>
      </c>
    </row>
    <row r="61" spans="1:16" s="156" customFormat="1">
      <c r="A61" s="391" t="s">
        <v>467</v>
      </c>
      <c r="B61" s="392" t="s">
        <v>468</v>
      </c>
      <c r="C61" s="269">
        <v>28651282885</v>
      </c>
      <c r="D61" s="267" t="s">
        <v>578</v>
      </c>
      <c r="E61" s="267">
        <v>3</v>
      </c>
      <c r="F61" s="274" t="s">
        <v>717</v>
      </c>
      <c r="G61" s="271" t="s">
        <v>906</v>
      </c>
      <c r="H61" s="418">
        <v>1</v>
      </c>
      <c r="I61" s="419">
        <v>44</v>
      </c>
      <c r="J61" s="420">
        <v>1100</v>
      </c>
      <c r="K61" s="421">
        <v>0</v>
      </c>
      <c r="L61" s="421">
        <v>0</v>
      </c>
      <c r="M61" s="421">
        <v>220</v>
      </c>
      <c r="N61" s="421">
        <v>0</v>
      </c>
      <c r="O61" s="421">
        <v>190.3</v>
      </c>
      <c r="P61" s="422">
        <f t="shared" si="1"/>
        <v>1129.7</v>
      </c>
    </row>
    <row r="62" spans="1:16" s="153" customFormat="1">
      <c r="A62" s="391" t="s">
        <v>467</v>
      </c>
      <c r="B62" s="392" t="s">
        <v>468</v>
      </c>
      <c r="C62" s="269">
        <v>92120482420</v>
      </c>
      <c r="D62" s="267" t="s">
        <v>579</v>
      </c>
      <c r="E62" s="267">
        <v>2</v>
      </c>
      <c r="F62" s="273" t="s">
        <v>708</v>
      </c>
      <c r="G62" s="271" t="s">
        <v>906</v>
      </c>
      <c r="H62" s="418">
        <v>1</v>
      </c>
      <c r="I62" s="419">
        <v>44</v>
      </c>
      <c r="J62" s="420">
        <v>0</v>
      </c>
      <c r="K62" s="421">
        <v>0</v>
      </c>
      <c r="L62" s="421">
        <v>0</v>
      </c>
      <c r="M62" s="421">
        <v>0</v>
      </c>
      <c r="N62" s="421">
        <v>0</v>
      </c>
      <c r="O62" s="421">
        <v>0</v>
      </c>
      <c r="P62" s="422">
        <f t="shared" si="1"/>
        <v>0</v>
      </c>
    </row>
    <row r="63" spans="1:16" s="153" customFormat="1">
      <c r="A63" s="391" t="s">
        <v>467</v>
      </c>
      <c r="B63" s="392" t="s">
        <v>468</v>
      </c>
      <c r="C63" s="269" t="s">
        <v>580</v>
      </c>
      <c r="D63" s="267" t="s">
        <v>581</v>
      </c>
      <c r="E63" s="267">
        <v>2</v>
      </c>
      <c r="F63" s="273" t="s">
        <v>708</v>
      </c>
      <c r="G63" s="271" t="s">
        <v>906</v>
      </c>
      <c r="H63" s="418">
        <v>1</v>
      </c>
      <c r="I63" s="419">
        <v>44</v>
      </c>
      <c r="J63" s="420">
        <v>1252.53</v>
      </c>
      <c r="K63" s="421">
        <v>0</v>
      </c>
      <c r="L63" s="421">
        <v>0</v>
      </c>
      <c r="M63" s="421">
        <f>220+143.68</f>
        <v>363.68</v>
      </c>
      <c r="N63" s="421">
        <v>0</v>
      </c>
      <c r="O63" s="421">
        <v>216.22</v>
      </c>
      <c r="P63" s="422">
        <f t="shared" si="1"/>
        <v>1399.99</v>
      </c>
    </row>
    <row r="64" spans="1:16" s="153" customFormat="1">
      <c r="A64" s="391" t="s">
        <v>467</v>
      </c>
      <c r="B64" s="392" t="s">
        <v>468</v>
      </c>
      <c r="C64" s="269" t="s">
        <v>582</v>
      </c>
      <c r="D64" s="267" t="s">
        <v>583</v>
      </c>
      <c r="E64" s="267">
        <v>2</v>
      </c>
      <c r="F64" s="274" t="s">
        <v>715</v>
      </c>
      <c r="G64" s="271" t="s">
        <v>906</v>
      </c>
      <c r="H64" s="418">
        <v>1</v>
      </c>
      <c r="I64" s="419">
        <v>44</v>
      </c>
      <c r="J64" s="420">
        <v>1208.82</v>
      </c>
      <c r="K64" s="421">
        <v>0</v>
      </c>
      <c r="L64" s="421">
        <v>0</v>
      </c>
      <c r="M64" s="421">
        <f>220+72.39+301.64</f>
        <v>594.03</v>
      </c>
      <c r="N64" s="421">
        <v>0</v>
      </c>
      <c r="O64" s="421">
        <v>169.93</v>
      </c>
      <c r="P64" s="422">
        <f t="shared" si="1"/>
        <v>1632.9199999999998</v>
      </c>
    </row>
    <row r="65" spans="1:16" s="153" customFormat="1">
      <c r="A65" s="391" t="s">
        <v>467</v>
      </c>
      <c r="B65" s="392" t="s">
        <v>468</v>
      </c>
      <c r="C65" s="269" t="s">
        <v>584</v>
      </c>
      <c r="D65" s="267" t="s">
        <v>585</v>
      </c>
      <c r="E65" s="267">
        <v>2</v>
      </c>
      <c r="F65" s="274" t="s">
        <v>721</v>
      </c>
      <c r="G65" s="271" t="s">
        <v>906</v>
      </c>
      <c r="H65" s="418">
        <v>1</v>
      </c>
      <c r="I65" s="419">
        <v>44</v>
      </c>
      <c r="J65" s="420">
        <v>3209.67</v>
      </c>
      <c r="K65" s="421">
        <v>0</v>
      </c>
      <c r="L65" s="421">
        <v>0</v>
      </c>
      <c r="M65" s="421">
        <f>327.83+220+164.62+685.93</f>
        <v>1398.3799999999999</v>
      </c>
      <c r="N65" s="421">
        <v>0</v>
      </c>
      <c r="O65" s="421">
        <v>758.78</v>
      </c>
      <c r="P65" s="422">
        <f t="shared" si="1"/>
        <v>3849.2700000000004</v>
      </c>
    </row>
    <row r="66" spans="1:16" s="153" customFormat="1">
      <c r="A66" s="391" t="s">
        <v>467</v>
      </c>
      <c r="B66" s="392" t="s">
        <v>468</v>
      </c>
      <c r="C66" s="269" t="s">
        <v>586</v>
      </c>
      <c r="D66" s="267" t="s">
        <v>587</v>
      </c>
      <c r="E66" s="267">
        <v>2</v>
      </c>
      <c r="F66" s="273" t="s">
        <v>713</v>
      </c>
      <c r="G66" s="271" t="s">
        <v>906</v>
      </c>
      <c r="H66" s="418">
        <v>1</v>
      </c>
      <c r="I66" s="419">
        <v>44</v>
      </c>
      <c r="J66" s="420">
        <v>2055.94</v>
      </c>
      <c r="K66" s="421">
        <v>0</v>
      </c>
      <c r="L66" s="421">
        <v>0</v>
      </c>
      <c r="M66" s="421">
        <f>220+109.25+455.19</f>
        <v>784.44</v>
      </c>
      <c r="N66" s="421">
        <v>0</v>
      </c>
      <c r="O66" s="421">
        <v>311.52</v>
      </c>
      <c r="P66" s="422">
        <f t="shared" ref="P66:P97" si="2">SUM(J66:N66)-O66</f>
        <v>2528.86</v>
      </c>
    </row>
    <row r="67" spans="1:16" s="156" customFormat="1">
      <c r="A67" s="391" t="s">
        <v>467</v>
      </c>
      <c r="B67" s="392" t="s">
        <v>468</v>
      </c>
      <c r="C67" s="269" t="s">
        <v>588</v>
      </c>
      <c r="D67" s="267" t="s">
        <v>589</v>
      </c>
      <c r="E67" s="267">
        <v>3</v>
      </c>
      <c r="F67" s="276" t="s">
        <v>716</v>
      </c>
      <c r="G67" s="271" t="s">
        <v>906</v>
      </c>
      <c r="H67" s="418">
        <v>1</v>
      </c>
      <c r="I67" s="419">
        <v>44</v>
      </c>
      <c r="J67" s="420">
        <v>1100</v>
      </c>
      <c r="K67" s="421">
        <v>0</v>
      </c>
      <c r="L67" s="421">
        <v>0</v>
      </c>
      <c r="M67" s="421">
        <f>51.27+220+3.52+14.67</f>
        <v>289.45999999999998</v>
      </c>
      <c r="N67" s="421">
        <v>0</v>
      </c>
      <c r="O67" s="421">
        <v>191.93</v>
      </c>
      <c r="P67" s="422">
        <f t="shared" si="2"/>
        <v>1197.53</v>
      </c>
    </row>
    <row r="68" spans="1:16" s="156" customFormat="1">
      <c r="A68" s="391" t="s">
        <v>467</v>
      </c>
      <c r="B68" s="392" t="s">
        <v>468</v>
      </c>
      <c r="C68" s="269">
        <v>10505042401</v>
      </c>
      <c r="D68" s="267" t="s">
        <v>590</v>
      </c>
      <c r="E68" s="267">
        <v>2</v>
      </c>
      <c r="F68" s="273" t="s">
        <v>708</v>
      </c>
      <c r="G68" s="271" t="s">
        <v>906</v>
      </c>
      <c r="H68" s="418">
        <v>1</v>
      </c>
      <c r="I68" s="419">
        <v>44</v>
      </c>
      <c r="J68" s="420">
        <v>1252.53</v>
      </c>
      <c r="K68" s="421">
        <v>0</v>
      </c>
      <c r="L68" s="421">
        <v>0</v>
      </c>
      <c r="M68" s="421">
        <f>1994.94-1252.53</f>
        <v>742.41000000000008</v>
      </c>
      <c r="N68" s="421">
        <v>0</v>
      </c>
      <c r="O68" s="421">
        <v>241.79</v>
      </c>
      <c r="P68" s="422">
        <f t="shared" si="2"/>
        <v>1753.15</v>
      </c>
    </row>
    <row r="69" spans="1:16" s="156" customFormat="1">
      <c r="A69" s="391" t="s">
        <v>467</v>
      </c>
      <c r="B69" s="392" t="s">
        <v>468</v>
      </c>
      <c r="C69" s="269" t="s">
        <v>591</v>
      </c>
      <c r="D69" s="268" t="s">
        <v>592</v>
      </c>
      <c r="E69" s="267">
        <v>2</v>
      </c>
      <c r="F69" s="273" t="s">
        <v>708</v>
      </c>
      <c r="G69" s="271" t="s">
        <v>906</v>
      </c>
      <c r="H69" s="418">
        <v>1</v>
      </c>
      <c r="I69" s="419">
        <v>44</v>
      </c>
      <c r="J69" s="420">
        <v>1252.53</v>
      </c>
      <c r="K69" s="421">
        <v>0</v>
      </c>
      <c r="L69" s="421">
        <v>0</v>
      </c>
      <c r="M69" s="421">
        <f>2034.44-1252.53</f>
        <v>781.91000000000008</v>
      </c>
      <c r="N69" s="421">
        <v>0</v>
      </c>
      <c r="O69" s="421">
        <v>181.77</v>
      </c>
      <c r="P69" s="422">
        <f t="shared" si="2"/>
        <v>1852.67</v>
      </c>
    </row>
    <row r="70" spans="1:16" s="156" customFormat="1">
      <c r="A70" s="391" t="s">
        <v>467</v>
      </c>
      <c r="B70" s="392" t="s">
        <v>468</v>
      </c>
      <c r="C70" s="269">
        <v>77307950430</v>
      </c>
      <c r="D70" s="267" t="s">
        <v>593</v>
      </c>
      <c r="E70" s="267">
        <v>3</v>
      </c>
      <c r="F70" s="276" t="s">
        <v>716</v>
      </c>
      <c r="G70" s="271" t="s">
        <v>906</v>
      </c>
      <c r="H70" s="418">
        <v>1</v>
      </c>
      <c r="I70" s="419">
        <v>44</v>
      </c>
      <c r="J70" s="420">
        <v>1100</v>
      </c>
      <c r="K70" s="421">
        <v>0</v>
      </c>
      <c r="L70" s="421">
        <v>0</v>
      </c>
      <c r="M70" s="421">
        <v>220</v>
      </c>
      <c r="N70" s="421">
        <v>0</v>
      </c>
      <c r="O70" s="421">
        <v>190.3</v>
      </c>
      <c r="P70" s="422">
        <f t="shared" si="2"/>
        <v>1129.7</v>
      </c>
    </row>
    <row r="71" spans="1:16" s="156" customFormat="1">
      <c r="A71" s="391" t="s">
        <v>467</v>
      </c>
      <c r="B71" s="392" t="s">
        <v>468</v>
      </c>
      <c r="C71" s="269" t="s">
        <v>594</v>
      </c>
      <c r="D71" s="267" t="s">
        <v>595</v>
      </c>
      <c r="E71" s="267">
        <v>2</v>
      </c>
      <c r="F71" s="274" t="s">
        <v>721</v>
      </c>
      <c r="G71" s="271" t="s">
        <v>906</v>
      </c>
      <c r="H71" s="418">
        <v>1</v>
      </c>
      <c r="I71" s="419">
        <v>44</v>
      </c>
      <c r="J71" s="420">
        <v>3209.67</v>
      </c>
      <c r="K71" s="421">
        <v>0</v>
      </c>
      <c r="L71" s="421">
        <v>0</v>
      </c>
      <c r="M71" s="421">
        <f>3828.91-3209.67</f>
        <v>619.23999999999978</v>
      </c>
      <c r="N71" s="421">
        <v>0</v>
      </c>
      <c r="O71" s="421">
        <v>564.80999999999995</v>
      </c>
      <c r="P71" s="422">
        <f t="shared" si="2"/>
        <v>3264.1</v>
      </c>
    </row>
    <row r="72" spans="1:16" s="156" customFormat="1">
      <c r="A72" s="391" t="s">
        <v>467</v>
      </c>
      <c r="B72" s="392" t="s">
        <v>468</v>
      </c>
      <c r="C72" s="269" t="s">
        <v>596</v>
      </c>
      <c r="D72" s="267" t="s">
        <v>597</v>
      </c>
      <c r="E72" s="267">
        <v>3</v>
      </c>
      <c r="F72" s="278" t="s">
        <v>725</v>
      </c>
      <c r="G72" s="271" t="s">
        <v>906</v>
      </c>
      <c r="H72" s="418">
        <v>1</v>
      </c>
      <c r="I72" s="419">
        <v>44</v>
      </c>
      <c r="J72" s="420">
        <v>3105</v>
      </c>
      <c r="K72" s="421">
        <v>0</v>
      </c>
      <c r="L72" s="421">
        <v>0</v>
      </c>
      <c r="M72" s="421">
        <f>220+64</f>
        <v>284</v>
      </c>
      <c r="N72" s="421">
        <v>0</v>
      </c>
      <c r="O72" s="421">
        <v>419.03</v>
      </c>
      <c r="P72" s="422">
        <f t="shared" si="2"/>
        <v>2969.9700000000003</v>
      </c>
    </row>
    <row r="73" spans="1:16" s="156" customFormat="1">
      <c r="A73" s="391" t="s">
        <v>467</v>
      </c>
      <c r="B73" s="392" t="s">
        <v>468</v>
      </c>
      <c r="C73" s="269">
        <v>10068012438</v>
      </c>
      <c r="D73" s="268" t="s">
        <v>598</v>
      </c>
      <c r="E73" s="267">
        <v>3</v>
      </c>
      <c r="F73" s="274" t="s">
        <v>710</v>
      </c>
      <c r="G73" s="271" t="s">
        <v>906</v>
      </c>
      <c r="H73" s="418">
        <v>1</v>
      </c>
      <c r="I73" s="419">
        <v>44</v>
      </c>
      <c r="J73" s="420">
        <v>916.67</v>
      </c>
      <c r="K73" s="421">
        <v>0</v>
      </c>
      <c r="L73" s="421">
        <v>0</v>
      </c>
      <c r="M73" s="421">
        <f>1728.92-916.67</f>
        <v>812.25000000000011</v>
      </c>
      <c r="N73" s="421">
        <v>0</v>
      </c>
      <c r="O73" s="421">
        <v>206.35</v>
      </c>
      <c r="P73" s="422">
        <f t="shared" si="2"/>
        <v>1522.5700000000002</v>
      </c>
    </row>
    <row r="74" spans="1:16" s="156" customFormat="1">
      <c r="A74" s="391" t="s">
        <v>467</v>
      </c>
      <c r="B74" s="392" t="s">
        <v>468</v>
      </c>
      <c r="C74" s="269" t="s">
        <v>599</v>
      </c>
      <c r="D74" s="267" t="s">
        <v>600</v>
      </c>
      <c r="E74" s="267">
        <v>2</v>
      </c>
      <c r="F74" s="275" t="s">
        <v>714</v>
      </c>
      <c r="G74" s="271" t="s">
        <v>906</v>
      </c>
      <c r="H74" s="418">
        <v>1</v>
      </c>
      <c r="I74" s="419">
        <v>44</v>
      </c>
      <c r="J74" s="420">
        <v>1500</v>
      </c>
      <c r="K74" s="421">
        <v>0</v>
      </c>
      <c r="L74" s="421">
        <v>0</v>
      </c>
      <c r="M74" s="421">
        <v>220</v>
      </c>
      <c r="N74" s="421">
        <v>0</v>
      </c>
      <c r="O74" s="421">
        <v>138.30000000000001</v>
      </c>
      <c r="P74" s="422">
        <f t="shared" si="2"/>
        <v>1581.7</v>
      </c>
    </row>
    <row r="75" spans="1:16" s="156" customFormat="1">
      <c r="A75" s="391" t="s">
        <v>467</v>
      </c>
      <c r="B75" s="392" t="s">
        <v>468</v>
      </c>
      <c r="C75" s="269" t="s">
        <v>601</v>
      </c>
      <c r="D75" s="267" t="s">
        <v>602</v>
      </c>
      <c r="E75" s="267">
        <v>3</v>
      </c>
      <c r="F75" s="274" t="s">
        <v>710</v>
      </c>
      <c r="G75" s="271" t="s">
        <v>906</v>
      </c>
      <c r="H75" s="418">
        <v>1</v>
      </c>
      <c r="I75" s="419">
        <v>44</v>
      </c>
      <c r="J75" s="420">
        <v>953.33</v>
      </c>
      <c r="K75" s="421">
        <v>0</v>
      </c>
      <c r="L75" s="421">
        <v>0</v>
      </c>
      <c r="M75" s="421">
        <f>1605.99-953.33</f>
        <v>652.66</v>
      </c>
      <c r="N75" s="421">
        <v>0</v>
      </c>
      <c r="O75" s="421">
        <v>205.66</v>
      </c>
      <c r="P75" s="422">
        <f t="shared" si="2"/>
        <v>1400.33</v>
      </c>
    </row>
    <row r="76" spans="1:16" s="156" customFormat="1">
      <c r="A76" s="391" t="s">
        <v>467</v>
      </c>
      <c r="B76" s="392" t="s">
        <v>468</v>
      </c>
      <c r="C76" s="269" t="s">
        <v>603</v>
      </c>
      <c r="D76" s="267" t="s">
        <v>604</v>
      </c>
      <c r="E76" s="267">
        <v>2</v>
      </c>
      <c r="F76" s="273" t="s">
        <v>712</v>
      </c>
      <c r="G76" s="271" t="s">
        <v>906</v>
      </c>
      <c r="H76" s="418">
        <v>1</v>
      </c>
      <c r="I76" s="419">
        <v>44</v>
      </c>
      <c r="J76" s="420">
        <v>1741.8</v>
      </c>
      <c r="K76" s="421">
        <v>0</v>
      </c>
      <c r="L76" s="421">
        <v>0</v>
      </c>
      <c r="M76" s="421">
        <f>3107.64-1741.8</f>
        <v>1365.84</v>
      </c>
      <c r="N76" s="421">
        <v>0</v>
      </c>
      <c r="O76" s="421">
        <v>330.36</v>
      </c>
      <c r="P76" s="422">
        <f t="shared" si="2"/>
        <v>2777.2799999999997</v>
      </c>
    </row>
    <row r="77" spans="1:16" s="156" customFormat="1">
      <c r="A77" s="391" t="s">
        <v>467</v>
      </c>
      <c r="B77" s="392" t="s">
        <v>468</v>
      </c>
      <c r="C77" s="269" t="s">
        <v>605</v>
      </c>
      <c r="D77" s="267" t="s">
        <v>606</v>
      </c>
      <c r="E77" s="267">
        <v>2</v>
      </c>
      <c r="F77" s="273" t="s">
        <v>708</v>
      </c>
      <c r="G77" s="271" t="s">
        <v>906</v>
      </c>
      <c r="H77" s="418">
        <v>1</v>
      </c>
      <c r="I77" s="419">
        <v>44</v>
      </c>
      <c r="J77" s="420">
        <v>1127.28</v>
      </c>
      <c r="K77" s="421">
        <v>0</v>
      </c>
      <c r="L77" s="421">
        <v>0</v>
      </c>
      <c r="M77" s="421">
        <f>1500.94-1127.28</f>
        <v>373.66000000000008</v>
      </c>
      <c r="N77" s="421">
        <v>0</v>
      </c>
      <c r="O77" s="421">
        <v>139.09</v>
      </c>
      <c r="P77" s="422">
        <f t="shared" si="2"/>
        <v>1361.8500000000001</v>
      </c>
    </row>
    <row r="78" spans="1:16" s="156" customFormat="1">
      <c r="A78" s="391" t="s">
        <v>467</v>
      </c>
      <c r="B78" s="392" t="s">
        <v>468</v>
      </c>
      <c r="C78" s="269" t="s">
        <v>607</v>
      </c>
      <c r="D78" s="267" t="s">
        <v>608</v>
      </c>
      <c r="E78" s="267">
        <v>3</v>
      </c>
      <c r="F78" s="274" t="s">
        <v>718</v>
      </c>
      <c r="G78" s="271" t="s">
        <v>906</v>
      </c>
      <c r="H78" s="418">
        <v>1</v>
      </c>
      <c r="I78" s="419">
        <v>44</v>
      </c>
      <c r="J78" s="420">
        <v>669.09</v>
      </c>
      <c r="K78" s="421">
        <v>0</v>
      </c>
      <c r="L78" s="421">
        <v>0</v>
      </c>
      <c r="M78" s="421">
        <f>1720.3-669.09</f>
        <v>1051.21</v>
      </c>
      <c r="N78" s="421">
        <v>0</v>
      </c>
      <c r="O78" s="421">
        <v>232.92</v>
      </c>
      <c r="P78" s="422">
        <f t="shared" si="2"/>
        <v>1487.38</v>
      </c>
    </row>
    <row r="79" spans="1:16" s="156" customFormat="1">
      <c r="A79" s="391" t="s">
        <v>467</v>
      </c>
      <c r="B79" s="392" t="s">
        <v>468</v>
      </c>
      <c r="C79" s="269">
        <v>89967100400</v>
      </c>
      <c r="D79" s="267" t="s">
        <v>609</v>
      </c>
      <c r="E79" s="267">
        <v>3</v>
      </c>
      <c r="F79" s="273" t="s">
        <v>717</v>
      </c>
      <c r="G79" s="271" t="s">
        <v>906</v>
      </c>
      <c r="H79" s="418">
        <v>1</v>
      </c>
      <c r="I79" s="419">
        <v>44</v>
      </c>
      <c r="J79" s="420">
        <v>1100</v>
      </c>
      <c r="K79" s="421">
        <v>0</v>
      </c>
      <c r="L79" s="421">
        <v>0</v>
      </c>
      <c r="M79" s="421">
        <f>1435.27-1100</f>
        <v>335.27</v>
      </c>
      <c r="N79" s="421">
        <v>0</v>
      </c>
      <c r="O79" s="421">
        <v>124.3</v>
      </c>
      <c r="P79" s="422">
        <f t="shared" si="2"/>
        <v>1310.97</v>
      </c>
    </row>
    <row r="80" spans="1:16" s="156" customFormat="1">
      <c r="A80" s="391" t="s">
        <v>467</v>
      </c>
      <c r="B80" s="392" t="s">
        <v>468</v>
      </c>
      <c r="C80" s="269" t="s">
        <v>610</v>
      </c>
      <c r="D80" s="267" t="s">
        <v>611</v>
      </c>
      <c r="E80" s="267">
        <v>2</v>
      </c>
      <c r="F80" s="273" t="s">
        <v>713</v>
      </c>
      <c r="G80" s="271" t="s">
        <v>906</v>
      </c>
      <c r="H80" s="418">
        <v>1</v>
      </c>
      <c r="I80" s="419">
        <v>44</v>
      </c>
      <c r="J80" s="420">
        <v>1771.76</v>
      </c>
      <c r="K80" s="421">
        <v>0</v>
      </c>
      <c r="L80" s="421">
        <v>0</v>
      </c>
      <c r="M80" s="421">
        <f>2130.38-1771.76</f>
        <v>358.62000000000012</v>
      </c>
      <c r="N80" s="421">
        <v>0</v>
      </c>
      <c r="O80" s="421">
        <v>177.66</v>
      </c>
      <c r="P80" s="422">
        <f t="shared" si="2"/>
        <v>1952.72</v>
      </c>
    </row>
    <row r="81" spans="1:16" s="156" customFormat="1">
      <c r="A81" s="391" t="s">
        <v>467</v>
      </c>
      <c r="B81" s="392" t="s">
        <v>468</v>
      </c>
      <c r="C81" s="269" t="s">
        <v>612</v>
      </c>
      <c r="D81" s="267" t="s">
        <v>613</v>
      </c>
      <c r="E81" s="267">
        <v>3</v>
      </c>
      <c r="F81" s="274" t="s">
        <v>727</v>
      </c>
      <c r="G81" s="405"/>
      <c r="H81" s="418">
        <v>1</v>
      </c>
      <c r="I81" s="419">
        <v>44</v>
      </c>
      <c r="J81" s="420">
        <v>1552.5</v>
      </c>
      <c r="K81" s="421">
        <v>0</v>
      </c>
      <c r="L81" s="421">
        <v>0</v>
      </c>
      <c r="M81" s="421">
        <v>220</v>
      </c>
      <c r="N81" s="421">
        <v>0</v>
      </c>
      <c r="O81" s="421">
        <v>267.22000000000003</v>
      </c>
      <c r="P81" s="422">
        <f t="shared" si="2"/>
        <v>1505.28</v>
      </c>
    </row>
    <row r="82" spans="1:16" s="156" customFormat="1">
      <c r="A82" s="391" t="s">
        <v>467</v>
      </c>
      <c r="B82" s="392" t="s">
        <v>468</v>
      </c>
      <c r="C82" s="269" t="s">
        <v>614</v>
      </c>
      <c r="D82" s="267" t="s">
        <v>615</v>
      </c>
      <c r="E82" s="267">
        <v>2</v>
      </c>
      <c r="F82" s="273" t="s">
        <v>708</v>
      </c>
      <c r="G82" s="405"/>
      <c r="H82" s="418">
        <v>1</v>
      </c>
      <c r="I82" s="419">
        <v>44</v>
      </c>
      <c r="J82" s="420">
        <v>1043.78</v>
      </c>
      <c r="K82" s="421">
        <v>0</v>
      </c>
      <c r="L82" s="421">
        <v>0</v>
      </c>
      <c r="M82" s="421">
        <f>1855.32-1043.78</f>
        <v>811.54</v>
      </c>
      <c r="N82" s="421">
        <v>0</v>
      </c>
      <c r="O82" s="421">
        <v>234.73</v>
      </c>
      <c r="P82" s="422">
        <f t="shared" si="2"/>
        <v>1620.59</v>
      </c>
    </row>
    <row r="83" spans="1:16" s="155" customFormat="1">
      <c r="A83" s="391" t="s">
        <v>467</v>
      </c>
      <c r="B83" s="392" t="s">
        <v>468</v>
      </c>
      <c r="C83" s="269">
        <v>93397941415</v>
      </c>
      <c r="D83" s="267" t="s">
        <v>616</v>
      </c>
      <c r="E83" s="267">
        <v>2</v>
      </c>
      <c r="F83" s="273" t="s">
        <v>708</v>
      </c>
      <c r="G83" s="405"/>
      <c r="H83" s="418">
        <v>1</v>
      </c>
      <c r="I83" s="419">
        <v>44</v>
      </c>
      <c r="J83" s="420">
        <v>1252.53</v>
      </c>
      <c r="K83" s="421">
        <v>0</v>
      </c>
      <c r="L83" s="421">
        <v>0</v>
      </c>
      <c r="M83" s="421">
        <f>1968.95-1252.53</f>
        <v>716.42000000000007</v>
      </c>
      <c r="N83" s="421">
        <v>0</v>
      </c>
      <c r="O83" s="421">
        <v>170.74</v>
      </c>
      <c r="P83" s="422">
        <f t="shared" si="2"/>
        <v>1798.21</v>
      </c>
    </row>
    <row r="84" spans="1:16" s="155" customFormat="1">
      <c r="A84" s="391" t="s">
        <v>467</v>
      </c>
      <c r="B84" s="392" t="s">
        <v>468</v>
      </c>
      <c r="C84" s="269" t="s">
        <v>617</v>
      </c>
      <c r="D84" s="267" t="s">
        <v>618</v>
      </c>
      <c r="E84" s="267">
        <v>3</v>
      </c>
      <c r="F84" s="273" t="s">
        <v>728</v>
      </c>
      <c r="G84" s="405"/>
      <c r="H84" s="418">
        <v>2</v>
      </c>
      <c r="I84" s="419">
        <v>44</v>
      </c>
      <c r="J84" s="420">
        <v>1552.5</v>
      </c>
      <c r="K84" s="421">
        <v>0</v>
      </c>
      <c r="L84" s="421">
        <v>0</v>
      </c>
      <c r="M84" s="421">
        <v>220</v>
      </c>
      <c r="N84" s="421">
        <v>0</v>
      </c>
      <c r="O84" s="421">
        <v>174.07</v>
      </c>
      <c r="P84" s="422">
        <f t="shared" si="2"/>
        <v>1598.43</v>
      </c>
    </row>
    <row r="85" spans="1:16" s="155" customFormat="1">
      <c r="A85" s="391" t="s">
        <v>467</v>
      </c>
      <c r="B85" s="392" t="s">
        <v>468</v>
      </c>
      <c r="C85" s="269">
        <v>10560715404</v>
      </c>
      <c r="D85" s="267" t="s">
        <v>619</v>
      </c>
      <c r="E85" s="267">
        <v>2</v>
      </c>
      <c r="F85" s="275" t="s">
        <v>714</v>
      </c>
      <c r="G85" s="405"/>
      <c r="H85" s="418">
        <v>1</v>
      </c>
      <c r="I85" s="419">
        <v>44</v>
      </c>
      <c r="J85" s="420">
        <v>1500</v>
      </c>
      <c r="K85" s="421">
        <v>0</v>
      </c>
      <c r="L85" s="421">
        <v>0</v>
      </c>
      <c r="M85" s="421">
        <v>220</v>
      </c>
      <c r="N85" s="421">
        <v>0</v>
      </c>
      <c r="O85" s="421">
        <v>138.30000000000001</v>
      </c>
      <c r="P85" s="422">
        <f t="shared" si="2"/>
        <v>1581.7</v>
      </c>
    </row>
    <row r="86" spans="1:16" s="155" customFormat="1">
      <c r="A86" s="391" t="s">
        <v>467</v>
      </c>
      <c r="B86" s="392" t="s">
        <v>468</v>
      </c>
      <c r="C86" s="269">
        <v>70306823438</v>
      </c>
      <c r="D86" s="267" t="s">
        <v>620</v>
      </c>
      <c r="E86" s="267">
        <v>2</v>
      </c>
      <c r="F86" s="275" t="s">
        <v>714</v>
      </c>
      <c r="G86" s="405"/>
      <c r="H86" s="418">
        <v>1</v>
      </c>
      <c r="I86" s="419">
        <v>44</v>
      </c>
      <c r="J86" s="420">
        <v>1500</v>
      </c>
      <c r="K86" s="421">
        <v>0</v>
      </c>
      <c r="L86" s="421">
        <v>0</v>
      </c>
      <c r="M86" s="421">
        <v>220</v>
      </c>
      <c r="N86" s="421">
        <v>0</v>
      </c>
      <c r="O86" s="421">
        <v>138.30000000000001</v>
      </c>
      <c r="P86" s="422">
        <f t="shared" si="2"/>
        <v>1581.7</v>
      </c>
    </row>
    <row r="87" spans="1:16" s="155" customFormat="1">
      <c r="A87" s="391" t="s">
        <v>467</v>
      </c>
      <c r="B87" s="392" t="s">
        <v>468</v>
      </c>
      <c r="C87" s="269" t="s">
        <v>621</v>
      </c>
      <c r="D87" s="268" t="s">
        <v>622</v>
      </c>
      <c r="E87" s="267">
        <v>2</v>
      </c>
      <c r="F87" s="273" t="s">
        <v>712</v>
      </c>
      <c r="G87" s="405"/>
      <c r="H87" s="418">
        <v>1</v>
      </c>
      <c r="I87" s="419">
        <v>44</v>
      </c>
      <c r="J87" s="420">
        <v>2090.16</v>
      </c>
      <c r="K87" s="421">
        <v>0</v>
      </c>
      <c r="L87" s="421">
        <v>0</v>
      </c>
      <c r="M87" s="421">
        <f>3289.07-2090.16</f>
        <v>1198.9100000000003</v>
      </c>
      <c r="N87" s="421">
        <v>0</v>
      </c>
      <c r="O87" s="421">
        <v>777.17</v>
      </c>
      <c r="P87" s="422">
        <f t="shared" si="2"/>
        <v>2511.9</v>
      </c>
    </row>
    <row r="88" spans="1:16" s="155" customFormat="1">
      <c r="A88" s="391" t="s">
        <v>467</v>
      </c>
      <c r="B88" s="392" t="s">
        <v>468</v>
      </c>
      <c r="C88" s="266" t="s">
        <v>623</v>
      </c>
      <c r="D88" s="268" t="s">
        <v>624</v>
      </c>
      <c r="E88" s="270">
        <v>2</v>
      </c>
      <c r="F88" s="280" t="s">
        <v>708</v>
      </c>
      <c r="G88" s="405"/>
      <c r="H88" s="418">
        <v>1</v>
      </c>
      <c r="I88" s="419">
        <v>44</v>
      </c>
      <c r="J88" s="420">
        <v>1252.53</v>
      </c>
      <c r="K88" s="421">
        <v>0</v>
      </c>
      <c r="L88" s="421">
        <v>0</v>
      </c>
      <c r="M88" s="421">
        <f>1509.85-1252.53</f>
        <v>257.31999999999994</v>
      </c>
      <c r="N88" s="421">
        <v>0</v>
      </c>
      <c r="O88" s="421">
        <v>172.59</v>
      </c>
      <c r="P88" s="422">
        <f t="shared" si="2"/>
        <v>1337.26</v>
      </c>
    </row>
    <row r="89" spans="1:16" s="155" customFormat="1">
      <c r="A89" s="391" t="s">
        <v>467</v>
      </c>
      <c r="B89" s="392" t="s">
        <v>468</v>
      </c>
      <c r="C89" s="269">
        <v>98694910497</v>
      </c>
      <c r="D89" s="267" t="s">
        <v>625</v>
      </c>
      <c r="E89" s="267">
        <v>2</v>
      </c>
      <c r="F89" s="273" t="s">
        <v>708</v>
      </c>
      <c r="G89" s="405"/>
      <c r="H89" s="418">
        <v>1</v>
      </c>
      <c r="I89" s="419">
        <v>44</v>
      </c>
      <c r="J89" s="420">
        <v>1252.53</v>
      </c>
      <c r="K89" s="421">
        <v>0</v>
      </c>
      <c r="L89" s="421">
        <v>0</v>
      </c>
      <c r="M89" s="421">
        <f>1660.23-1252.53</f>
        <v>407.70000000000005</v>
      </c>
      <c r="N89" s="421">
        <v>0</v>
      </c>
      <c r="O89" s="421">
        <v>219.87</v>
      </c>
      <c r="P89" s="422">
        <f t="shared" si="2"/>
        <v>1440.3600000000001</v>
      </c>
    </row>
    <row r="90" spans="1:16" s="155" customFormat="1">
      <c r="A90" s="391" t="s">
        <v>467</v>
      </c>
      <c r="B90" s="392" t="s">
        <v>468</v>
      </c>
      <c r="C90" s="269">
        <v>70315023490</v>
      </c>
      <c r="D90" s="267" t="s">
        <v>626</v>
      </c>
      <c r="E90" s="267">
        <v>3</v>
      </c>
      <c r="F90" s="274" t="s">
        <v>710</v>
      </c>
      <c r="G90" s="405"/>
      <c r="H90" s="418">
        <v>1</v>
      </c>
      <c r="I90" s="419">
        <v>44</v>
      </c>
      <c r="J90" s="420">
        <v>1100</v>
      </c>
      <c r="K90" s="421">
        <v>0</v>
      </c>
      <c r="L90" s="421">
        <v>0</v>
      </c>
      <c r="M90" s="421">
        <f>1489.83-1100</f>
        <v>389.82999999999993</v>
      </c>
      <c r="N90" s="421">
        <v>0</v>
      </c>
      <c r="O90" s="421">
        <v>195.21</v>
      </c>
      <c r="P90" s="422">
        <f t="shared" si="2"/>
        <v>1294.6199999999999</v>
      </c>
    </row>
    <row r="91" spans="1:16" s="155" customFormat="1">
      <c r="A91" s="391" t="s">
        <v>467</v>
      </c>
      <c r="B91" s="392" t="s">
        <v>468</v>
      </c>
      <c r="C91" s="269">
        <v>61442607491</v>
      </c>
      <c r="D91" s="267" t="s">
        <v>627</v>
      </c>
      <c r="E91" s="267">
        <v>3</v>
      </c>
      <c r="F91" s="274" t="s">
        <v>729</v>
      </c>
      <c r="G91" s="405"/>
      <c r="H91" s="418">
        <v>1</v>
      </c>
      <c r="I91" s="419">
        <v>44</v>
      </c>
      <c r="J91" s="420">
        <v>16818.34</v>
      </c>
      <c r="K91" s="421">
        <v>0</v>
      </c>
      <c r="L91" s="421">
        <v>0</v>
      </c>
      <c r="M91" s="421">
        <v>220</v>
      </c>
      <c r="N91" s="421">
        <v>0</v>
      </c>
      <c r="O91" s="421">
        <v>4361.3599999999997</v>
      </c>
      <c r="P91" s="422">
        <f t="shared" si="2"/>
        <v>12676.98</v>
      </c>
    </row>
    <row r="92" spans="1:16" s="155" customFormat="1">
      <c r="A92" s="391" t="s">
        <v>467</v>
      </c>
      <c r="B92" s="392" t="s">
        <v>468</v>
      </c>
      <c r="C92" s="269" t="s">
        <v>628</v>
      </c>
      <c r="D92" s="267" t="s">
        <v>629</v>
      </c>
      <c r="E92" s="267">
        <v>2</v>
      </c>
      <c r="F92" s="273" t="s">
        <v>713</v>
      </c>
      <c r="G92" s="405"/>
      <c r="H92" s="418">
        <v>1</v>
      </c>
      <c r="I92" s="419">
        <v>44</v>
      </c>
      <c r="J92" s="420">
        <v>1771.76</v>
      </c>
      <c r="K92" s="421">
        <v>0</v>
      </c>
      <c r="L92" s="421">
        <v>0</v>
      </c>
      <c r="M92" s="421">
        <f>2584.5-1771.76</f>
        <v>812.74</v>
      </c>
      <c r="N92" s="421">
        <v>0</v>
      </c>
      <c r="O92" s="421">
        <v>249.71</v>
      </c>
      <c r="P92" s="422">
        <f t="shared" si="2"/>
        <v>2334.79</v>
      </c>
    </row>
    <row r="93" spans="1:16" s="155" customFormat="1">
      <c r="A93" s="391" t="s">
        <v>467</v>
      </c>
      <c r="B93" s="392" t="s">
        <v>468</v>
      </c>
      <c r="C93" s="269" t="s">
        <v>630</v>
      </c>
      <c r="D93" s="267" t="s">
        <v>631</v>
      </c>
      <c r="E93" s="267">
        <v>3</v>
      </c>
      <c r="F93" s="274" t="s">
        <v>718</v>
      </c>
      <c r="G93" s="405"/>
      <c r="H93" s="418">
        <v>1</v>
      </c>
      <c r="I93" s="419">
        <v>44</v>
      </c>
      <c r="J93" s="420">
        <v>794.55</v>
      </c>
      <c r="K93" s="421">
        <v>0</v>
      </c>
      <c r="L93" s="421">
        <v>0</v>
      </c>
      <c r="M93" s="421">
        <f>1393.88-794.55</f>
        <v>599.33000000000015</v>
      </c>
      <c r="N93" s="421">
        <v>0</v>
      </c>
      <c r="O93" s="421">
        <v>134.03</v>
      </c>
      <c r="P93" s="422">
        <f t="shared" si="2"/>
        <v>1259.8500000000001</v>
      </c>
    </row>
    <row r="94" spans="1:16" s="155" customFormat="1">
      <c r="A94" s="391" t="s">
        <v>467</v>
      </c>
      <c r="B94" s="392" t="s">
        <v>468</v>
      </c>
      <c r="C94" s="269" t="s">
        <v>632</v>
      </c>
      <c r="D94" s="267" t="s">
        <v>633</v>
      </c>
      <c r="E94" s="267">
        <v>3</v>
      </c>
      <c r="F94" s="274" t="s">
        <v>710</v>
      </c>
      <c r="G94" s="405"/>
      <c r="H94" s="418">
        <v>1</v>
      </c>
      <c r="I94" s="419">
        <v>44</v>
      </c>
      <c r="J94" s="420">
        <v>1100</v>
      </c>
      <c r="K94" s="421">
        <v>0</v>
      </c>
      <c r="L94" s="421">
        <f>1793.55-1100</f>
        <v>693.55</v>
      </c>
      <c r="M94" s="421">
        <v>0</v>
      </c>
      <c r="N94" s="421">
        <v>0</v>
      </c>
      <c r="O94" s="421">
        <v>155.38999999999999</v>
      </c>
      <c r="P94" s="422">
        <f t="shared" si="2"/>
        <v>1638.1599999999999</v>
      </c>
    </row>
    <row r="95" spans="1:16" s="155" customFormat="1">
      <c r="A95" s="391" t="s">
        <v>467</v>
      </c>
      <c r="B95" s="392" t="s">
        <v>468</v>
      </c>
      <c r="C95" s="269">
        <v>76656071449</v>
      </c>
      <c r="D95" s="267" t="s">
        <v>634</v>
      </c>
      <c r="E95" s="267">
        <v>3</v>
      </c>
      <c r="F95" s="276" t="s">
        <v>716</v>
      </c>
      <c r="G95" s="405"/>
      <c r="H95" s="418">
        <v>1</v>
      </c>
      <c r="I95" s="419">
        <v>44</v>
      </c>
      <c r="J95" s="420">
        <v>1100</v>
      </c>
      <c r="K95" s="421">
        <v>0</v>
      </c>
      <c r="L95" s="421">
        <v>0</v>
      </c>
      <c r="M95" s="421">
        <v>220</v>
      </c>
      <c r="N95" s="421">
        <v>0</v>
      </c>
      <c r="O95" s="421">
        <v>190.3</v>
      </c>
      <c r="P95" s="422">
        <f t="shared" si="2"/>
        <v>1129.7</v>
      </c>
    </row>
    <row r="96" spans="1:16" s="155" customFormat="1">
      <c r="A96" s="391" t="s">
        <v>467</v>
      </c>
      <c r="B96" s="392" t="s">
        <v>468</v>
      </c>
      <c r="C96" s="269" t="s">
        <v>635</v>
      </c>
      <c r="D96" s="267" t="s">
        <v>636</v>
      </c>
      <c r="E96" s="267">
        <v>2</v>
      </c>
      <c r="F96" s="273" t="s">
        <v>708</v>
      </c>
      <c r="G96" s="405"/>
      <c r="H96" s="418">
        <v>1</v>
      </c>
      <c r="I96" s="419">
        <v>44</v>
      </c>
      <c r="J96" s="420">
        <v>1252.53</v>
      </c>
      <c r="K96" s="421">
        <v>0</v>
      </c>
      <c r="L96" s="421">
        <v>0</v>
      </c>
      <c r="M96" s="421">
        <f>2115.51-1252.53</f>
        <v>862.98000000000025</v>
      </c>
      <c r="N96" s="421">
        <v>0</v>
      </c>
      <c r="O96" s="421">
        <v>250.92</v>
      </c>
      <c r="P96" s="422">
        <f t="shared" si="2"/>
        <v>1864.5900000000001</v>
      </c>
    </row>
    <row r="97" spans="1:241" s="155" customFormat="1">
      <c r="A97" s="391" t="s">
        <v>467</v>
      </c>
      <c r="B97" s="392" t="s">
        <v>468</v>
      </c>
      <c r="C97" s="269">
        <v>73554553468</v>
      </c>
      <c r="D97" s="267" t="s">
        <v>637</v>
      </c>
      <c r="E97" s="267">
        <v>2</v>
      </c>
      <c r="F97" s="273" t="s">
        <v>708</v>
      </c>
      <c r="G97" s="405"/>
      <c r="H97" s="418">
        <v>1</v>
      </c>
      <c r="I97" s="419">
        <v>44</v>
      </c>
      <c r="J97" s="420">
        <v>1252.53</v>
      </c>
      <c r="K97" s="421">
        <v>0</v>
      </c>
      <c r="L97" s="421">
        <v>0</v>
      </c>
      <c r="M97" s="421">
        <f>1973.98-1252.53</f>
        <v>721.45</v>
      </c>
      <c r="N97" s="421">
        <v>0</v>
      </c>
      <c r="O97" s="421">
        <v>247.26</v>
      </c>
      <c r="P97" s="422">
        <f t="shared" si="2"/>
        <v>1726.72</v>
      </c>
    </row>
    <row r="98" spans="1:241" s="155" customFormat="1">
      <c r="A98" s="391" t="s">
        <v>467</v>
      </c>
      <c r="B98" s="392" t="s">
        <v>468</v>
      </c>
      <c r="C98" s="269">
        <v>90002172453</v>
      </c>
      <c r="D98" s="267" t="s">
        <v>638</v>
      </c>
      <c r="E98" s="267">
        <v>3</v>
      </c>
      <c r="F98" s="274" t="s">
        <v>724</v>
      </c>
      <c r="G98" s="405"/>
      <c r="H98" s="418">
        <v>1</v>
      </c>
      <c r="I98" s="419">
        <v>44</v>
      </c>
      <c r="J98" s="420">
        <v>1100</v>
      </c>
      <c r="K98" s="421">
        <v>0</v>
      </c>
      <c r="L98" s="421">
        <v>0</v>
      </c>
      <c r="M98" s="421">
        <f>1392.75-1100</f>
        <v>292.75</v>
      </c>
      <c r="N98" s="421">
        <v>0</v>
      </c>
      <c r="O98" s="421">
        <v>196.84</v>
      </c>
      <c r="P98" s="422">
        <f t="shared" ref="P98:P129" si="3">SUM(J98:N98)-O98</f>
        <v>1195.9100000000001</v>
      </c>
    </row>
    <row r="99" spans="1:241" s="155" customFormat="1">
      <c r="A99" s="391" t="s">
        <v>467</v>
      </c>
      <c r="B99" s="392" t="s">
        <v>468</v>
      </c>
      <c r="C99" s="269">
        <v>66049890463</v>
      </c>
      <c r="D99" s="267" t="s">
        <v>639</v>
      </c>
      <c r="E99" s="267">
        <v>3</v>
      </c>
      <c r="F99" s="276" t="s">
        <v>716</v>
      </c>
      <c r="G99" s="405"/>
      <c r="H99" s="418">
        <v>1</v>
      </c>
      <c r="I99" s="419">
        <v>44</v>
      </c>
      <c r="J99" s="420">
        <v>696.67</v>
      </c>
      <c r="K99" s="421">
        <f>484+161.33+836+278.67+15.87+27.4</f>
        <v>1803.27</v>
      </c>
      <c r="L99" s="421">
        <v>0</v>
      </c>
      <c r="M99" s="421">
        <v>139.33000000000001</v>
      </c>
      <c r="N99" s="421">
        <v>0</v>
      </c>
      <c r="O99" s="421">
        <v>1951.27</v>
      </c>
      <c r="P99" s="422">
        <f t="shared" si="3"/>
        <v>688</v>
      </c>
    </row>
    <row r="100" spans="1:241" s="155" customFormat="1">
      <c r="A100" s="391" t="s">
        <v>467</v>
      </c>
      <c r="B100" s="392" t="s">
        <v>468</v>
      </c>
      <c r="C100" s="269">
        <v>40791564487</v>
      </c>
      <c r="D100" s="267" t="s">
        <v>640</v>
      </c>
      <c r="E100" s="267">
        <v>2</v>
      </c>
      <c r="F100" s="273" t="s">
        <v>713</v>
      </c>
      <c r="G100" s="405"/>
      <c r="H100" s="418">
        <v>1</v>
      </c>
      <c r="I100" s="419">
        <v>44</v>
      </c>
      <c r="J100" s="420">
        <v>3449.65</v>
      </c>
      <c r="K100" s="421">
        <v>0</v>
      </c>
      <c r="L100" s="421">
        <v>0</v>
      </c>
      <c r="M100" s="421">
        <f>4364.38-3449.65</f>
        <v>914.73</v>
      </c>
      <c r="N100" s="421">
        <v>0</v>
      </c>
      <c r="O100" s="421">
        <v>706.56</v>
      </c>
      <c r="P100" s="422">
        <f t="shared" si="3"/>
        <v>3657.82</v>
      </c>
    </row>
    <row r="101" spans="1:241" s="155" customFormat="1">
      <c r="A101" s="391" t="s">
        <v>467</v>
      </c>
      <c r="B101" s="392" t="s">
        <v>468</v>
      </c>
      <c r="C101" s="269">
        <v>50022440410</v>
      </c>
      <c r="D101" s="267" t="s">
        <v>641</v>
      </c>
      <c r="E101" s="267">
        <v>2</v>
      </c>
      <c r="F101" s="273" t="s">
        <v>708</v>
      </c>
      <c r="G101" s="405"/>
      <c r="H101" s="418">
        <v>1</v>
      </c>
      <c r="I101" s="419">
        <v>44</v>
      </c>
      <c r="J101" s="420">
        <v>1252.53</v>
      </c>
      <c r="K101" s="421">
        <v>0</v>
      </c>
      <c r="L101" s="421">
        <v>0</v>
      </c>
      <c r="M101" s="421">
        <f>2006.71-1252.53</f>
        <v>754.18000000000006</v>
      </c>
      <c r="N101" s="421">
        <v>0</v>
      </c>
      <c r="O101" s="421">
        <v>173.66</v>
      </c>
      <c r="P101" s="422">
        <f t="shared" si="3"/>
        <v>1833.05</v>
      </c>
    </row>
    <row r="102" spans="1:241" s="155" customFormat="1">
      <c r="A102" s="391" t="s">
        <v>467</v>
      </c>
      <c r="B102" s="392" t="s">
        <v>468</v>
      </c>
      <c r="C102" s="269">
        <v>42713978491</v>
      </c>
      <c r="D102" s="267" t="s">
        <v>642</v>
      </c>
      <c r="E102" s="267">
        <v>2</v>
      </c>
      <c r="F102" s="273" t="s">
        <v>708</v>
      </c>
      <c r="G102" s="405"/>
      <c r="H102" s="418">
        <v>1</v>
      </c>
      <c r="I102" s="419">
        <v>44</v>
      </c>
      <c r="J102" s="420">
        <v>1085.53</v>
      </c>
      <c r="K102" s="421">
        <v>0</v>
      </c>
      <c r="L102" s="421">
        <v>0</v>
      </c>
      <c r="M102" s="421">
        <f>1617.35-1085.53</f>
        <v>531.81999999999994</v>
      </c>
      <c r="N102" s="421">
        <v>0</v>
      </c>
      <c r="O102" s="421">
        <v>213.58</v>
      </c>
      <c r="P102" s="422">
        <f t="shared" si="3"/>
        <v>1403.77</v>
      </c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162"/>
      <c r="AE102" s="162"/>
      <c r="AF102" s="162"/>
      <c r="AG102" s="404"/>
      <c r="AH102" s="404"/>
      <c r="AI102" s="404"/>
      <c r="AJ102" s="404"/>
      <c r="AK102" s="404"/>
      <c r="AL102" s="404"/>
      <c r="AM102" s="404"/>
      <c r="AN102" s="404"/>
      <c r="AO102" s="404"/>
      <c r="AP102" s="404"/>
      <c r="AQ102" s="404"/>
      <c r="AR102" s="404"/>
      <c r="AS102" s="404"/>
      <c r="AT102" s="404"/>
      <c r="AU102" s="404"/>
      <c r="AV102" s="404"/>
      <c r="AW102" s="404"/>
      <c r="AX102" s="404"/>
      <c r="AY102" s="404"/>
      <c r="AZ102" s="404"/>
      <c r="BA102" s="404"/>
      <c r="BB102" s="404"/>
      <c r="BC102" s="404"/>
      <c r="BD102" s="404"/>
      <c r="BE102" s="404"/>
      <c r="BF102" s="404"/>
      <c r="BG102" s="404"/>
      <c r="BH102" s="404"/>
      <c r="BI102" s="404"/>
      <c r="BJ102" s="404"/>
      <c r="BK102" s="404"/>
      <c r="BL102" s="404"/>
      <c r="BM102" s="404"/>
      <c r="BN102" s="404"/>
      <c r="BO102" s="404"/>
      <c r="BP102" s="404"/>
      <c r="BQ102" s="404"/>
      <c r="BR102" s="404"/>
      <c r="BS102" s="404"/>
      <c r="BT102" s="404"/>
      <c r="BU102" s="404"/>
      <c r="BV102" s="404"/>
      <c r="BW102" s="404"/>
      <c r="BX102" s="404"/>
      <c r="BY102" s="404"/>
      <c r="BZ102" s="404"/>
      <c r="CA102" s="404"/>
      <c r="CB102" s="404"/>
      <c r="CC102" s="404"/>
      <c r="CD102" s="404"/>
      <c r="CE102" s="404"/>
      <c r="CF102" s="404"/>
      <c r="CG102" s="404"/>
      <c r="CH102" s="404"/>
      <c r="CI102" s="404"/>
      <c r="CJ102" s="404"/>
      <c r="CK102" s="404"/>
      <c r="CL102" s="404"/>
      <c r="CM102" s="404"/>
      <c r="CN102" s="404"/>
      <c r="CO102" s="404"/>
      <c r="CP102" s="404"/>
      <c r="CQ102" s="404"/>
      <c r="CR102" s="404"/>
      <c r="CS102" s="404"/>
      <c r="CT102" s="404"/>
      <c r="CU102" s="404"/>
      <c r="CV102" s="404"/>
      <c r="CW102" s="404"/>
      <c r="CX102" s="404"/>
      <c r="CY102" s="404"/>
      <c r="CZ102" s="404"/>
      <c r="DA102" s="404"/>
      <c r="DB102" s="404"/>
      <c r="DC102" s="404"/>
      <c r="DD102" s="404"/>
      <c r="DE102" s="404"/>
      <c r="DF102" s="404"/>
      <c r="DG102" s="404"/>
      <c r="DH102" s="404"/>
      <c r="DI102" s="404"/>
      <c r="DJ102" s="404"/>
      <c r="DK102" s="404"/>
      <c r="DL102" s="404"/>
      <c r="DM102" s="404"/>
      <c r="DN102" s="404"/>
      <c r="DO102" s="404"/>
      <c r="DP102" s="404"/>
      <c r="DQ102" s="404"/>
      <c r="DR102" s="404"/>
      <c r="DS102" s="404"/>
      <c r="DT102" s="404"/>
      <c r="DU102" s="404"/>
      <c r="DV102" s="404"/>
      <c r="DW102" s="404"/>
      <c r="DX102" s="404"/>
      <c r="DY102" s="404"/>
      <c r="DZ102" s="404"/>
      <c r="EA102" s="404"/>
      <c r="EB102" s="404"/>
      <c r="EC102" s="404"/>
      <c r="ED102" s="404"/>
      <c r="EE102" s="404"/>
      <c r="EF102" s="404"/>
      <c r="EG102" s="404"/>
      <c r="EH102" s="404"/>
      <c r="EI102" s="404"/>
      <c r="EJ102" s="404"/>
      <c r="EK102" s="404"/>
      <c r="EL102" s="404"/>
      <c r="EM102" s="404"/>
      <c r="EN102" s="404"/>
      <c r="EO102" s="404"/>
      <c r="EP102" s="404"/>
      <c r="EQ102" s="404"/>
      <c r="ER102" s="404"/>
      <c r="ES102" s="404"/>
      <c r="ET102" s="404"/>
      <c r="EU102" s="404"/>
      <c r="EV102" s="404"/>
      <c r="EW102" s="404"/>
      <c r="EX102" s="404"/>
      <c r="EY102" s="404"/>
      <c r="EZ102" s="404"/>
      <c r="FA102" s="404"/>
      <c r="FB102" s="404"/>
      <c r="FC102" s="404"/>
      <c r="FD102" s="404"/>
      <c r="FE102" s="404"/>
      <c r="FF102" s="404"/>
      <c r="FG102" s="404"/>
      <c r="FH102" s="404"/>
      <c r="FI102" s="404"/>
      <c r="FJ102" s="404"/>
      <c r="FK102" s="404"/>
      <c r="FL102" s="404"/>
      <c r="FM102" s="404"/>
      <c r="FN102" s="404"/>
      <c r="FO102" s="404"/>
      <c r="FP102" s="404"/>
      <c r="FQ102" s="404"/>
      <c r="FR102" s="404"/>
      <c r="FS102" s="404"/>
      <c r="FT102" s="404"/>
      <c r="FU102" s="404"/>
      <c r="FV102" s="404"/>
      <c r="FW102" s="404"/>
      <c r="FX102" s="404"/>
      <c r="FY102" s="404"/>
      <c r="FZ102" s="404"/>
      <c r="GA102" s="404"/>
      <c r="GB102" s="404"/>
      <c r="GC102" s="404"/>
      <c r="GD102" s="404"/>
      <c r="GE102" s="404"/>
      <c r="GF102" s="404"/>
      <c r="GG102" s="404"/>
      <c r="GH102" s="404"/>
      <c r="GI102" s="404"/>
      <c r="GJ102" s="404"/>
      <c r="GK102" s="404"/>
      <c r="GL102" s="404"/>
      <c r="GM102" s="404"/>
      <c r="GN102" s="404"/>
      <c r="GO102" s="404"/>
      <c r="GP102" s="404"/>
      <c r="GQ102" s="404"/>
      <c r="GR102" s="404"/>
      <c r="GS102" s="404"/>
      <c r="GT102" s="404"/>
      <c r="GU102" s="404"/>
      <c r="GV102" s="404"/>
      <c r="GW102" s="404"/>
      <c r="GX102" s="404"/>
      <c r="GY102" s="404"/>
      <c r="GZ102" s="404"/>
      <c r="HA102" s="404"/>
      <c r="HB102" s="404"/>
      <c r="HC102" s="404"/>
      <c r="HD102" s="404"/>
      <c r="HE102" s="404"/>
      <c r="HF102" s="404"/>
      <c r="HG102" s="404"/>
      <c r="HH102" s="404"/>
      <c r="HI102" s="404"/>
      <c r="HJ102" s="404"/>
      <c r="HK102" s="404"/>
      <c r="HL102" s="404"/>
      <c r="HM102" s="404"/>
      <c r="HN102" s="404"/>
      <c r="HO102" s="404"/>
      <c r="HP102" s="404"/>
      <c r="HQ102" s="404"/>
      <c r="HR102" s="404"/>
      <c r="HS102" s="404"/>
      <c r="HT102" s="404"/>
      <c r="HU102" s="404"/>
      <c r="HV102" s="404"/>
      <c r="HW102" s="404"/>
      <c r="HX102" s="404"/>
      <c r="HY102" s="404"/>
      <c r="HZ102" s="404"/>
      <c r="IA102" s="404"/>
      <c r="IB102" s="404"/>
      <c r="IC102" s="404"/>
      <c r="ID102" s="404"/>
      <c r="IE102" s="404"/>
      <c r="IF102" s="404"/>
      <c r="IG102" s="404"/>
    </row>
    <row r="103" spans="1:241" s="155" customFormat="1">
      <c r="A103" s="391" t="s">
        <v>467</v>
      </c>
      <c r="B103" s="392" t="s">
        <v>468</v>
      </c>
      <c r="C103" s="269">
        <v>97586390487</v>
      </c>
      <c r="D103" s="267" t="s">
        <v>643</v>
      </c>
      <c r="E103" s="267">
        <v>2</v>
      </c>
      <c r="F103" s="273" t="s">
        <v>708</v>
      </c>
      <c r="G103" s="405"/>
      <c r="H103" s="418">
        <v>1</v>
      </c>
      <c r="I103" s="419">
        <v>44</v>
      </c>
      <c r="J103" s="420">
        <v>1252.53</v>
      </c>
      <c r="K103" s="421">
        <v>0</v>
      </c>
      <c r="L103" s="421">
        <v>0</v>
      </c>
      <c r="M103" s="421">
        <f>1990.49-1252.53</f>
        <v>737.96</v>
      </c>
      <c r="N103" s="421">
        <v>0</v>
      </c>
      <c r="O103" s="421">
        <v>248.82</v>
      </c>
      <c r="P103" s="422">
        <f t="shared" si="3"/>
        <v>1741.67</v>
      </c>
    </row>
    <row r="104" spans="1:241" s="155" customFormat="1">
      <c r="A104" s="391" t="s">
        <v>467</v>
      </c>
      <c r="B104" s="392" t="s">
        <v>468</v>
      </c>
      <c r="C104" s="269" t="s">
        <v>644</v>
      </c>
      <c r="D104" s="267" t="s">
        <v>645</v>
      </c>
      <c r="E104" s="267">
        <v>2</v>
      </c>
      <c r="F104" s="274" t="s">
        <v>721</v>
      </c>
      <c r="G104" s="405"/>
      <c r="H104" s="418">
        <v>1</v>
      </c>
      <c r="I104" s="419">
        <v>44</v>
      </c>
      <c r="J104" s="420">
        <v>2460.75</v>
      </c>
      <c r="K104" s="421">
        <v>0</v>
      </c>
      <c r="L104" s="421">
        <v>0</v>
      </c>
      <c r="M104" s="421">
        <f>4636.49-2460.75</f>
        <v>2175.7399999999998</v>
      </c>
      <c r="N104" s="421">
        <v>0</v>
      </c>
      <c r="O104" s="421">
        <v>810.92</v>
      </c>
      <c r="P104" s="422">
        <f t="shared" si="3"/>
        <v>3825.5699999999997</v>
      </c>
    </row>
    <row r="105" spans="1:241" s="155" customFormat="1">
      <c r="A105" s="391" t="s">
        <v>467</v>
      </c>
      <c r="B105" s="392" t="s">
        <v>468</v>
      </c>
      <c r="C105" s="269">
        <v>86334050400</v>
      </c>
      <c r="D105" s="267" t="s">
        <v>646</v>
      </c>
      <c r="E105" s="267">
        <v>2</v>
      </c>
      <c r="F105" s="279" t="s">
        <v>730</v>
      </c>
      <c r="G105" s="405"/>
      <c r="H105" s="418">
        <v>1</v>
      </c>
      <c r="I105" s="419">
        <v>44</v>
      </c>
      <c r="J105" s="420">
        <v>1242.74</v>
      </c>
      <c r="K105" s="421">
        <v>0</v>
      </c>
      <c r="L105" s="421">
        <v>0</v>
      </c>
      <c r="M105" s="421">
        <f>1690.45-1242.74</f>
        <v>447.71000000000004</v>
      </c>
      <c r="N105" s="421">
        <v>0</v>
      </c>
      <c r="O105" s="421">
        <v>160.49</v>
      </c>
      <c r="P105" s="422">
        <f t="shared" si="3"/>
        <v>1529.96</v>
      </c>
    </row>
    <row r="106" spans="1:241" s="155" customFormat="1">
      <c r="A106" s="391" t="s">
        <v>467</v>
      </c>
      <c r="B106" s="392" t="s">
        <v>468</v>
      </c>
      <c r="C106" s="269" t="s">
        <v>647</v>
      </c>
      <c r="D106" s="267" t="s">
        <v>648</v>
      </c>
      <c r="E106" s="267">
        <v>3</v>
      </c>
      <c r="F106" s="274" t="s">
        <v>725</v>
      </c>
      <c r="G106" s="405"/>
      <c r="H106" s="418">
        <v>2</v>
      </c>
      <c r="I106" s="419">
        <v>44</v>
      </c>
      <c r="J106" s="420">
        <v>3390.73</v>
      </c>
      <c r="K106" s="421">
        <v>0</v>
      </c>
      <c r="L106" s="421">
        <v>0</v>
      </c>
      <c r="M106" s="421">
        <v>220</v>
      </c>
      <c r="N106" s="421">
        <v>0</v>
      </c>
      <c r="O106" s="421">
        <v>529.44000000000005</v>
      </c>
      <c r="P106" s="422">
        <f t="shared" si="3"/>
        <v>3081.29</v>
      </c>
    </row>
    <row r="107" spans="1:241" s="155" customFormat="1">
      <c r="A107" s="391" t="s">
        <v>467</v>
      </c>
      <c r="B107" s="392" t="s">
        <v>468</v>
      </c>
      <c r="C107" s="269" t="s">
        <v>649</v>
      </c>
      <c r="D107" s="267" t="s">
        <v>650</v>
      </c>
      <c r="E107" s="267">
        <v>3</v>
      </c>
      <c r="F107" s="273" t="s">
        <v>717</v>
      </c>
      <c r="G107" s="405"/>
      <c r="H107" s="418">
        <v>1</v>
      </c>
      <c r="I107" s="419">
        <v>44</v>
      </c>
      <c r="J107" s="420">
        <v>1100</v>
      </c>
      <c r="K107" s="421">
        <v>0</v>
      </c>
      <c r="L107" s="421">
        <v>0</v>
      </c>
      <c r="M107" s="421">
        <f>1356.37-1100</f>
        <v>256.36999999999989</v>
      </c>
      <c r="N107" s="421">
        <v>0</v>
      </c>
      <c r="O107" s="421">
        <v>127.57</v>
      </c>
      <c r="P107" s="422">
        <f t="shared" si="3"/>
        <v>1228.8</v>
      </c>
    </row>
    <row r="108" spans="1:241" s="155" customFormat="1">
      <c r="A108" s="391" t="s">
        <v>467</v>
      </c>
      <c r="B108" s="392" t="s">
        <v>468</v>
      </c>
      <c r="C108" s="269" t="s">
        <v>651</v>
      </c>
      <c r="D108" s="267" t="s">
        <v>652</v>
      </c>
      <c r="E108" s="267">
        <v>2</v>
      </c>
      <c r="F108" s="273" t="s">
        <v>713</v>
      </c>
      <c r="G108" s="405"/>
      <c r="H108" s="418">
        <v>1</v>
      </c>
      <c r="I108" s="419">
        <v>44</v>
      </c>
      <c r="J108" s="420">
        <v>649.65</v>
      </c>
      <c r="K108" s="421">
        <v>0</v>
      </c>
      <c r="L108" s="421">
        <v>0</v>
      </c>
      <c r="M108" s="421">
        <f>80.67+13.64+56.85+1769.93</f>
        <v>1921.0900000000001</v>
      </c>
      <c r="N108" s="421">
        <v>0</v>
      </c>
      <c r="O108" s="421">
        <v>1998.24</v>
      </c>
      <c r="P108" s="422">
        <f t="shared" si="3"/>
        <v>572.50000000000023</v>
      </c>
    </row>
    <row r="109" spans="1:241" s="155" customFormat="1">
      <c r="A109" s="391" t="s">
        <v>467</v>
      </c>
      <c r="B109" s="392" t="s">
        <v>468</v>
      </c>
      <c r="C109" s="269" t="s">
        <v>653</v>
      </c>
      <c r="D109" s="267" t="s">
        <v>654</v>
      </c>
      <c r="E109" s="267">
        <v>3</v>
      </c>
      <c r="F109" s="273" t="s">
        <v>717</v>
      </c>
      <c r="G109" s="405"/>
      <c r="H109" s="418">
        <v>1</v>
      </c>
      <c r="I109" s="419">
        <v>44</v>
      </c>
      <c r="J109" s="420">
        <v>1100</v>
      </c>
      <c r="K109" s="421">
        <v>0</v>
      </c>
      <c r="L109" s="421">
        <v>0</v>
      </c>
      <c r="M109" s="421">
        <f>1711.36-1100</f>
        <v>611.3599999999999</v>
      </c>
      <c r="N109" s="421">
        <v>0</v>
      </c>
      <c r="O109" s="421">
        <v>153.76</v>
      </c>
      <c r="P109" s="422">
        <f t="shared" si="3"/>
        <v>1557.6</v>
      </c>
    </row>
    <row r="110" spans="1:241" s="155" customFormat="1">
      <c r="A110" s="391" t="s">
        <v>467</v>
      </c>
      <c r="B110" s="392" t="s">
        <v>468</v>
      </c>
      <c r="C110" s="269" t="s">
        <v>655</v>
      </c>
      <c r="D110" s="267" t="s">
        <v>656</v>
      </c>
      <c r="E110" s="267">
        <v>2</v>
      </c>
      <c r="F110" s="273" t="s">
        <v>708</v>
      </c>
      <c r="G110" s="405"/>
      <c r="H110" s="418">
        <v>1</v>
      </c>
      <c r="I110" s="419">
        <v>44</v>
      </c>
      <c r="J110" s="420">
        <v>960.27</v>
      </c>
      <c r="K110" s="421">
        <v>0</v>
      </c>
      <c r="L110" s="421">
        <v>0</v>
      </c>
      <c r="M110" s="421">
        <f>1304.61-960.27</f>
        <v>344.33999999999992</v>
      </c>
      <c r="N110" s="421">
        <v>0</v>
      </c>
      <c r="O110" s="421">
        <v>196.57</v>
      </c>
      <c r="P110" s="422">
        <f t="shared" si="3"/>
        <v>1108.04</v>
      </c>
    </row>
    <row r="111" spans="1:241" s="155" customFormat="1">
      <c r="A111" s="391" t="s">
        <v>467</v>
      </c>
      <c r="B111" s="392" t="s">
        <v>468</v>
      </c>
      <c r="C111" s="269" t="s">
        <v>657</v>
      </c>
      <c r="D111" s="267" t="s">
        <v>658</v>
      </c>
      <c r="E111" s="267">
        <v>3</v>
      </c>
      <c r="F111" s="273" t="s">
        <v>731</v>
      </c>
      <c r="G111" s="405"/>
      <c r="H111" s="418">
        <v>2</v>
      </c>
      <c r="I111" s="419">
        <v>44</v>
      </c>
      <c r="J111" s="420">
        <v>2587.5</v>
      </c>
      <c r="K111" s="421">
        <v>0</v>
      </c>
      <c r="L111" s="421">
        <v>0</v>
      </c>
      <c r="M111" s="421">
        <v>220</v>
      </c>
      <c r="N111" s="421">
        <v>0</v>
      </c>
      <c r="O111" s="421">
        <v>326.29000000000002</v>
      </c>
      <c r="P111" s="422">
        <f t="shared" si="3"/>
        <v>2481.21</v>
      </c>
    </row>
    <row r="112" spans="1:241" s="155" customFormat="1">
      <c r="A112" s="391" t="s">
        <v>467</v>
      </c>
      <c r="B112" s="392" t="s">
        <v>468</v>
      </c>
      <c r="C112" s="269" t="s">
        <v>659</v>
      </c>
      <c r="D112" s="267" t="s">
        <v>660</v>
      </c>
      <c r="E112" s="267">
        <v>2</v>
      </c>
      <c r="F112" s="273" t="s">
        <v>712</v>
      </c>
      <c r="G112" s="405"/>
      <c r="H112" s="418">
        <v>1</v>
      </c>
      <c r="I112" s="419">
        <v>44</v>
      </c>
      <c r="J112" s="420">
        <v>2090.16</v>
      </c>
      <c r="K112" s="421">
        <v>0</v>
      </c>
      <c r="L112" s="421">
        <v>0</v>
      </c>
      <c r="M112" s="421">
        <f>3470.49-2090.16</f>
        <v>1380.33</v>
      </c>
      <c r="N112" s="421">
        <v>0</v>
      </c>
      <c r="O112" s="421">
        <v>400.9</v>
      </c>
      <c r="P112" s="422">
        <f t="shared" si="3"/>
        <v>3069.5899999999997</v>
      </c>
      <c r="AG112" s="162"/>
      <c r="AH112" s="162"/>
      <c r="AI112" s="162"/>
      <c r="AJ112" s="162"/>
      <c r="AK112" s="162"/>
      <c r="AL112" s="162"/>
      <c r="AM112" s="162"/>
      <c r="AN112" s="162"/>
      <c r="AO112" s="162"/>
      <c r="AP112" s="162"/>
      <c r="AQ112" s="162"/>
      <c r="AR112" s="162"/>
      <c r="AS112" s="162"/>
      <c r="AT112" s="162"/>
      <c r="AU112" s="162"/>
      <c r="AV112" s="162"/>
      <c r="AW112" s="162"/>
      <c r="AX112" s="162"/>
      <c r="AY112" s="162"/>
      <c r="AZ112" s="162"/>
      <c r="BA112" s="162"/>
      <c r="BB112" s="162"/>
      <c r="BC112" s="162"/>
      <c r="BD112" s="162"/>
      <c r="BE112" s="162"/>
      <c r="BF112" s="162"/>
      <c r="BG112" s="162"/>
      <c r="BH112" s="162"/>
      <c r="BI112" s="162"/>
      <c r="BJ112" s="162"/>
      <c r="BK112" s="162"/>
      <c r="BL112" s="162"/>
      <c r="BM112" s="162"/>
      <c r="BN112" s="162"/>
      <c r="BO112" s="162"/>
      <c r="BP112" s="162"/>
      <c r="BQ112" s="162"/>
      <c r="BR112" s="162"/>
      <c r="BS112" s="162"/>
      <c r="BT112" s="162"/>
      <c r="BU112" s="162"/>
      <c r="BV112" s="162"/>
      <c r="BW112" s="162"/>
      <c r="BX112" s="162"/>
      <c r="BY112" s="162"/>
      <c r="BZ112" s="162"/>
      <c r="CA112" s="162"/>
      <c r="CB112" s="162"/>
      <c r="CC112" s="162"/>
      <c r="CD112" s="162"/>
      <c r="CE112" s="162"/>
      <c r="CF112" s="162"/>
      <c r="CG112" s="162"/>
      <c r="CH112" s="162"/>
      <c r="CI112" s="162"/>
      <c r="CJ112" s="162"/>
      <c r="CK112" s="162"/>
      <c r="CL112" s="162"/>
      <c r="CM112" s="162"/>
      <c r="CN112" s="162"/>
      <c r="CO112" s="162"/>
      <c r="CP112" s="162"/>
      <c r="CQ112" s="162"/>
      <c r="CR112" s="162"/>
      <c r="CS112" s="162"/>
      <c r="CT112" s="162"/>
      <c r="CU112" s="162"/>
      <c r="CV112" s="162"/>
      <c r="CW112" s="162"/>
      <c r="CX112" s="162"/>
      <c r="CY112" s="162"/>
      <c r="CZ112" s="162"/>
      <c r="DA112" s="162"/>
      <c r="DB112" s="162"/>
      <c r="DC112" s="162"/>
      <c r="DD112" s="162"/>
      <c r="DE112" s="162"/>
      <c r="DF112" s="162"/>
      <c r="DG112" s="162"/>
      <c r="DH112" s="162"/>
      <c r="DI112" s="162"/>
      <c r="DJ112" s="162"/>
      <c r="DK112" s="162"/>
      <c r="DL112" s="162"/>
      <c r="DM112" s="162"/>
      <c r="DN112" s="162"/>
      <c r="DO112" s="162"/>
      <c r="DP112" s="162"/>
      <c r="DQ112" s="162"/>
      <c r="DR112" s="162"/>
      <c r="DS112" s="162"/>
      <c r="DT112" s="162"/>
      <c r="DU112" s="162"/>
      <c r="DV112" s="162"/>
      <c r="DW112" s="162"/>
      <c r="DX112" s="162"/>
      <c r="DY112" s="162"/>
      <c r="DZ112" s="162"/>
      <c r="EA112" s="162"/>
      <c r="EB112" s="162"/>
      <c r="EC112" s="162"/>
      <c r="ED112" s="162"/>
      <c r="EE112" s="162"/>
      <c r="EF112" s="162"/>
      <c r="EG112" s="162"/>
      <c r="EH112" s="162"/>
      <c r="EI112" s="162"/>
      <c r="EJ112" s="162"/>
      <c r="EK112" s="162"/>
      <c r="EL112" s="162"/>
      <c r="EM112" s="162"/>
      <c r="EN112" s="162"/>
      <c r="EO112" s="162"/>
      <c r="EP112" s="162"/>
      <c r="EQ112" s="162"/>
      <c r="ER112" s="162"/>
      <c r="ES112" s="162"/>
      <c r="ET112" s="162"/>
      <c r="EU112" s="162"/>
      <c r="EV112" s="162"/>
      <c r="EW112" s="162"/>
      <c r="EX112" s="162"/>
      <c r="EY112" s="162"/>
      <c r="EZ112" s="162"/>
      <c r="FA112" s="162"/>
      <c r="FB112" s="162"/>
      <c r="FC112" s="162"/>
      <c r="FD112" s="162"/>
      <c r="FE112" s="162"/>
      <c r="FF112" s="162"/>
      <c r="FG112" s="162"/>
      <c r="FH112" s="162"/>
      <c r="FI112" s="162"/>
      <c r="FJ112" s="162"/>
      <c r="FK112" s="162"/>
      <c r="FL112" s="162"/>
      <c r="FM112" s="162"/>
      <c r="FN112" s="162"/>
      <c r="FO112" s="162"/>
      <c r="FP112" s="162"/>
      <c r="FQ112" s="162"/>
      <c r="FR112" s="162"/>
      <c r="FS112" s="162"/>
      <c r="FT112" s="162"/>
      <c r="FU112" s="162"/>
      <c r="FV112" s="162"/>
      <c r="FW112" s="162"/>
      <c r="FX112" s="162"/>
      <c r="FY112" s="162"/>
      <c r="FZ112" s="162"/>
      <c r="GA112" s="162"/>
      <c r="GB112" s="162"/>
      <c r="GC112" s="162"/>
      <c r="GD112" s="162"/>
      <c r="GE112" s="162"/>
      <c r="GF112" s="162"/>
      <c r="GG112" s="162"/>
      <c r="GH112" s="162"/>
      <c r="GI112" s="162"/>
      <c r="GJ112" s="162"/>
      <c r="GK112" s="162"/>
      <c r="GL112" s="162"/>
      <c r="GM112" s="162"/>
      <c r="GN112" s="162"/>
      <c r="GO112" s="162"/>
      <c r="GP112" s="162"/>
      <c r="GQ112" s="162"/>
      <c r="GR112" s="162"/>
      <c r="GS112" s="162"/>
      <c r="GT112" s="162"/>
      <c r="GU112" s="162"/>
      <c r="GV112" s="162"/>
      <c r="GW112" s="162"/>
      <c r="GX112" s="162"/>
      <c r="GY112" s="162"/>
      <c r="GZ112" s="162"/>
      <c r="HA112" s="162"/>
      <c r="HB112" s="162"/>
      <c r="HC112" s="162"/>
      <c r="HD112" s="162"/>
      <c r="HE112" s="162"/>
      <c r="HF112" s="162"/>
      <c r="HG112" s="162"/>
      <c r="HH112" s="162"/>
      <c r="HI112" s="162"/>
      <c r="HJ112" s="162"/>
      <c r="HK112" s="162"/>
      <c r="HL112" s="162"/>
      <c r="HM112" s="162"/>
      <c r="HN112" s="162"/>
      <c r="HO112" s="162"/>
      <c r="HP112" s="162"/>
      <c r="HQ112" s="162"/>
      <c r="HR112" s="162"/>
      <c r="HS112" s="162"/>
      <c r="HT112" s="162"/>
      <c r="HU112" s="162"/>
      <c r="HV112" s="162"/>
      <c r="HW112" s="162"/>
      <c r="HX112" s="162"/>
      <c r="HY112" s="162"/>
      <c r="HZ112" s="162"/>
      <c r="IA112" s="162"/>
      <c r="IB112" s="162"/>
      <c r="IC112" s="162"/>
      <c r="ID112" s="162"/>
      <c r="IE112" s="162"/>
      <c r="IF112" s="162"/>
      <c r="IG112" s="162"/>
    </row>
    <row r="113" spans="1:241" s="155" customFormat="1">
      <c r="A113" s="391" t="s">
        <v>467</v>
      </c>
      <c r="B113" s="392" t="s">
        <v>468</v>
      </c>
      <c r="C113" s="269" t="s">
        <v>661</v>
      </c>
      <c r="D113" s="267" t="s">
        <v>662</v>
      </c>
      <c r="E113" s="267">
        <v>2</v>
      </c>
      <c r="F113" s="273" t="s">
        <v>713</v>
      </c>
      <c r="G113" s="405"/>
      <c r="H113" s="418">
        <v>1</v>
      </c>
      <c r="I113" s="419">
        <v>44</v>
      </c>
      <c r="J113" s="420">
        <v>1771.76</v>
      </c>
      <c r="K113" s="421">
        <v>0</v>
      </c>
      <c r="L113" s="421">
        <v>0</v>
      </c>
      <c r="M113" s="421">
        <f>2105.16-1771.76</f>
        <v>333.39999999999986</v>
      </c>
      <c r="N113" s="421">
        <v>0</v>
      </c>
      <c r="O113" s="421">
        <v>281.7</v>
      </c>
      <c r="P113" s="422">
        <f t="shared" si="3"/>
        <v>1823.4599999999998</v>
      </c>
      <c r="AG113" s="162"/>
      <c r="AH113" s="162"/>
      <c r="AI113" s="162"/>
      <c r="AJ113" s="162"/>
      <c r="AK113" s="162"/>
      <c r="AL113" s="162"/>
      <c r="AM113" s="162"/>
      <c r="AN113" s="162"/>
      <c r="AO113" s="162"/>
      <c r="AP113" s="162"/>
      <c r="AQ113" s="162"/>
      <c r="AR113" s="162"/>
      <c r="AS113" s="162"/>
      <c r="AT113" s="162"/>
      <c r="AU113" s="162"/>
      <c r="AV113" s="162"/>
      <c r="AW113" s="162"/>
      <c r="AX113" s="162"/>
      <c r="AY113" s="162"/>
      <c r="AZ113" s="162"/>
      <c r="BA113" s="162"/>
      <c r="BB113" s="162"/>
      <c r="BC113" s="162"/>
      <c r="BD113" s="162"/>
      <c r="BE113" s="162"/>
      <c r="BF113" s="162"/>
      <c r="BG113" s="162"/>
      <c r="BH113" s="162"/>
      <c r="BI113" s="162"/>
      <c r="BJ113" s="162"/>
      <c r="BK113" s="162"/>
      <c r="BL113" s="162"/>
      <c r="BM113" s="162"/>
      <c r="BN113" s="162"/>
      <c r="BO113" s="162"/>
      <c r="BP113" s="162"/>
      <c r="BQ113" s="162"/>
      <c r="BR113" s="162"/>
      <c r="BS113" s="162"/>
      <c r="BT113" s="162"/>
      <c r="BU113" s="162"/>
      <c r="BV113" s="162"/>
      <c r="BW113" s="162"/>
      <c r="BX113" s="162"/>
      <c r="BY113" s="162"/>
      <c r="BZ113" s="162"/>
      <c r="CA113" s="162"/>
      <c r="CB113" s="162"/>
      <c r="CC113" s="162"/>
      <c r="CD113" s="162"/>
      <c r="CE113" s="162"/>
      <c r="CF113" s="162"/>
      <c r="CG113" s="162"/>
      <c r="CH113" s="162"/>
      <c r="CI113" s="162"/>
      <c r="CJ113" s="162"/>
      <c r="CK113" s="162"/>
      <c r="CL113" s="162"/>
      <c r="CM113" s="162"/>
      <c r="CN113" s="162"/>
      <c r="CO113" s="162"/>
      <c r="CP113" s="162"/>
      <c r="CQ113" s="162"/>
      <c r="CR113" s="162"/>
      <c r="CS113" s="162"/>
      <c r="CT113" s="162"/>
      <c r="CU113" s="162"/>
      <c r="CV113" s="162"/>
      <c r="CW113" s="162"/>
      <c r="CX113" s="162"/>
      <c r="CY113" s="162"/>
      <c r="CZ113" s="162"/>
      <c r="DA113" s="162"/>
      <c r="DB113" s="162"/>
      <c r="DC113" s="162"/>
      <c r="DD113" s="162"/>
      <c r="DE113" s="162"/>
      <c r="DF113" s="162"/>
      <c r="DG113" s="162"/>
      <c r="DH113" s="162"/>
      <c r="DI113" s="162"/>
      <c r="DJ113" s="162"/>
      <c r="DK113" s="162"/>
      <c r="DL113" s="162"/>
      <c r="DM113" s="162"/>
      <c r="DN113" s="162"/>
      <c r="DO113" s="162"/>
      <c r="DP113" s="162"/>
      <c r="DQ113" s="162"/>
      <c r="DR113" s="162"/>
      <c r="DS113" s="162"/>
      <c r="DT113" s="162"/>
      <c r="DU113" s="162"/>
      <c r="DV113" s="162"/>
      <c r="DW113" s="162"/>
      <c r="DX113" s="162"/>
      <c r="DY113" s="162"/>
      <c r="DZ113" s="162"/>
      <c r="EA113" s="162"/>
      <c r="EB113" s="162"/>
      <c r="EC113" s="162"/>
      <c r="ED113" s="162"/>
      <c r="EE113" s="162"/>
      <c r="EF113" s="162"/>
      <c r="EG113" s="162"/>
      <c r="EH113" s="162"/>
      <c r="EI113" s="162"/>
      <c r="EJ113" s="162"/>
      <c r="EK113" s="162"/>
      <c r="EL113" s="162"/>
      <c r="EM113" s="162"/>
      <c r="EN113" s="162"/>
      <c r="EO113" s="162"/>
      <c r="EP113" s="162"/>
      <c r="EQ113" s="162"/>
      <c r="ER113" s="162"/>
      <c r="ES113" s="162"/>
      <c r="ET113" s="162"/>
      <c r="EU113" s="162"/>
      <c r="EV113" s="162"/>
      <c r="EW113" s="162"/>
      <c r="EX113" s="162"/>
      <c r="EY113" s="162"/>
      <c r="EZ113" s="162"/>
      <c r="FA113" s="162"/>
      <c r="FB113" s="162"/>
      <c r="FC113" s="162"/>
      <c r="FD113" s="162"/>
      <c r="FE113" s="162"/>
      <c r="FF113" s="162"/>
      <c r="FG113" s="162"/>
      <c r="FH113" s="162"/>
      <c r="FI113" s="162"/>
      <c r="FJ113" s="162"/>
      <c r="FK113" s="162"/>
      <c r="FL113" s="162"/>
      <c r="FM113" s="162"/>
      <c r="FN113" s="162"/>
      <c r="FO113" s="162"/>
      <c r="FP113" s="162"/>
      <c r="FQ113" s="162"/>
      <c r="FR113" s="162"/>
      <c r="FS113" s="162"/>
      <c r="FT113" s="162"/>
      <c r="FU113" s="162"/>
      <c r="FV113" s="162"/>
      <c r="FW113" s="162"/>
      <c r="FX113" s="162"/>
      <c r="FY113" s="162"/>
      <c r="FZ113" s="162"/>
      <c r="GA113" s="162"/>
      <c r="GB113" s="162"/>
      <c r="GC113" s="162"/>
      <c r="GD113" s="162"/>
      <c r="GE113" s="162"/>
      <c r="GF113" s="162"/>
      <c r="GG113" s="162"/>
      <c r="GH113" s="162"/>
      <c r="GI113" s="162"/>
      <c r="GJ113" s="162"/>
      <c r="GK113" s="162"/>
      <c r="GL113" s="162"/>
      <c r="GM113" s="162"/>
      <c r="GN113" s="162"/>
      <c r="GO113" s="162"/>
      <c r="GP113" s="162"/>
      <c r="GQ113" s="162"/>
      <c r="GR113" s="162"/>
      <c r="GS113" s="162"/>
      <c r="GT113" s="162"/>
      <c r="GU113" s="162"/>
      <c r="GV113" s="162"/>
      <c r="GW113" s="162"/>
      <c r="GX113" s="162"/>
      <c r="GY113" s="162"/>
      <c r="GZ113" s="162"/>
      <c r="HA113" s="162"/>
      <c r="HB113" s="162"/>
      <c r="HC113" s="162"/>
      <c r="HD113" s="162"/>
      <c r="HE113" s="162"/>
      <c r="HF113" s="162"/>
      <c r="HG113" s="162"/>
      <c r="HH113" s="162"/>
      <c r="HI113" s="162"/>
      <c r="HJ113" s="162"/>
      <c r="HK113" s="162"/>
      <c r="HL113" s="162"/>
      <c r="HM113" s="162"/>
      <c r="HN113" s="162"/>
      <c r="HO113" s="162"/>
      <c r="HP113" s="162"/>
      <c r="HQ113" s="162"/>
      <c r="HR113" s="162"/>
      <c r="HS113" s="162"/>
      <c r="HT113" s="162"/>
      <c r="HU113" s="162"/>
      <c r="HV113" s="162"/>
      <c r="HW113" s="162"/>
      <c r="HX113" s="162"/>
      <c r="HY113" s="162"/>
      <c r="HZ113" s="162"/>
      <c r="IA113" s="162"/>
      <c r="IB113" s="162"/>
      <c r="IC113" s="162"/>
      <c r="ID113" s="162"/>
      <c r="IE113" s="162"/>
      <c r="IF113" s="162"/>
      <c r="IG113" s="162"/>
    </row>
    <row r="114" spans="1:241" s="155" customFormat="1">
      <c r="A114" s="391" t="s">
        <v>467</v>
      </c>
      <c r="B114" s="392" t="s">
        <v>468</v>
      </c>
      <c r="C114" s="269" t="s">
        <v>663</v>
      </c>
      <c r="D114" s="267" t="s">
        <v>664</v>
      </c>
      <c r="E114" s="267">
        <v>3</v>
      </c>
      <c r="F114" s="273" t="s">
        <v>717</v>
      </c>
      <c r="G114" s="405"/>
      <c r="H114" s="418">
        <v>1</v>
      </c>
      <c r="I114" s="419">
        <v>44</v>
      </c>
      <c r="J114" s="420">
        <v>1100</v>
      </c>
      <c r="K114" s="421">
        <v>0</v>
      </c>
      <c r="L114" s="421">
        <v>0</v>
      </c>
      <c r="M114" s="421">
        <f>1356.37-1100</f>
        <v>256.36999999999989</v>
      </c>
      <c r="N114" s="421">
        <v>0</v>
      </c>
      <c r="O114" s="421">
        <v>193.57</v>
      </c>
      <c r="P114" s="422">
        <f t="shared" si="3"/>
        <v>1162.8</v>
      </c>
      <c r="AG114" s="162"/>
      <c r="AH114" s="162"/>
      <c r="AI114" s="162"/>
      <c r="AJ114" s="162"/>
      <c r="AK114" s="162"/>
      <c r="AL114" s="162"/>
      <c r="AM114" s="162"/>
      <c r="AN114" s="162"/>
      <c r="AO114" s="162"/>
      <c r="AP114" s="162"/>
      <c r="AQ114" s="162"/>
      <c r="AR114" s="162"/>
      <c r="AS114" s="162"/>
      <c r="AT114" s="162"/>
      <c r="AU114" s="162"/>
      <c r="AV114" s="162"/>
      <c r="AW114" s="162"/>
      <c r="AX114" s="162"/>
      <c r="AY114" s="162"/>
      <c r="AZ114" s="162"/>
      <c r="BA114" s="162"/>
      <c r="BB114" s="162"/>
      <c r="BC114" s="162"/>
      <c r="BD114" s="162"/>
      <c r="BE114" s="162"/>
      <c r="BF114" s="162"/>
      <c r="BG114" s="162"/>
      <c r="BH114" s="162"/>
      <c r="BI114" s="162"/>
      <c r="BJ114" s="162"/>
      <c r="BK114" s="162"/>
      <c r="BL114" s="162"/>
      <c r="BM114" s="162"/>
      <c r="BN114" s="162"/>
      <c r="BO114" s="162"/>
      <c r="BP114" s="162"/>
      <c r="BQ114" s="162"/>
      <c r="BR114" s="162"/>
      <c r="BS114" s="162"/>
      <c r="BT114" s="162"/>
      <c r="BU114" s="162"/>
      <c r="BV114" s="162"/>
      <c r="BW114" s="162"/>
      <c r="BX114" s="162"/>
      <c r="BY114" s="162"/>
      <c r="BZ114" s="162"/>
      <c r="CA114" s="162"/>
      <c r="CB114" s="162"/>
      <c r="CC114" s="162"/>
      <c r="CD114" s="162"/>
      <c r="CE114" s="162"/>
      <c r="CF114" s="162"/>
      <c r="CG114" s="162"/>
      <c r="CH114" s="162"/>
      <c r="CI114" s="162"/>
      <c r="CJ114" s="162"/>
      <c r="CK114" s="162"/>
      <c r="CL114" s="162"/>
      <c r="CM114" s="162"/>
      <c r="CN114" s="162"/>
      <c r="CO114" s="162"/>
      <c r="CP114" s="162"/>
      <c r="CQ114" s="162"/>
      <c r="CR114" s="162"/>
      <c r="CS114" s="162"/>
      <c r="CT114" s="162"/>
      <c r="CU114" s="162"/>
      <c r="CV114" s="162"/>
      <c r="CW114" s="162"/>
      <c r="CX114" s="162"/>
      <c r="CY114" s="162"/>
      <c r="CZ114" s="162"/>
      <c r="DA114" s="162"/>
      <c r="DB114" s="162"/>
      <c r="DC114" s="162"/>
      <c r="DD114" s="162"/>
      <c r="DE114" s="162"/>
      <c r="DF114" s="162"/>
      <c r="DG114" s="162"/>
      <c r="DH114" s="162"/>
      <c r="DI114" s="162"/>
      <c r="DJ114" s="162"/>
      <c r="DK114" s="162"/>
      <c r="DL114" s="162"/>
      <c r="DM114" s="162"/>
      <c r="DN114" s="162"/>
      <c r="DO114" s="162"/>
      <c r="DP114" s="162"/>
      <c r="DQ114" s="162"/>
      <c r="DR114" s="162"/>
      <c r="DS114" s="162"/>
      <c r="DT114" s="162"/>
      <c r="DU114" s="162"/>
      <c r="DV114" s="162"/>
      <c r="DW114" s="162"/>
      <c r="DX114" s="162"/>
      <c r="DY114" s="162"/>
      <c r="DZ114" s="162"/>
      <c r="EA114" s="162"/>
      <c r="EB114" s="162"/>
      <c r="EC114" s="162"/>
      <c r="ED114" s="162"/>
      <c r="EE114" s="162"/>
      <c r="EF114" s="162"/>
      <c r="EG114" s="162"/>
      <c r="EH114" s="162"/>
      <c r="EI114" s="162"/>
      <c r="EJ114" s="162"/>
      <c r="EK114" s="162"/>
      <c r="EL114" s="162"/>
      <c r="EM114" s="162"/>
      <c r="EN114" s="162"/>
      <c r="EO114" s="162"/>
      <c r="EP114" s="162"/>
      <c r="EQ114" s="162"/>
      <c r="ER114" s="162"/>
      <c r="ES114" s="162"/>
      <c r="ET114" s="162"/>
      <c r="EU114" s="162"/>
      <c r="EV114" s="162"/>
      <c r="EW114" s="162"/>
      <c r="EX114" s="162"/>
      <c r="EY114" s="162"/>
      <c r="EZ114" s="162"/>
      <c r="FA114" s="162"/>
      <c r="FB114" s="162"/>
      <c r="FC114" s="162"/>
      <c r="FD114" s="162"/>
      <c r="FE114" s="162"/>
      <c r="FF114" s="162"/>
      <c r="FG114" s="162"/>
      <c r="FH114" s="162"/>
      <c r="FI114" s="162"/>
      <c r="FJ114" s="162"/>
      <c r="FK114" s="162"/>
      <c r="FL114" s="162"/>
      <c r="FM114" s="162"/>
      <c r="FN114" s="162"/>
      <c r="FO114" s="162"/>
      <c r="FP114" s="162"/>
      <c r="FQ114" s="162"/>
      <c r="FR114" s="162"/>
      <c r="FS114" s="162"/>
      <c r="FT114" s="162"/>
      <c r="FU114" s="162"/>
      <c r="FV114" s="162"/>
      <c r="FW114" s="162"/>
      <c r="FX114" s="162"/>
      <c r="FY114" s="162"/>
      <c r="FZ114" s="162"/>
      <c r="GA114" s="162"/>
      <c r="GB114" s="162"/>
      <c r="GC114" s="162"/>
      <c r="GD114" s="162"/>
      <c r="GE114" s="162"/>
      <c r="GF114" s="162"/>
      <c r="GG114" s="162"/>
      <c r="GH114" s="162"/>
      <c r="GI114" s="162"/>
      <c r="GJ114" s="162"/>
      <c r="GK114" s="162"/>
      <c r="GL114" s="162"/>
      <c r="GM114" s="162"/>
      <c r="GN114" s="162"/>
      <c r="GO114" s="162"/>
      <c r="GP114" s="162"/>
      <c r="GQ114" s="162"/>
      <c r="GR114" s="162"/>
      <c r="GS114" s="162"/>
      <c r="GT114" s="162"/>
      <c r="GU114" s="162"/>
      <c r="GV114" s="162"/>
      <c r="GW114" s="162"/>
      <c r="GX114" s="162"/>
      <c r="GY114" s="162"/>
      <c r="GZ114" s="162"/>
      <c r="HA114" s="162"/>
      <c r="HB114" s="162"/>
      <c r="HC114" s="162"/>
      <c r="HD114" s="162"/>
      <c r="HE114" s="162"/>
      <c r="HF114" s="162"/>
      <c r="HG114" s="162"/>
      <c r="HH114" s="162"/>
      <c r="HI114" s="162"/>
      <c r="HJ114" s="162"/>
      <c r="HK114" s="162"/>
      <c r="HL114" s="162"/>
      <c r="HM114" s="162"/>
      <c r="HN114" s="162"/>
      <c r="HO114" s="162"/>
      <c r="HP114" s="162"/>
      <c r="HQ114" s="162"/>
      <c r="HR114" s="162"/>
      <c r="HS114" s="162"/>
      <c r="HT114" s="162"/>
      <c r="HU114" s="162"/>
      <c r="HV114" s="162"/>
      <c r="HW114" s="162"/>
      <c r="HX114" s="162"/>
      <c r="HY114" s="162"/>
      <c r="HZ114" s="162"/>
      <c r="IA114" s="162"/>
      <c r="IB114" s="162"/>
      <c r="IC114" s="162"/>
      <c r="ID114" s="162"/>
      <c r="IE114" s="162"/>
      <c r="IF114" s="162"/>
      <c r="IG114" s="162"/>
    </row>
    <row r="115" spans="1:241" s="155" customFormat="1">
      <c r="A115" s="391" t="s">
        <v>467</v>
      </c>
      <c r="B115" s="392" t="s">
        <v>468</v>
      </c>
      <c r="C115" s="269" t="s">
        <v>665</v>
      </c>
      <c r="D115" s="267" t="s">
        <v>666</v>
      </c>
      <c r="E115" s="267">
        <v>3</v>
      </c>
      <c r="F115" s="273" t="s">
        <v>710</v>
      </c>
      <c r="G115" s="405"/>
      <c r="H115" s="418">
        <v>1</v>
      </c>
      <c r="I115" s="419">
        <v>44</v>
      </c>
      <c r="J115" s="420">
        <v>1100</v>
      </c>
      <c r="K115" s="421">
        <v>0</v>
      </c>
      <c r="L115" s="421">
        <v>0</v>
      </c>
      <c r="M115" s="421">
        <v>220</v>
      </c>
      <c r="N115" s="421">
        <v>0</v>
      </c>
      <c r="O115" s="421">
        <v>124.3</v>
      </c>
      <c r="P115" s="422">
        <f t="shared" si="3"/>
        <v>1195.7</v>
      </c>
      <c r="Q115" s="162"/>
      <c r="R115" s="162"/>
      <c r="S115" s="162"/>
      <c r="T115" s="162"/>
      <c r="U115" s="162"/>
      <c r="V115" s="162"/>
      <c r="W115" s="162"/>
      <c r="X115" s="162"/>
      <c r="Y115" s="162"/>
      <c r="Z115" s="162"/>
      <c r="AA115" s="162"/>
      <c r="AB115" s="162"/>
      <c r="AC115" s="162"/>
      <c r="AD115" s="162"/>
      <c r="AE115" s="162"/>
      <c r="AF115" s="162"/>
      <c r="AG115" s="404"/>
      <c r="AH115" s="404"/>
      <c r="AI115" s="404"/>
      <c r="AJ115" s="404"/>
      <c r="AK115" s="404"/>
      <c r="AL115" s="404"/>
      <c r="AM115" s="404"/>
      <c r="AN115" s="404"/>
      <c r="AO115" s="404"/>
      <c r="AP115" s="404"/>
      <c r="AQ115" s="404"/>
      <c r="AR115" s="404"/>
      <c r="AS115" s="404"/>
      <c r="AT115" s="404"/>
      <c r="AU115" s="404"/>
      <c r="AV115" s="404"/>
      <c r="AW115" s="404"/>
      <c r="AX115" s="404"/>
      <c r="AY115" s="404"/>
      <c r="AZ115" s="404"/>
      <c r="BA115" s="404"/>
      <c r="BB115" s="404"/>
      <c r="BC115" s="404"/>
      <c r="BD115" s="404"/>
      <c r="BE115" s="404"/>
      <c r="BF115" s="404"/>
      <c r="BG115" s="404"/>
      <c r="BH115" s="404"/>
      <c r="BI115" s="404"/>
      <c r="BJ115" s="404"/>
      <c r="BK115" s="404"/>
      <c r="BL115" s="404"/>
      <c r="BM115" s="404"/>
      <c r="BN115" s="404"/>
      <c r="BO115" s="404"/>
      <c r="BP115" s="404"/>
      <c r="BQ115" s="404"/>
      <c r="BR115" s="404"/>
      <c r="BS115" s="404"/>
      <c r="BT115" s="404"/>
      <c r="BU115" s="404"/>
      <c r="BV115" s="404"/>
      <c r="BW115" s="404"/>
      <c r="BX115" s="404"/>
      <c r="BY115" s="404"/>
      <c r="BZ115" s="404"/>
      <c r="CA115" s="404"/>
      <c r="CB115" s="404"/>
      <c r="CC115" s="404"/>
      <c r="CD115" s="404"/>
      <c r="CE115" s="404"/>
      <c r="CF115" s="404"/>
      <c r="CG115" s="404"/>
      <c r="CH115" s="404"/>
      <c r="CI115" s="404"/>
      <c r="CJ115" s="404"/>
      <c r="CK115" s="404"/>
      <c r="CL115" s="404"/>
      <c r="CM115" s="404"/>
      <c r="CN115" s="404"/>
      <c r="CO115" s="404"/>
      <c r="CP115" s="404"/>
      <c r="CQ115" s="404"/>
      <c r="CR115" s="404"/>
      <c r="CS115" s="404"/>
      <c r="CT115" s="404"/>
      <c r="CU115" s="404"/>
      <c r="CV115" s="404"/>
      <c r="CW115" s="404"/>
      <c r="CX115" s="404"/>
      <c r="CY115" s="404"/>
      <c r="CZ115" s="404"/>
      <c r="DA115" s="404"/>
      <c r="DB115" s="404"/>
      <c r="DC115" s="404"/>
      <c r="DD115" s="404"/>
      <c r="DE115" s="404"/>
      <c r="DF115" s="404"/>
      <c r="DG115" s="404"/>
      <c r="DH115" s="404"/>
      <c r="DI115" s="404"/>
      <c r="DJ115" s="404"/>
      <c r="DK115" s="404"/>
      <c r="DL115" s="404"/>
      <c r="DM115" s="404"/>
      <c r="DN115" s="404"/>
      <c r="DO115" s="404"/>
      <c r="DP115" s="404"/>
      <c r="DQ115" s="404"/>
      <c r="DR115" s="404"/>
      <c r="DS115" s="404"/>
      <c r="DT115" s="404"/>
      <c r="DU115" s="404"/>
      <c r="DV115" s="404"/>
      <c r="DW115" s="404"/>
      <c r="DX115" s="404"/>
      <c r="DY115" s="404"/>
      <c r="DZ115" s="404"/>
      <c r="EA115" s="404"/>
      <c r="EB115" s="404"/>
      <c r="EC115" s="404"/>
      <c r="ED115" s="404"/>
      <c r="EE115" s="404"/>
      <c r="EF115" s="404"/>
      <c r="EG115" s="404"/>
      <c r="EH115" s="404"/>
      <c r="EI115" s="404"/>
      <c r="EJ115" s="404"/>
      <c r="EK115" s="404"/>
      <c r="EL115" s="404"/>
      <c r="EM115" s="404"/>
      <c r="EN115" s="404"/>
      <c r="EO115" s="404"/>
      <c r="EP115" s="404"/>
      <c r="EQ115" s="404"/>
      <c r="ER115" s="404"/>
      <c r="ES115" s="404"/>
      <c r="ET115" s="404"/>
      <c r="EU115" s="404"/>
      <c r="EV115" s="404"/>
      <c r="EW115" s="404"/>
      <c r="EX115" s="404"/>
      <c r="EY115" s="404"/>
      <c r="EZ115" s="404"/>
      <c r="FA115" s="404"/>
      <c r="FB115" s="404"/>
      <c r="FC115" s="404"/>
      <c r="FD115" s="404"/>
      <c r="FE115" s="404"/>
      <c r="FF115" s="404"/>
      <c r="FG115" s="404"/>
      <c r="FH115" s="404"/>
      <c r="FI115" s="404"/>
      <c r="FJ115" s="404"/>
      <c r="FK115" s="404"/>
      <c r="FL115" s="404"/>
      <c r="FM115" s="404"/>
      <c r="FN115" s="404"/>
      <c r="FO115" s="404"/>
      <c r="FP115" s="404"/>
      <c r="FQ115" s="404"/>
      <c r="FR115" s="404"/>
      <c r="FS115" s="404"/>
      <c r="FT115" s="404"/>
      <c r="FU115" s="404"/>
      <c r="FV115" s="404"/>
      <c r="FW115" s="404"/>
      <c r="FX115" s="404"/>
      <c r="FY115" s="404"/>
      <c r="FZ115" s="404"/>
      <c r="GA115" s="404"/>
      <c r="GB115" s="404"/>
      <c r="GC115" s="404"/>
      <c r="GD115" s="404"/>
      <c r="GE115" s="404"/>
      <c r="GF115" s="404"/>
      <c r="GG115" s="404"/>
      <c r="GH115" s="404"/>
      <c r="GI115" s="404"/>
      <c r="GJ115" s="404"/>
      <c r="GK115" s="404"/>
      <c r="GL115" s="404"/>
      <c r="GM115" s="404"/>
      <c r="GN115" s="404"/>
      <c r="GO115" s="404"/>
      <c r="GP115" s="404"/>
      <c r="GQ115" s="404"/>
      <c r="GR115" s="404"/>
      <c r="GS115" s="404"/>
      <c r="GT115" s="404"/>
      <c r="GU115" s="404"/>
      <c r="GV115" s="404"/>
      <c r="GW115" s="404"/>
      <c r="GX115" s="404"/>
      <c r="GY115" s="404"/>
      <c r="GZ115" s="404"/>
      <c r="HA115" s="404"/>
      <c r="HB115" s="404"/>
      <c r="HC115" s="404"/>
      <c r="HD115" s="404"/>
      <c r="HE115" s="404"/>
      <c r="HF115" s="404"/>
      <c r="HG115" s="404"/>
      <c r="HH115" s="404"/>
      <c r="HI115" s="404"/>
      <c r="HJ115" s="404"/>
      <c r="HK115" s="404"/>
      <c r="HL115" s="404"/>
      <c r="HM115" s="404"/>
      <c r="HN115" s="404"/>
      <c r="HO115" s="404"/>
      <c r="HP115" s="404"/>
      <c r="HQ115" s="404"/>
      <c r="HR115" s="404"/>
      <c r="HS115" s="404"/>
      <c r="HT115" s="404"/>
      <c r="HU115" s="404"/>
      <c r="HV115" s="404"/>
      <c r="HW115" s="404"/>
      <c r="HX115" s="404"/>
      <c r="HY115" s="404"/>
      <c r="HZ115" s="404"/>
      <c r="IA115" s="404"/>
      <c r="IB115" s="404"/>
      <c r="IC115" s="404"/>
      <c r="ID115" s="404"/>
      <c r="IE115" s="404"/>
      <c r="IF115" s="404"/>
      <c r="IG115" s="404"/>
    </row>
    <row r="116" spans="1:241" s="155" customFormat="1">
      <c r="A116" s="391" t="s">
        <v>467</v>
      </c>
      <c r="B116" s="392" t="s">
        <v>468</v>
      </c>
      <c r="C116" s="269">
        <v>66715300410</v>
      </c>
      <c r="D116" s="267" t="s">
        <v>667</v>
      </c>
      <c r="E116" s="267">
        <v>2</v>
      </c>
      <c r="F116" s="273" t="s">
        <v>708</v>
      </c>
      <c r="G116" s="405"/>
      <c r="H116" s="418">
        <v>1</v>
      </c>
      <c r="I116" s="419">
        <v>44</v>
      </c>
      <c r="J116" s="420">
        <v>1212.4000000000001</v>
      </c>
      <c r="K116" s="421">
        <v>0</v>
      </c>
      <c r="L116" s="421">
        <v>0</v>
      </c>
      <c r="M116" s="421">
        <v>0</v>
      </c>
      <c r="N116" s="421">
        <v>0</v>
      </c>
      <c r="O116" s="421">
        <v>0</v>
      </c>
      <c r="P116" s="422">
        <f t="shared" si="3"/>
        <v>1212.4000000000001</v>
      </c>
      <c r="Q116" s="162"/>
      <c r="R116" s="162"/>
      <c r="S116" s="162"/>
      <c r="T116" s="162"/>
      <c r="U116" s="162"/>
      <c r="V116" s="162"/>
      <c r="W116" s="162"/>
      <c r="X116" s="162"/>
      <c r="Y116" s="162"/>
      <c r="Z116" s="162"/>
      <c r="AA116" s="162"/>
      <c r="AB116" s="162"/>
      <c r="AC116" s="162"/>
      <c r="AD116" s="162"/>
      <c r="AE116" s="162"/>
      <c r="AF116" s="162"/>
      <c r="AG116" s="162"/>
      <c r="AH116" s="162"/>
      <c r="AI116" s="162"/>
      <c r="AJ116" s="162"/>
      <c r="AK116" s="162"/>
      <c r="AL116" s="162"/>
      <c r="AM116" s="162"/>
      <c r="AN116" s="162"/>
      <c r="AO116" s="162"/>
      <c r="AP116" s="162"/>
      <c r="AQ116" s="162"/>
      <c r="AR116" s="162"/>
      <c r="AS116" s="162"/>
      <c r="AT116" s="162"/>
      <c r="AU116" s="162"/>
      <c r="AV116" s="162"/>
      <c r="AW116" s="162"/>
      <c r="AX116" s="162"/>
      <c r="AY116" s="162"/>
      <c r="AZ116" s="162"/>
      <c r="BA116" s="162"/>
      <c r="BB116" s="162"/>
      <c r="BC116" s="162"/>
      <c r="BD116" s="162"/>
      <c r="BE116" s="162"/>
      <c r="BF116" s="162"/>
      <c r="BG116" s="162"/>
      <c r="BH116" s="162"/>
      <c r="BI116" s="162"/>
      <c r="BJ116" s="162"/>
      <c r="BK116" s="162"/>
      <c r="BL116" s="162"/>
      <c r="BM116" s="162"/>
      <c r="BN116" s="162"/>
      <c r="BO116" s="162"/>
      <c r="BP116" s="162"/>
      <c r="BQ116" s="162"/>
      <c r="BR116" s="162"/>
      <c r="BS116" s="162"/>
      <c r="BT116" s="162"/>
      <c r="BU116" s="162"/>
      <c r="BV116" s="162"/>
      <c r="BW116" s="162"/>
      <c r="BX116" s="162"/>
      <c r="BY116" s="162"/>
      <c r="BZ116" s="162"/>
      <c r="CA116" s="162"/>
      <c r="CB116" s="162"/>
      <c r="CC116" s="162"/>
      <c r="CD116" s="162"/>
      <c r="CE116" s="162"/>
      <c r="CF116" s="162"/>
      <c r="CG116" s="162"/>
      <c r="CH116" s="162"/>
      <c r="CI116" s="162"/>
      <c r="CJ116" s="162"/>
      <c r="CK116" s="162"/>
      <c r="CL116" s="162"/>
      <c r="CM116" s="162"/>
      <c r="CN116" s="162"/>
      <c r="CO116" s="162"/>
      <c r="CP116" s="162"/>
      <c r="CQ116" s="162"/>
      <c r="CR116" s="162"/>
      <c r="CS116" s="162"/>
      <c r="CT116" s="162"/>
      <c r="CU116" s="162"/>
      <c r="CV116" s="162"/>
      <c r="CW116" s="162"/>
      <c r="CX116" s="162"/>
      <c r="CY116" s="162"/>
      <c r="CZ116" s="162"/>
      <c r="DA116" s="162"/>
      <c r="DB116" s="162"/>
      <c r="DC116" s="162"/>
      <c r="DD116" s="162"/>
      <c r="DE116" s="162"/>
      <c r="DF116" s="162"/>
      <c r="DG116" s="162"/>
      <c r="DH116" s="162"/>
      <c r="DI116" s="162"/>
      <c r="DJ116" s="162"/>
      <c r="DK116" s="162"/>
      <c r="DL116" s="162"/>
      <c r="DM116" s="162"/>
      <c r="DN116" s="162"/>
      <c r="DO116" s="162"/>
      <c r="DP116" s="162"/>
      <c r="DQ116" s="162"/>
      <c r="DR116" s="162"/>
      <c r="DS116" s="162"/>
      <c r="DT116" s="162"/>
      <c r="DU116" s="162"/>
      <c r="DV116" s="162"/>
      <c r="DW116" s="162"/>
      <c r="DX116" s="162"/>
      <c r="DY116" s="162"/>
      <c r="DZ116" s="162"/>
      <c r="EA116" s="162"/>
      <c r="EB116" s="162"/>
      <c r="EC116" s="162"/>
      <c r="ED116" s="162"/>
      <c r="EE116" s="162"/>
      <c r="EF116" s="162"/>
      <c r="EG116" s="162"/>
      <c r="EH116" s="162"/>
      <c r="EI116" s="162"/>
      <c r="EJ116" s="162"/>
      <c r="EK116" s="162"/>
      <c r="EL116" s="162"/>
      <c r="EM116" s="162"/>
      <c r="EN116" s="162"/>
      <c r="EO116" s="162"/>
      <c r="EP116" s="162"/>
      <c r="EQ116" s="162"/>
      <c r="ER116" s="162"/>
      <c r="ES116" s="162"/>
      <c r="ET116" s="162"/>
      <c r="EU116" s="162"/>
      <c r="EV116" s="162"/>
      <c r="EW116" s="162"/>
      <c r="EX116" s="162"/>
      <c r="EY116" s="162"/>
      <c r="EZ116" s="162"/>
      <c r="FA116" s="162"/>
      <c r="FB116" s="162"/>
      <c r="FC116" s="162"/>
      <c r="FD116" s="162"/>
      <c r="FE116" s="162"/>
      <c r="FF116" s="162"/>
      <c r="FG116" s="162"/>
      <c r="FH116" s="162"/>
      <c r="FI116" s="162"/>
      <c r="FJ116" s="162"/>
      <c r="FK116" s="162"/>
      <c r="FL116" s="162"/>
      <c r="FM116" s="162"/>
      <c r="FN116" s="162"/>
      <c r="FO116" s="162"/>
      <c r="FP116" s="162"/>
      <c r="FQ116" s="162"/>
      <c r="FR116" s="162"/>
      <c r="FS116" s="162"/>
      <c r="FT116" s="162"/>
      <c r="FU116" s="162"/>
      <c r="FV116" s="162"/>
      <c r="FW116" s="162"/>
      <c r="FX116" s="162"/>
      <c r="FY116" s="162"/>
      <c r="FZ116" s="162"/>
      <c r="GA116" s="162"/>
      <c r="GB116" s="162"/>
      <c r="GC116" s="162"/>
      <c r="GD116" s="162"/>
      <c r="GE116" s="162"/>
      <c r="GF116" s="162"/>
      <c r="GG116" s="162"/>
      <c r="GH116" s="162"/>
      <c r="GI116" s="162"/>
      <c r="GJ116" s="162"/>
      <c r="GK116" s="162"/>
      <c r="GL116" s="162"/>
      <c r="GM116" s="162"/>
      <c r="GN116" s="162"/>
      <c r="GO116" s="162"/>
      <c r="GP116" s="162"/>
      <c r="GQ116" s="162"/>
      <c r="GR116" s="162"/>
      <c r="GS116" s="162"/>
      <c r="GT116" s="162"/>
      <c r="GU116" s="162"/>
      <c r="GV116" s="162"/>
      <c r="GW116" s="162"/>
      <c r="GX116" s="162"/>
      <c r="GY116" s="162"/>
      <c r="GZ116" s="162"/>
      <c r="HA116" s="162"/>
      <c r="HB116" s="162"/>
      <c r="HC116" s="162"/>
      <c r="HD116" s="162"/>
      <c r="HE116" s="162"/>
      <c r="HF116" s="162"/>
      <c r="HG116" s="162"/>
      <c r="HH116" s="162"/>
      <c r="HI116" s="162"/>
      <c r="HJ116" s="162"/>
      <c r="HK116" s="162"/>
      <c r="HL116" s="162"/>
      <c r="HM116" s="162"/>
      <c r="HN116" s="162"/>
      <c r="HO116" s="162"/>
      <c r="HP116" s="162"/>
      <c r="HQ116" s="162"/>
      <c r="HR116" s="162"/>
      <c r="HS116" s="162"/>
      <c r="HT116" s="162"/>
      <c r="HU116" s="162"/>
      <c r="HV116" s="162"/>
      <c r="HW116" s="162"/>
      <c r="HX116" s="162"/>
      <c r="HY116" s="162"/>
      <c r="HZ116" s="162"/>
      <c r="IA116" s="162"/>
      <c r="IB116" s="162"/>
      <c r="IC116" s="162"/>
      <c r="ID116" s="162"/>
      <c r="IE116" s="162"/>
      <c r="IF116" s="162"/>
      <c r="IG116" s="162"/>
    </row>
    <row r="117" spans="1:241" s="155" customFormat="1">
      <c r="A117" s="391" t="s">
        <v>467</v>
      </c>
      <c r="B117" s="392" t="s">
        <v>468</v>
      </c>
      <c r="C117" s="269" t="s">
        <v>668</v>
      </c>
      <c r="D117" s="267" t="s">
        <v>669</v>
      </c>
      <c r="E117" s="267">
        <v>2</v>
      </c>
      <c r="F117" s="273" t="s">
        <v>708</v>
      </c>
      <c r="G117" s="405"/>
      <c r="H117" s="418">
        <v>1</v>
      </c>
      <c r="I117" s="419">
        <v>44</v>
      </c>
      <c r="J117" s="420">
        <v>918.52</v>
      </c>
      <c r="K117" s="421">
        <v>0</v>
      </c>
      <c r="L117" s="421">
        <v>0</v>
      </c>
      <c r="M117" s="421">
        <f>1652.81-918.52</f>
        <v>734.29</v>
      </c>
      <c r="N117" s="421">
        <v>0</v>
      </c>
      <c r="O117" s="421">
        <v>214.59</v>
      </c>
      <c r="P117" s="422">
        <f t="shared" si="3"/>
        <v>1438.22</v>
      </c>
      <c r="AG117" s="162"/>
      <c r="AH117" s="162"/>
      <c r="AI117" s="162"/>
      <c r="AJ117" s="162"/>
      <c r="AK117" s="162"/>
      <c r="AL117" s="162"/>
      <c r="AM117" s="162"/>
      <c r="AN117" s="162"/>
      <c r="AO117" s="162"/>
      <c r="AP117" s="162"/>
      <c r="AQ117" s="162"/>
      <c r="AR117" s="162"/>
      <c r="AS117" s="162"/>
      <c r="AT117" s="162"/>
      <c r="AU117" s="162"/>
      <c r="AV117" s="162"/>
      <c r="AW117" s="162"/>
      <c r="AX117" s="162"/>
      <c r="AY117" s="162"/>
      <c r="AZ117" s="162"/>
      <c r="BA117" s="162"/>
      <c r="BB117" s="162"/>
      <c r="BC117" s="162"/>
      <c r="BD117" s="162"/>
      <c r="BE117" s="162"/>
      <c r="BF117" s="162"/>
      <c r="BG117" s="162"/>
      <c r="BH117" s="162"/>
      <c r="BI117" s="162"/>
      <c r="BJ117" s="162"/>
      <c r="BK117" s="162"/>
      <c r="BL117" s="162"/>
      <c r="BM117" s="162"/>
      <c r="BN117" s="162"/>
      <c r="BO117" s="162"/>
      <c r="BP117" s="162"/>
      <c r="BQ117" s="162"/>
      <c r="BR117" s="162"/>
      <c r="BS117" s="162"/>
      <c r="BT117" s="162"/>
      <c r="BU117" s="162"/>
      <c r="BV117" s="162"/>
      <c r="BW117" s="162"/>
      <c r="BX117" s="162"/>
      <c r="BY117" s="162"/>
      <c r="BZ117" s="162"/>
      <c r="CA117" s="162"/>
      <c r="CB117" s="162"/>
      <c r="CC117" s="162"/>
      <c r="CD117" s="162"/>
      <c r="CE117" s="162"/>
      <c r="CF117" s="162"/>
      <c r="CG117" s="162"/>
      <c r="CH117" s="162"/>
      <c r="CI117" s="162"/>
      <c r="CJ117" s="162"/>
      <c r="CK117" s="162"/>
      <c r="CL117" s="162"/>
      <c r="CM117" s="162"/>
      <c r="CN117" s="162"/>
      <c r="CO117" s="162"/>
      <c r="CP117" s="162"/>
      <c r="CQ117" s="162"/>
      <c r="CR117" s="162"/>
      <c r="CS117" s="162"/>
      <c r="CT117" s="162"/>
      <c r="CU117" s="162"/>
      <c r="CV117" s="162"/>
      <c r="CW117" s="162"/>
      <c r="CX117" s="162"/>
      <c r="CY117" s="162"/>
      <c r="CZ117" s="162"/>
      <c r="DA117" s="162"/>
      <c r="DB117" s="162"/>
      <c r="DC117" s="162"/>
      <c r="DD117" s="162"/>
      <c r="DE117" s="162"/>
      <c r="DF117" s="162"/>
      <c r="DG117" s="162"/>
      <c r="DH117" s="162"/>
      <c r="DI117" s="162"/>
      <c r="DJ117" s="162"/>
      <c r="DK117" s="162"/>
      <c r="DL117" s="162"/>
      <c r="DM117" s="162"/>
      <c r="DN117" s="162"/>
      <c r="DO117" s="162"/>
      <c r="DP117" s="162"/>
      <c r="DQ117" s="162"/>
      <c r="DR117" s="162"/>
      <c r="DS117" s="162"/>
      <c r="DT117" s="162"/>
      <c r="DU117" s="162"/>
      <c r="DV117" s="162"/>
      <c r="DW117" s="162"/>
      <c r="DX117" s="162"/>
      <c r="DY117" s="162"/>
      <c r="DZ117" s="162"/>
      <c r="EA117" s="162"/>
      <c r="EB117" s="162"/>
      <c r="EC117" s="162"/>
      <c r="ED117" s="162"/>
      <c r="EE117" s="162"/>
      <c r="EF117" s="162"/>
      <c r="EG117" s="162"/>
      <c r="EH117" s="162"/>
      <c r="EI117" s="162"/>
      <c r="EJ117" s="162"/>
      <c r="EK117" s="162"/>
      <c r="EL117" s="162"/>
      <c r="EM117" s="162"/>
      <c r="EN117" s="162"/>
      <c r="EO117" s="162"/>
      <c r="EP117" s="162"/>
      <c r="EQ117" s="162"/>
      <c r="ER117" s="162"/>
      <c r="ES117" s="162"/>
      <c r="ET117" s="162"/>
      <c r="EU117" s="162"/>
      <c r="EV117" s="162"/>
      <c r="EW117" s="162"/>
      <c r="EX117" s="162"/>
      <c r="EY117" s="162"/>
      <c r="EZ117" s="162"/>
      <c r="FA117" s="162"/>
      <c r="FB117" s="162"/>
      <c r="FC117" s="162"/>
      <c r="FD117" s="162"/>
      <c r="FE117" s="162"/>
      <c r="FF117" s="162"/>
      <c r="FG117" s="162"/>
      <c r="FH117" s="162"/>
      <c r="FI117" s="162"/>
      <c r="FJ117" s="162"/>
      <c r="FK117" s="162"/>
      <c r="FL117" s="162"/>
      <c r="FM117" s="162"/>
      <c r="FN117" s="162"/>
      <c r="FO117" s="162"/>
      <c r="FP117" s="162"/>
      <c r="FQ117" s="162"/>
      <c r="FR117" s="162"/>
      <c r="FS117" s="162"/>
      <c r="FT117" s="162"/>
      <c r="FU117" s="162"/>
      <c r="FV117" s="162"/>
      <c r="FW117" s="162"/>
      <c r="FX117" s="162"/>
      <c r="FY117" s="162"/>
      <c r="FZ117" s="162"/>
      <c r="GA117" s="162"/>
      <c r="GB117" s="162"/>
      <c r="GC117" s="162"/>
      <c r="GD117" s="162"/>
      <c r="GE117" s="162"/>
      <c r="GF117" s="162"/>
      <c r="GG117" s="162"/>
      <c r="GH117" s="162"/>
      <c r="GI117" s="162"/>
      <c r="GJ117" s="162"/>
      <c r="GK117" s="162"/>
      <c r="GL117" s="162"/>
      <c r="GM117" s="162"/>
      <c r="GN117" s="162"/>
      <c r="GO117" s="162"/>
      <c r="GP117" s="162"/>
      <c r="GQ117" s="162"/>
      <c r="GR117" s="162"/>
      <c r="GS117" s="162"/>
      <c r="GT117" s="162"/>
      <c r="GU117" s="162"/>
      <c r="GV117" s="162"/>
      <c r="GW117" s="162"/>
      <c r="GX117" s="162"/>
      <c r="GY117" s="162"/>
      <c r="GZ117" s="162"/>
      <c r="HA117" s="162"/>
      <c r="HB117" s="162"/>
      <c r="HC117" s="162"/>
      <c r="HD117" s="162"/>
      <c r="HE117" s="162"/>
      <c r="HF117" s="162"/>
      <c r="HG117" s="162"/>
      <c r="HH117" s="162"/>
      <c r="HI117" s="162"/>
      <c r="HJ117" s="162"/>
      <c r="HK117" s="162"/>
      <c r="HL117" s="162"/>
      <c r="HM117" s="162"/>
      <c r="HN117" s="162"/>
      <c r="HO117" s="162"/>
      <c r="HP117" s="162"/>
      <c r="HQ117" s="162"/>
      <c r="HR117" s="162"/>
      <c r="HS117" s="162"/>
      <c r="HT117" s="162"/>
      <c r="HU117" s="162"/>
      <c r="HV117" s="162"/>
      <c r="HW117" s="162"/>
      <c r="HX117" s="162"/>
      <c r="HY117" s="162"/>
      <c r="HZ117" s="162"/>
      <c r="IA117" s="162"/>
      <c r="IB117" s="162"/>
      <c r="IC117" s="162"/>
      <c r="ID117" s="162"/>
      <c r="IE117" s="162"/>
      <c r="IF117" s="162"/>
      <c r="IG117" s="162"/>
    </row>
    <row r="118" spans="1:241" s="155" customFormat="1">
      <c r="A118" s="391" t="s">
        <v>467</v>
      </c>
      <c r="B118" s="392" t="s">
        <v>468</v>
      </c>
      <c r="C118" s="269">
        <v>71197891471</v>
      </c>
      <c r="D118" s="267" t="s">
        <v>670</v>
      </c>
      <c r="E118" s="267">
        <v>3</v>
      </c>
      <c r="F118" s="274" t="s">
        <v>710</v>
      </c>
      <c r="G118" s="405"/>
      <c r="H118" s="418">
        <v>1</v>
      </c>
      <c r="I118" s="419">
        <v>44</v>
      </c>
      <c r="J118" s="420">
        <v>990</v>
      </c>
      <c r="K118" s="421">
        <v>0</v>
      </c>
      <c r="L118" s="421">
        <v>0</v>
      </c>
      <c r="M118" s="421">
        <f>1316.19-990</f>
        <v>326.19000000000005</v>
      </c>
      <c r="N118" s="421">
        <v>0</v>
      </c>
      <c r="O118" s="421">
        <v>189.95</v>
      </c>
      <c r="P118" s="422">
        <f t="shared" si="3"/>
        <v>1126.24</v>
      </c>
    </row>
    <row r="119" spans="1:241" s="155" customFormat="1">
      <c r="A119" s="391" t="s">
        <v>467</v>
      </c>
      <c r="B119" s="392" t="s">
        <v>468</v>
      </c>
      <c r="C119" s="269" t="s">
        <v>671</v>
      </c>
      <c r="D119" s="267" t="s">
        <v>672</v>
      </c>
      <c r="E119" s="267">
        <v>3</v>
      </c>
      <c r="F119" s="274" t="s">
        <v>718</v>
      </c>
      <c r="G119" s="405"/>
      <c r="H119" s="418">
        <v>1</v>
      </c>
      <c r="I119" s="419">
        <v>44</v>
      </c>
      <c r="J119" s="420">
        <v>1254.55</v>
      </c>
      <c r="K119" s="421">
        <v>0</v>
      </c>
      <c r="L119" s="421">
        <v>0</v>
      </c>
      <c r="M119" s="421">
        <f>1819.93-1254.55</f>
        <v>565.38000000000011</v>
      </c>
      <c r="N119" s="421">
        <v>0</v>
      </c>
      <c r="O119" s="421">
        <v>172.38</v>
      </c>
      <c r="P119" s="422">
        <f t="shared" si="3"/>
        <v>1647.5500000000002</v>
      </c>
    </row>
    <row r="120" spans="1:241" s="155" customFormat="1">
      <c r="A120" s="391" t="s">
        <v>467</v>
      </c>
      <c r="B120" s="392" t="s">
        <v>468</v>
      </c>
      <c r="C120" s="269" t="s">
        <v>673</v>
      </c>
      <c r="D120" s="267" t="s">
        <v>674</v>
      </c>
      <c r="E120" s="267">
        <v>3</v>
      </c>
      <c r="F120" s="274" t="s">
        <v>718</v>
      </c>
      <c r="G120" s="405"/>
      <c r="H120" s="418">
        <v>2</v>
      </c>
      <c r="I120" s="419">
        <v>44</v>
      </c>
      <c r="J120" s="420">
        <v>1129.0899999999999</v>
      </c>
      <c r="K120" s="421">
        <v>0</v>
      </c>
      <c r="L120" s="421">
        <v>0</v>
      </c>
      <c r="M120" s="421">
        <f>1472.85-1129.09</f>
        <v>343.76</v>
      </c>
      <c r="N120" s="421">
        <v>0</v>
      </c>
      <c r="O120" s="421">
        <v>141.13999999999999</v>
      </c>
      <c r="P120" s="422">
        <f t="shared" si="3"/>
        <v>1331.71</v>
      </c>
    </row>
    <row r="121" spans="1:241" s="155" customFormat="1">
      <c r="A121" s="391" t="s">
        <v>467</v>
      </c>
      <c r="B121" s="392" t="s">
        <v>468</v>
      </c>
      <c r="C121" s="269" t="s">
        <v>675</v>
      </c>
      <c r="D121" s="267" t="s">
        <v>676</v>
      </c>
      <c r="E121" s="267">
        <v>2</v>
      </c>
      <c r="F121" s="273" t="s">
        <v>708</v>
      </c>
      <c r="G121" s="405"/>
      <c r="H121" s="418">
        <v>1</v>
      </c>
      <c r="I121" s="419">
        <v>44</v>
      </c>
      <c r="J121" s="420">
        <v>459.26</v>
      </c>
      <c r="K121" s="421">
        <v>1324.5</v>
      </c>
      <c r="L121" s="421">
        <v>0</v>
      </c>
      <c r="M121" s="421">
        <f>80.67+198.71</f>
        <v>279.38</v>
      </c>
      <c r="N121" s="421">
        <v>0</v>
      </c>
      <c r="O121" s="421">
        <v>1528.39</v>
      </c>
      <c r="P121" s="422">
        <f t="shared" si="3"/>
        <v>534.74999999999977</v>
      </c>
    </row>
    <row r="122" spans="1:241" s="155" customFormat="1">
      <c r="A122" s="391" t="s">
        <v>467</v>
      </c>
      <c r="B122" s="392" t="s">
        <v>468</v>
      </c>
      <c r="C122" s="269" t="s">
        <v>677</v>
      </c>
      <c r="D122" s="267" t="s">
        <v>678</v>
      </c>
      <c r="E122" s="267">
        <v>3</v>
      </c>
      <c r="F122" s="273" t="s">
        <v>710</v>
      </c>
      <c r="G122" s="405"/>
      <c r="H122" s="418">
        <v>1</v>
      </c>
      <c r="I122" s="419">
        <v>44</v>
      </c>
      <c r="J122" s="420">
        <v>1100</v>
      </c>
      <c r="K122" s="421">
        <v>0</v>
      </c>
      <c r="L122" s="421">
        <v>0</v>
      </c>
      <c r="M122" s="421">
        <f>1356.37-1100</f>
        <v>256.36999999999989</v>
      </c>
      <c r="N122" s="421">
        <v>0</v>
      </c>
      <c r="O122" s="421">
        <v>127.57</v>
      </c>
      <c r="P122" s="422">
        <f t="shared" si="3"/>
        <v>1228.8</v>
      </c>
    </row>
    <row r="123" spans="1:241" s="155" customFormat="1">
      <c r="A123" s="391" t="s">
        <v>467</v>
      </c>
      <c r="B123" s="392" t="s">
        <v>468</v>
      </c>
      <c r="C123" s="271" t="s">
        <v>679</v>
      </c>
      <c r="D123" s="267" t="s">
        <v>680</v>
      </c>
      <c r="E123" s="267">
        <v>2</v>
      </c>
      <c r="F123" s="273" t="s">
        <v>708</v>
      </c>
      <c r="G123" s="405"/>
      <c r="H123" s="418">
        <v>1</v>
      </c>
      <c r="I123" s="419">
        <v>44</v>
      </c>
      <c r="J123" s="420">
        <v>1252.53</v>
      </c>
      <c r="K123" s="421">
        <v>0</v>
      </c>
      <c r="L123" s="421">
        <v>0</v>
      </c>
      <c r="M123" s="421">
        <f>1515.58-1252.53</f>
        <v>263.04999999999995</v>
      </c>
      <c r="N123" s="421">
        <v>0</v>
      </c>
      <c r="O123" s="421">
        <v>216.22</v>
      </c>
      <c r="P123" s="422">
        <f t="shared" si="3"/>
        <v>1299.3599999999999</v>
      </c>
    </row>
    <row r="124" spans="1:241" s="155" customFormat="1">
      <c r="A124" s="391" t="s">
        <v>467</v>
      </c>
      <c r="B124" s="392" t="s">
        <v>468</v>
      </c>
      <c r="C124" s="269">
        <v>11141755440</v>
      </c>
      <c r="D124" s="267" t="s">
        <v>681</v>
      </c>
      <c r="E124" s="267">
        <v>3</v>
      </c>
      <c r="F124" s="273" t="s">
        <v>732</v>
      </c>
      <c r="G124" s="405"/>
      <c r="H124" s="418">
        <v>2</v>
      </c>
      <c r="I124" s="419">
        <v>44</v>
      </c>
      <c r="J124" s="420">
        <v>2070</v>
      </c>
      <c r="K124" s="421">
        <v>0</v>
      </c>
      <c r="L124" s="421">
        <v>0</v>
      </c>
      <c r="M124" s="421">
        <v>220</v>
      </c>
      <c r="N124" s="421">
        <v>0</v>
      </c>
      <c r="O124" s="421">
        <v>248.13</v>
      </c>
      <c r="P124" s="422">
        <f t="shared" si="3"/>
        <v>2041.87</v>
      </c>
    </row>
    <row r="125" spans="1:241" s="155" customFormat="1">
      <c r="A125" s="391" t="s">
        <v>467</v>
      </c>
      <c r="B125" s="392" t="s">
        <v>468</v>
      </c>
      <c r="C125" s="269">
        <v>82203210400</v>
      </c>
      <c r="D125" s="267" t="s">
        <v>682</v>
      </c>
      <c r="E125" s="267">
        <v>2</v>
      </c>
      <c r="F125" s="273" t="s">
        <v>712</v>
      </c>
      <c r="G125" s="405"/>
      <c r="H125" s="418">
        <v>1</v>
      </c>
      <c r="I125" s="419">
        <v>44</v>
      </c>
      <c r="J125" s="420">
        <v>2090.16</v>
      </c>
      <c r="K125" s="421">
        <v>0</v>
      </c>
      <c r="L125" s="421">
        <v>0</v>
      </c>
      <c r="M125" s="421">
        <f>3988.93-2090.16</f>
        <v>1898.77</v>
      </c>
      <c r="N125" s="421">
        <v>0</v>
      </c>
      <c r="O125" s="421">
        <v>688.77</v>
      </c>
      <c r="P125" s="422">
        <f t="shared" si="3"/>
        <v>3300.16</v>
      </c>
    </row>
    <row r="126" spans="1:241" s="155" customFormat="1">
      <c r="A126" s="391" t="s">
        <v>467</v>
      </c>
      <c r="B126" s="392" t="s">
        <v>468</v>
      </c>
      <c r="C126" s="269" t="s">
        <v>683</v>
      </c>
      <c r="D126" s="267" t="s">
        <v>684</v>
      </c>
      <c r="E126" s="267">
        <v>3</v>
      </c>
      <c r="F126" s="273" t="s">
        <v>717</v>
      </c>
      <c r="G126" s="405"/>
      <c r="H126" s="418">
        <v>1</v>
      </c>
      <c r="I126" s="419">
        <v>44</v>
      </c>
      <c r="J126" s="420">
        <v>1100</v>
      </c>
      <c r="K126" s="421">
        <v>0</v>
      </c>
      <c r="L126" s="421">
        <v>0</v>
      </c>
      <c r="M126" s="421">
        <f>1711.36-1100</f>
        <v>611.3599999999999</v>
      </c>
      <c r="N126" s="421">
        <v>0</v>
      </c>
      <c r="O126" s="421">
        <v>153.76</v>
      </c>
      <c r="P126" s="422">
        <f t="shared" si="3"/>
        <v>1557.6</v>
      </c>
    </row>
    <row r="127" spans="1:241" s="155" customFormat="1">
      <c r="A127" s="391" t="s">
        <v>467</v>
      </c>
      <c r="B127" s="392" t="s">
        <v>468</v>
      </c>
      <c r="C127" s="269" t="s">
        <v>685</v>
      </c>
      <c r="D127" s="268" t="s">
        <v>686</v>
      </c>
      <c r="E127" s="267">
        <v>3</v>
      </c>
      <c r="F127" s="274" t="s">
        <v>724</v>
      </c>
      <c r="G127" s="405"/>
      <c r="H127" s="418">
        <v>1</v>
      </c>
      <c r="I127" s="419">
        <v>44</v>
      </c>
      <c r="J127" s="420">
        <v>1100</v>
      </c>
      <c r="K127" s="421">
        <v>0</v>
      </c>
      <c r="L127" s="421">
        <v>0</v>
      </c>
      <c r="M127" s="421">
        <f>1574.61-1100</f>
        <v>474.6099999999999</v>
      </c>
      <c r="N127" s="421">
        <v>0</v>
      </c>
      <c r="O127" s="421">
        <v>213.21</v>
      </c>
      <c r="P127" s="422">
        <f t="shared" si="3"/>
        <v>1361.3999999999999</v>
      </c>
    </row>
    <row r="128" spans="1:241" s="155" customFormat="1">
      <c r="A128" s="391" t="s">
        <v>467</v>
      </c>
      <c r="B128" s="392" t="s">
        <v>468</v>
      </c>
      <c r="C128" s="272">
        <v>50934384487</v>
      </c>
      <c r="D128" s="268" t="s">
        <v>687</v>
      </c>
      <c r="E128" s="268">
        <v>2</v>
      </c>
      <c r="F128" s="273" t="s">
        <v>713</v>
      </c>
      <c r="G128" s="405"/>
      <c r="H128" s="423">
        <v>1</v>
      </c>
      <c r="I128" s="424">
        <v>44</v>
      </c>
      <c r="J128" s="425">
        <v>2055.94</v>
      </c>
      <c r="K128" s="421">
        <v>0</v>
      </c>
      <c r="L128" s="421">
        <v>0</v>
      </c>
      <c r="M128" s="421">
        <f>220+113.08</f>
        <v>333.08</v>
      </c>
      <c r="N128" s="421">
        <v>0</v>
      </c>
      <c r="O128" s="421">
        <v>225.14</v>
      </c>
      <c r="P128" s="422">
        <f t="shared" si="3"/>
        <v>2163.88</v>
      </c>
    </row>
    <row r="129" spans="1:16" s="155" customFormat="1">
      <c r="A129" s="391" t="s">
        <v>467</v>
      </c>
      <c r="B129" s="392" t="s">
        <v>468</v>
      </c>
      <c r="C129" s="269" t="s">
        <v>688</v>
      </c>
      <c r="D129" s="267" t="s">
        <v>689</v>
      </c>
      <c r="E129" s="267">
        <v>2</v>
      </c>
      <c r="F129" s="273" t="s">
        <v>708</v>
      </c>
      <c r="G129" s="405"/>
      <c r="H129" s="418">
        <v>1</v>
      </c>
      <c r="I129" s="419">
        <v>44</v>
      </c>
      <c r="J129" s="420">
        <v>1252.53</v>
      </c>
      <c r="K129" s="421">
        <v>0</v>
      </c>
      <c r="L129" s="421">
        <v>0</v>
      </c>
      <c r="M129" s="421">
        <f>2054.51-1252.53</f>
        <v>801.98000000000025</v>
      </c>
      <c r="N129" s="421">
        <v>0</v>
      </c>
      <c r="O129" s="421">
        <v>175.77</v>
      </c>
      <c r="P129" s="422">
        <f t="shared" si="3"/>
        <v>1878.7400000000002</v>
      </c>
    </row>
    <row r="130" spans="1:16" s="155" customFormat="1">
      <c r="A130" s="391" t="s">
        <v>467</v>
      </c>
      <c r="B130" s="392" t="s">
        <v>468</v>
      </c>
      <c r="C130" s="269" t="s">
        <v>690</v>
      </c>
      <c r="D130" s="267" t="s">
        <v>691</v>
      </c>
      <c r="E130" s="267">
        <v>2</v>
      </c>
      <c r="F130" s="274" t="s">
        <v>715</v>
      </c>
      <c r="G130" s="405"/>
      <c r="H130" s="418">
        <v>1</v>
      </c>
      <c r="I130" s="419">
        <v>44</v>
      </c>
      <c r="J130" s="420">
        <v>926.76</v>
      </c>
      <c r="K130" s="421">
        <v>0</v>
      </c>
      <c r="L130" s="421">
        <v>0</v>
      </c>
      <c r="M130" s="421">
        <f>1592.46-926.76</f>
        <v>665.7</v>
      </c>
      <c r="N130" s="421">
        <v>0</v>
      </c>
      <c r="O130" s="421">
        <v>151</v>
      </c>
      <c r="P130" s="422">
        <f t="shared" ref="P130:P161" si="4">SUM(J130:N130)-O130</f>
        <v>1441.46</v>
      </c>
    </row>
    <row r="131" spans="1:16" s="155" customFormat="1">
      <c r="A131" s="391" t="s">
        <v>467</v>
      </c>
      <c r="B131" s="392" t="s">
        <v>468</v>
      </c>
      <c r="C131" s="269" t="s">
        <v>692</v>
      </c>
      <c r="D131" s="268" t="s">
        <v>693</v>
      </c>
      <c r="E131" s="267">
        <v>2</v>
      </c>
      <c r="F131" s="273" t="s">
        <v>713</v>
      </c>
      <c r="G131" s="405"/>
      <c r="H131" s="418">
        <v>1</v>
      </c>
      <c r="I131" s="419">
        <v>44</v>
      </c>
      <c r="J131" s="420">
        <v>1908.07</v>
      </c>
      <c r="K131" s="421">
        <v>0</v>
      </c>
      <c r="L131" s="421">
        <v>0</v>
      </c>
      <c r="M131" s="421">
        <f>2561.45-1908.07</f>
        <v>653.37999999999988</v>
      </c>
      <c r="N131" s="421">
        <v>0</v>
      </c>
      <c r="O131" s="421">
        <v>259.64</v>
      </c>
      <c r="P131" s="422">
        <f t="shared" si="4"/>
        <v>2301.81</v>
      </c>
    </row>
    <row r="132" spans="1:16" s="155" customFormat="1">
      <c r="A132" s="391" t="s">
        <v>467</v>
      </c>
      <c r="B132" s="392" t="s">
        <v>468</v>
      </c>
      <c r="C132" s="269" t="s">
        <v>694</v>
      </c>
      <c r="D132" s="267" t="s">
        <v>695</v>
      </c>
      <c r="E132" s="267">
        <v>2</v>
      </c>
      <c r="F132" s="274" t="s">
        <v>721</v>
      </c>
      <c r="G132" s="405"/>
      <c r="H132" s="419">
        <v>1</v>
      </c>
      <c r="I132" s="419">
        <v>44</v>
      </c>
      <c r="J132" s="420">
        <v>3209.67</v>
      </c>
      <c r="K132" s="421">
        <v>0</v>
      </c>
      <c r="L132" s="421">
        <v>0</v>
      </c>
      <c r="M132" s="421">
        <f>216.16+220</f>
        <v>436.15999999999997</v>
      </c>
      <c r="N132" s="421">
        <v>0</v>
      </c>
      <c r="O132" s="421">
        <v>515.55999999999995</v>
      </c>
      <c r="P132" s="422">
        <f t="shared" si="4"/>
        <v>3130.27</v>
      </c>
    </row>
    <row r="133" spans="1:16" s="155" customFormat="1">
      <c r="A133" s="391" t="s">
        <v>467</v>
      </c>
      <c r="B133" s="392" t="s">
        <v>468</v>
      </c>
      <c r="C133" s="269" t="s">
        <v>696</v>
      </c>
      <c r="D133" s="267" t="s">
        <v>697</v>
      </c>
      <c r="E133" s="267">
        <v>2</v>
      </c>
      <c r="F133" s="273" t="s">
        <v>708</v>
      </c>
      <c r="G133" s="405"/>
      <c r="H133" s="419">
        <v>1</v>
      </c>
      <c r="I133" s="419">
        <v>44</v>
      </c>
      <c r="J133" s="420">
        <v>1085.53</v>
      </c>
      <c r="K133" s="421">
        <v>0</v>
      </c>
      <c r="L133" s="421">
        <v>0</v>
      </c>
      <c r="M133" s="421">
        <f>1731.54-1085.53</f>
        <v>646.01</v>
      </c>
      <c r="N133" s="421">
        <v>0</v>
      </c>
      <c r="O133" s="421">
        <v>424.04</v>
      </c>
      <c r="P133" s="422">
        <f t="shared" si="4"/>
        <v>1307.5</v>
      </c>
    </row>
    <row r="134" spans="1:16" s="155" customFormat="1">
      <c r="A134" s="391" t="s">
        <v>467</v>
      </c>
      <c r="B134" s="392" t="s">
        <v>468</v>
      </c>
      <c r="C134" s="269" t="s">
        <v>698</v>
      </c>
      <c r="D134" s="267" t="s">
        <v>699</v>
      </c>
      <c r="E134" s="267">
        <v>3</v>
      </c>
      <c r="F134" s="273" t="s">
        <v>717</v>
      </c>
      <c r="G134" s="405"/>
      <c r="H134" s="419">
        <v>1</v>
      </c>
      <c r="I134" s="419">
        <v>44</v>
      </c>
      <c r="J134" s="420">
        <v>1063.33</v>
      </c>
      <c r="K134" s="421">
        <v>0</v>
      </c>
      <c r="L134" s="421">
        <v>0</v>
      </c>
      <c r="M134" s="421">
        <f>1427.94-1063.33</f>
        <v>364.61000000000013</v>
      </c>
      <c r="N134" s="421">
        <v>0</v>
      </c>
      <c r="O134" s="421">
        <v>123.64</v>
      </c>
      <c r="P134" s="422">
        <f t="shared" si="4"/>
        <v>1304.3</v>
      </c>
    </row>
    <row r="135" spans="1:16" s="155" customFormat="1">
      <c r="A135" s="391" t="s">
        <v>467</v>
      </c>
      <c r="B135" s="392" t="s">
        <v>468</v>
      </c>
      <c r="C135" s="269" t="s">
        <v>700</v>
      </c>
      <c r="D135" s="267" t="s">
        <v>701</v>
      </c>
      <c r="E135" s="267">
        <v>3</v>
      </c>
      <c r="F135" s="274" t="s">
        <v>733</v>
      </c>
      <c r="G135" s="405"/>
      <c r="H135" s="419">
        <v>1</v>
      </c>
      <c r="I135" s="419">
        <v>44</v>
      </c>
      <c r="J135" s="420">
        <v>1100</v>
      </c>
      <c r="K135" s="421">
        <v>0</v>
      </c>
      <c r="L135" s="421">
        <v>0</v>
      </c>
      <c r="M135" s="421">
        <f>1435.27-1100</f>
        <v>335.27</v>
      </c>
      <c r="N135" s="421">
        <v>0</v>
      </c>
      <c r="O135" s="421">
        <v>124.3</v>
      </c>
      <c r="P135" s="422">
        <f t="shared" si="4"/>
        <v>1310.97</v>
      </c>
    </row>
    <row r="136" spans="1:16" s="155" customFormat="1">
      <c r="A136" s="391" t="s">
        <v>467</v>
      </c>
      <c r="B136" s="392" t="s">
        <v>468</v>
      </c>
      <c r="C136" s="269" t="s">
        <v>702</v>
      </c>
      <c r="D136" s="267" t="s">
        <v>703</v>
      </c>
      <c r="E136" s="267">
        <v>2</v>
      </c>
      <c r="F136" s="273" t="s">
        <v>708</v>
      </c>
      <c r="G136" s="405"/>
      <c r="H136" s="419">
        <v>1</v>
      </c>
      <c r="I136" s="419">
        <v>44</v>
      </c>
      <c r="J136" s="420">
        <v>1252.53</v>
      </c>
      <c r="K136" s="421">
        <v>0</v>
      </c>
      <c r="L136" s="421">
        <v>0</v>
      </c>
      <c r="M136" s="421">
        <f>1683.88-1252.53</f>
        <v>431.35000000000014</v>
      </c>
      <c r="N136" s="421">
        <v>0</v>
      </c>
      <c r="O136" s="421">
        <v>216.22</v>
      </c>
      <c r="P136" s="422">
        <f t="shared" si="4"/>
        <v>1467.66</v>
      </c>
    </row>
    <row r="137" spans="1:16" s="155" customFormat="1">
      <c r="A137" s="391" t="s">
        <v>467</v>
      </c>
      <c r="B137" s="392" t="s">
        <v>468</v>
      </c>
      <c r="C137" s="269">
        <v>76931382420</v>
      </c>
      <c r="D137" s="267" t="s">
        <v>704</v>
      </c>
      <c r="E137" s="267">
        <v>2</v>
      </c>
      <c r="F137" s="273" t="s">
        <v>713</v>
      </c>
      <c r="G137" s="405"/>
      <c r="H137" s="419">
        <v>1</v>
      </c>
      <c r="I137" s="419">
        <v>44</v>
      </c>
      <c r="J137" s="420">
        <v>1908.07</v>
      </c>
      <c r="K137" s="421">
        <v>0</v>
      </c>
      <c r="L137" s="421">
        <v>0</v>
      </c>
      <c r="M137" s="421">
        <f>2331.07-1908.07</f>
        <v>423.00000000000023</v>
      </c>
      <c r="N137" s="421">
        <v>0</v>
      </c>
      <c r="O137" s="421">
        <v>199.55</v>
      </c>
      <c r="P137" s="422">
        <f t="shared" si="4"/>
        <v>2131.52</v>
      </c>
    </row>
    <row r="138" spans="1:16" s="155" customFormat="1">
      <c r="A138" s="391" t="s">
        <v>467</v>
      </c>
      <c r="B138" s="392" t="s">
        <v>468</v>
      </c>
      <c r="C138" s="269" t="s">
        <v>705</v>
      </c>
      <c r="D138" s="267" t="s">
        <v>706</v>
      </c>
      <c r="E138" s="267">
        <v>2</v>
      </c>
      <c r="F138" s="273" t="s">
        <v>708</v>
      </c>
      <c r="G138" s="405"/>
      <c r="H138" s="419">
        <v>1</v>
      </c>
      <c r="I138" s="419">
        <v>44</v>
      </c>
      <c r="J138" s="420">
        <v>1002.02</v>
      </c>
      <c r="K138" s="421">
        <v>0</v>
      </c>
      <c r="L138" s="421">
        <v>0</v>
      </c>
      <c r="M138" s="421">
        <f>1515.11-1002.02</f>
        <v>513.08999999999992</v>
      </c>
      <c r="N138" s="421">
        <v>0</v>
      </c>
      <c r="O138" s="421">
        <v>212.26</v>
      </c>
      <c r="P138" s="422">
        <f t="shared" si="4"/>
        <v>1302.8499999999999</v>
      </c>
    </row>
    <row r="139" spans="1:16" s="155" customFormat="1">
      <c r="A139" s="391" t="s">
        <v>467</v>
      </c>
      <c r="B139" s="392" t="s">
        <v>468</v>
      </c>
      <c r="C139" s="269">
        <v>89866681491</v>
      </c>
      <c r="D139" s="267" t="s">
        <v>707</v>
      </c>
      <c r="E139" s="267">
        <v>2</v>
      </c>
      <c r="F139" s="273" t="s">
        <v>708</v>
      </c>
      <c r="G139" s="405"/>
      <c r="H139" s="419">
        <v>1</v>
      </c>
      <c r="I139" s="419">
        <v>44</v>
      </c>
      <c r="J139" s="420">
        <v>1252.53</v>
      </c>
      <c r="K139" s="421">
        <v>0</v>
      </c>
      <c r="L139" s="421">
        <v>0</v>
      </c>
      <c r="M139" s="421">
        <f>1640-1252.53</f>
        <v>387.47</v>
      </c>
      <c r="N139" s="421">
        <v>0</v>
      </c>
      <c r="O139" s="421">
        <v>189.04</v>
      </c>
      <c r="P139" s="422">
        <f t="shared" si="4"/>
        <v>1450.96</v>
      </c>
    </row>
    <row r="140" spans="1:16" s="155" customFormat="1">
      <c r="A140" s="405"/>
      <c r="B140" s="406"/>
      <c r="C140" s="405"/>
      <c r="D140" s="407"/>
      <c r="E140" s="408"/>
      <c r="F140" s="405"/>
      <c r="G140" s="405"/>
      <c r="H140" s="405"/>
      <c r="I140" s="405"/>
      <c r="J140" s="426">
        <v>0</v>
      </c>
      <c r="K140" s="426">
        <v>0</v>
      </c>
      <c r="L140" s="426">
        <v>0</v>
      </c>
      <c r="M140" s="426">
        <v>0</v>
      </c>
      <c r="N140" s="426">
        <v>0</v>
      </c>
      <c r="O140" s="426">
        <v>0</v>
      </c>
      <c r="P140" s="427">
        <f t="shared" si="4"/>
        <v>0</v>
      </c>
    </row>
    <row r="141" spans="1:16" s="155" customFormat="1">
      <c r="A141" s="405"/>
      <c r="B141" s="406"/>
      <c r="C141" s="405"/>
      <c r="D141" s="407"/>
      <c r="E141" s="408"/>
      <c r="F141" s="405"/>
      <c r="G141" s="405"/>
      <c r="H141" s="405"/>
      <c r="I141" s="405"/>
      <c r="J141" s="426">
        <v>0</v>
      </c>
      <c r="K141" s="426">
        <v>0</v>
      </c>
      <c r="L141" s="426">
        <v>0</v>
      </c>
      <c r="M141" s="426">
        <v>0</v>
      </c>
      <c r="N141" s="426">
        <v>0</v>
      </c>
      <c r="O141" s="426">
        <v>0</v>
      </c>
      <c r="P141" s="427">
        <f t="shared" si="4"/>
        <v>0</v>
      </c>
    </row>
    <row r="142" spans="1:16" s="155" customFormat="1">
      <c r="A142" s="405"/>
      <c r="B142" s="406"/>
      <c r="C142" s="405"/>
      <c r="D142" s="407"/>
      <c r="E142" s="408"/>
      <c r="F142" s="405"/>
      <c r="G142" s="405"/>
      <c r="H142" s="405"/>
      <c r="I142" s="405"/>
      <c r="J142" s="426">
        <v>0</v>
      </c>
      <c r="K142" s="426">
        <v>0</v>
      </c>
      <c r="L142" s="426">
        <v>0</v>
      </c>
      <c r="M142" s="426">
        <v>0</v>
      </c>
      <c r="N142" s="426">
        <v>0</v>
      </c>
      <c r="O142" s="426">
        <v>0</v>
      </c>
      <c r="P142" s="427">
        <f t="shared" si="4"/>
        <v>0</v>
      </c>
    </row>
    <row r="143" spans="1:16" s="155" customFormat="1">
      <c r="A143" s="405"/>
      <c r="B143" s="406"/>
      <c r="C143" s="405"/>
      <c r="D143" s="407"/>
      <c r="E143" s="408"/>
      <c r="F143" s="405"/>
      <c r="G143" s="405"/>
      <c r="H143" s="405"/>
      <c r="I143" s="405"/>
      <c r="J143" s="426">
        <v>0</v>
      </c>
      <c r="K143" s="426">
        <v>0</v>
      </c>
      <c r="L143" s="426">
        <v>0</v>
      </c>
      <c r="M143" s="426">
        <v>0</v>
      </c>
      <c r="N143" s="426">
        <v>0</v>
      </c>
      <c r="O143" s="426">
        <v>0</v>
      </c>
      <c r="P143" s="427">
        <f t="shared" si="4"/>
        <v>0</v>
      </c>
    </row>
    <row r="144" spans="1:16" s="155" customFormat="1">
      <c r="A144" s="405"/>
      <c r="B144" s="406"/>
      <c r="C144" s="405"/>
      <c r="D144" s="407"/>
      <c r="E144" s="408"/>
      <c r="F144" s="405"/>
      <c r="G144" s="405"/>
      <c r="H144" s="405"/>
      <c r="I144" s="405"/>
      <c r="J144" s="426">
        <v>0</v>
      </c>
      <c r="K144" s="426">
        <v>0</v>
      </c>
      <c r="L144" s="426">
        <v>0</v>
      </c>
      <c r="M144" s="426">
        <v>0</v>
      </c>
      <c r="N144" s="426">
        <v>0</v>
      </c>
      <c r="O144" s="426">
        <v>0</v>
      </c>
      <c r="P144" s="427">
        <f t="shared" si="4"/>
        <v>0</v>
      </c>
    </row>
    <row r="145" spans="1:16" s="155" customFormat="1">
      <c r="A145" s="405"/>
      <c r="B145" s="406"/>
      <c r="C145" s="405"/>
      <c r="D145" s="407"/>
      <c r="E145" s="408"/>
      <c r="F145" s="405"/>
      <c r="G145" s="405"/>
      <c r="H145" s="405"/>
      <c r="I145" s="405"/>
      <c r="J145" s="426">
        <v>0</v>
      </c>
      <c r="K145" s="426">
        <v>0</v>
      </c>
      <c r="L145" s="426">
        <v>0</v>
      </c>
      <c r="M145" s="426">
        <v>0</v>
      </c>
      <c r="N145" s="426">
        <v>0</v>
      </c>
      <c r="O145" s="426">
        <v>0</v>
      </c>
      <c r="P145" s="427">
        <f t="shared" si="4"/>
        <v>0</v>
      </c>
    </row>
    <row r="146" spans="1:16" s="155" customFormat="1">
      <c r="A146" s="405"/>
      <c r="B146" s="406"/>
      <c r="C146" s="405"/>
      <c r="D146" s="404"/>
      <c r="E146" s="408"/>
      <c r="F146" s="405"/>
      <c r="G146" s="405"/>
      <c r="H146" s="405"/>
      <c r="I146" s="405"/>
      <c r="J146" s="426">
        <v>0</v>
      </c>
      <c r="K146" s="426">
        <v>0</v>
      </c>
      <c r="L146" s="426">
        <v>0</v>
      </c>
      <c r="M146" s="426">
        <v>0</v>
      </c>
      <c r="N146" s="426">
        <v>0</v>
      </c>
      <c r="O146" s="426">
        <v>0</v>
      </c>
      <c r="P146" s="427">
        <f t="shared" si="4"/>
        <v>0</v>
      </c>
    </row>
    <row r="147" spans="1:16" s="155" customFormat="1">
      <c r="A147" s="405"/>
      <c r="B147" s="406"/>
      <c r="C147" s="405"/>
      <c r="D147" s="407"/>
      <c r="E147" s="409"/>
      <c r="F147" s="405"/>
      <c r="G147" s="405"/>
      <c r="H147" s="405"/>
      <c r="I147" s="405"/>
      <c r="J147" s="426">
        <v>0</v>
      </c>
      <c r="K147" s="426">
        <v>0</v>
      </c>
      <c r="L147" s="426">
        <v>0</v>
      </c>
      <c r="M147" s="426">
        <v>0</v>
      </c>
      <c r="N147" s="426">
        <v>0</v>
      </c>
      <c r="O147" s="426">
        <v>0</v>
      </c>
      <c r="P147" s="427">
        <f t="shared" si="4"/>
        <v>0</v>
      </c>
    </row>
    <row r="148" spans="1:16" s="155" customFormat="1">
      <c r="A148" s="405"/>
      <c r="B148" s="406"/>
      <c r="C148" s="405"/>
      <c r="D148" s="407"/>
      <c r="E148" s="408"/>
      <c r="F148" s="405"/>
      <c r="G148" s="405"/>
      <c r="H148" s="405"/>
      <c r="I148" s="405"/>
      <c r="J148" s="426">
        <v>0</v>
      </c>
      <c r="K148" s="426">
        <v>0</v>
      </c>
      <c r="L148" s="426">
        <v>0</v>
      </c>
      <c r="M148" s="426">
        <v>0</v>
      </c>
      <c r="N148" s="426">
        <v>0</v>
      </c>
      <c r="O148" s="426">
        <v>0</v>
      </c>
      <c r="P148" s="427">
        <f t="shared" si="4"/>
        <v>0</v>
      </c>
    </row>
    <row r="149" spans="1:16" s="155" customFormat="1">
      <c r="A149" s="405"/>
      <c r="B149" s="406"/>
      <c r="C149" s="405"/>
      <c r="D149" s="407"/>
      <c r="E149" s="408"/>
      <c r="F149" s="405"/>
      <c r="G149" s="405"/>
      <c r="H149" s="405"/>
      <c r="I149" s="405"/>
      <c r="J149" s="426">
        <v>0</v>
      </c>
      <c r="K149" s="426">
        <v>0</v>
      </c>
      <c r="L149" s="426">
        <v>0</v>
      </c>
      <c r="M149" s="426">
        <v>0</v>
      </c>
      <c r="N149" s="426">
        <v>0</v>
      </c>
      <c r="O149" s="426">
        <v>0</v>
      </c>
      <c r="P149" s="427">
        <f t="shared" si="4"/>
        <v>0</v>
      </c>
    </row>
    <row r="150" spans="1:16" s="155" customFormat="1">
      <c r="A150" s="405"/>
      <c r="B150" s="406"/>
      <c r="C150" s="405"/>
      <c r="D150" s="407"/>
      <c r="E150" s="408"/>
      <c r="F150" s="405"/>
      <c r="G150" s="405"/>
      <c r="H150" s="405"/>
      <c r="I150" s="405"/>
      <c r="J150" s="426">
        <v>0</v>
      </c>
      <c r="K150" s="426">
        <v>0</v>
      </c>
      <c r="L150" s="426">
        <v>0</v>
      </c>
      <c r="M150" s="426">
        <v>0</v>
      </c>
      <c r="N150" s="426">
        <v>0</v>
      </c>
      <c r="O150" s="426">
        <v>0</v>
      </c>
      <c r="P150" s="427">
        <f t="shared" si="4"/>
        <v>0</v>
      </c>
    </row>
    <row r="151" spans="1:16" s="155" customFormat="1">
      <c r="A151" s="405"/>
      <c r="B151" s="406"/>
      <c r="C151" s="405"/>
      <c r="D151" s="404"/>
      <c r="E151" s="408"/>
      <c r="F151" s="405"/>
      <c r="G151" s="405"/>
      <c r="H151" s="405"/>
      <c r="I151" s="405"/>
      <c r="J151" s="426">
        <v>0</v>
      </c>
      <c r="K151" s="426">
        <v>0</v>
      </c>
      <c r="L151" s="426">
        <v>0</v>
      </c>
      <c r="M151" s="426">
        <v>0</v>
      </c>
      <c r="N151" s="426">
        <v>0</v>
      </c>
      <c r="O151" s="426">
        <v>0</v>
      </c>
      <c r="P151" s="427">
        <f t="shared" si="4"/>
        <v>0</v>
      </c>
    </row>
    <row r="152" spans="1:16" s="155" customFormat="1">
      <c r="A152" s="405"/>
      <c r="B152" s="406"/>
      <c r="C152" s="405"/>
      <c r="D152" s="404"/>
      <c r="E152" s="408"/>
      <c r="F152" s="405"/>
      <c r="G152" s="405"/>
      <c r="H152" s="405"/>
      <c r="I152" s="405"/>
      <c r="J152" s="426">
        <v>0</v>
      </c>
      <c r="K152" s="426">
        <v>0</v>
      </c>
      <c r="L152" s="426">
        <v>0</v>
      </c>
      <c r="M152" s="426">
        <v>0</v>
      </c>
      <c r="N152" s="426">
        <v>0</v>
      </c>
      <c r="O152" s="426">
        <v>0</v>
      </c>
      <c r="P152" s="427">
        <f t="shared" si="4"/>
        <v>0</v>
      </c>
    </row>
    <row r="153" spans="1:16" s="155" customFormat="1">
      <c r="A153" s="405"/>
      <c r="B153" s="406"/>
      <c r="C153" s="405"/>
      <c r="D153" s="407"/>
      <c r="E153" s="409"/>
      <c r="F153" s="405"/>
      <c r="G153" s="405"/>
      <c r="H153" s="405"/>
      <c r="I153" s="405"/>
      <c r="J153" s="426">
        <v>0</v>
      </c>
      <c r="K153" s="426">
        <v>0</v>
      </c>
      <c r="L153" s="426">
        <v>0</v>
      </c>
      <c r="M153" s="426">
        <v>0</v>
      </c>
      <c r="N153" s="426">
        <v>0</v>
      </c>
      <c r="O153" s="426">
        <v>0</v>
      </c>
      <c r="P153" s="427">
        <f t="shared" si="4"/>
        <v>0</v>
      </c>
    </row>
    <row r="154" spans="1:16" s="155" customFormat="1">
      <c r="A154" s="405"/>
      <c r="B154" s="406"/>
      <c r="C154" s="405"/>
      <c r="D154" s="407"/>
      <c r="E154" s="408"/>
      <c r="F154" s="405"/>
      <c r="G154" s="405"/>
      <c r="H154" s="405"/>
      <c r="I154" s="405"/>
      <c r="J154" s="426">
        <v>0</v>
      </c>
      <c r="K154" s="426">
        <v>0</v>
      </c>
      <c r="L154" s="426">
        <v>0</v>
      </c>
      <c r="M154" s="426">
        <v>0</v>
      </c>
      <c r="N154" s="426">
        <v>0</v>
      </c>
      <c r="O154" s="426">
        <v>0</v>
      </c>
      <c r="P154" s="427">
        <f t="shared" si="4"/>
        <v>0</v>
      </c>
    </row>
    <row r="155" spans="1:16" s="156" customFormat="1">
      <c r="A155" s="405"/>
      <c r="B155" s="406"/>
      <c r="C155" s="405"/>
      <c r="D155" s="407"/>
      <c r="E155" s="408"/>
      <c r="F155" s="405"/>
      <c r="G155" s="405"/>
      <c r="H155" s="405"/>
      <c r="I155" s="405"/>
      <c r="J155" s="426">
        <v>0</v>
      </c>
      <c r="K155" s="426">
        <v>0</v>
      </c>
      <c r="L155" s="426">
        <v>0</v>
      </c>
      <c r="M155" s="426">
        <v>0</v>
      </c>
      <c r="N155" s="426">
        <v>0</v>
      </c>
      <c r="O155" s="426">
        <v>0</v>
      </c>
      <c r="P155" s="427">
        <f t="shared" si="4"/>
        <v>0</v>
      </c>
    </row>
    <row r="156" spans="1:16" s="155" customFormat="1">
      <c r="A156" s="405"/>
      <c r="B156" s="406"/>
      <c r="C156" s="405"/>
      <c r="D156" s="407"/>
      <c r="E156" s="408"/>
      <c r="F156" s="405"/>
      <c r="G156" s="405"/>
      <c r="H156" s="405"/>
      <c r="I156" s="405"/>
      <c r="J156" s="426">
        <v>0</v>
      </c>
      <c r="K156" s="426">
        <v>0</v>
      </c>
      <c r="L156" s="426">
        <v>0</v>
      </c>
      <c r="M156" s="426">
        <v>0</v>
      </c>
      <c r="N156" s="426">
        <v>0</v>
      </c>
      <c r="O156" s="426">
        <v>0</v>
      </c>
      <c r="P156" s="427">
        <f t="shared" si="4"/>
        <v>0</v>
      </c>
    </row>
    <row r="157" spans="1:16" s="155" customFormat="1">
      <c r="A157" s="405"/>
      <c r="B157" s="406"/>
      <c r="C157" s="405"/>
      <c r="D157" s="407"/>
      <c r="E157" s="409"/>
      <c r="F157" s="405"/>
      <c r="G157" s="405"/>
      <c r="H157" s="405"/>
      <c r="I157" s="405"/>
      <c r="J157" s="426">
        <v>0</v>
      </c>
      <c r="K157" s="426">
        <v>0</v>
      </c>
      <c r="L157" s="426">
        <v>0</v>
      </c>
      <c r="M157" s="426">
        <v>0</v>
      </c>
      <c r="N157" s="426">
        <v>0</v>
      </c>
      <c r="O157" s="426">
        <v>0</v>
      </c>
      <c r="P157" s="427">
        <f t="shared" si="4"/>
        <v>0</v>
      </c>
    </row>
    <row r="158" spans="1:16" s="155" customFormat="1">
      <c r="A158" s="405"/>
      <c r="B158" s="406"/>
      <c r="C158" s="405"/>
      <c r="D158" s="407"/>
      <c r="E158" s="409"/>
      <c r="F158" s="405"/>
      <c r="G158" s="405"/>
      <c r="H158" s="405"/>
      <c r="I158" s="405"/>
      <c r="J158" s="426">
        <v>0</v>
      </c>
      <c r="K158" s="426">
        <v>0</v>
      </c>
      <c r="L158" s="426">
        <v>0</v>
      </c>
      <c r="M158" s="426">
        <v>0</v>
      </c>
      <c r="N158" s="426">
        <v>0</v>
      </c>
      <c r="O158" s="426">
        <v>0</v>
      </c>
      <c r="P158" s="427">
        <f t="shared" si="4"/>
        <v>0</v>
      </c>
    </row>
    <row r="159" spans="1:16" s="155" customFormat="1">
      <c r="A159" s="405"/>
      <c r="B159" s="406"/>
      <c r="C159" s="405"/>
      <c r="D159" s="407"/>
      <c r="E159" s="408"/>
      <c r="F159" s="405"/>
      <c r="G159" s="405"/>
      <c r="H159" s="405"/>
      <c r="I159" s="405"/>
      <c r="J159" s="426">
        <v>0</v>
      </c>
      <c r="K159" s="426">
        <v>0</v>
      </c>
      <c r="L159" s="426">
        <v>0</v>
      </c>
      <c r="M159" s="426">
        <v>0</v>
      </c>
      <c r="N159" s="426">
        <v>0</v>
      </c>
      <c r="O159" s="426">
        <v>0</v>
      </c>
      <c r="P159" s="427">
        <f t="shared" si="4"/>
        <v>0</v>
      </c>
    </row>
    <row r="160" spans="1:16" s="155" customFormat="1">
      <c r="A160" s="405"/>
      <c r="B160" s="406"/>
      <c r="C160" s="405"/>
      <c r="D160" s="407"/>
      <c r="E160" s="410"/>
      <c r="F160" s="405"/>
      <c r="G160" s="405"/>
      <c r="H160" s="405"/>
      <c r="I160" s="405"/>
      <c r="J160" s="426">
        <v>0</v>
      </c>
      <c r="K160" s="426">
        <v>0</v>
      </c>
      <c r="L160" s="426">
        <v>0</v>
      </c>
      <c r="M160" s="426">
        <v>0</v>
      </c>
      <c r="N160" s="426">
        <v>0</v>
      </c>
      <c r="O160" s="426">
        <v>0</v>
      </c>
      <c r="P160" s="427">
        <f t="shared" si="4"/>
        <v>0</v>
      </c>
    </row>
    <row r="161" spans="1:16" s="155" customFormat="1">
      <c r="A161" s="405"/>
      <c r="B161" s="406"/>
      <c r="C161" s="405"/>
      <c r="D161" s="407"/>
      <c r="E161" s="410"/>
      <c r="F161" s="405"/>
      <c r="G161" s="405"/>
      <c r="H161" s="405"/>
      <c r="I161" s="405"/>
      <c r="J161" s="426">
        <v>0</v>
      </c>
      <c r="K161" s="426">
        <v>0</v>
      </c>
      <c r="L161" s="426">
        <v>0</v>
      </c>
      <c r="M161" s="426">
        <v>0</v>
      </c>
      <c r="N161" s="426">
        <v>0</v>
      </c>
      <c r="O161" s="426">
        <v>0</v>
      </c>
      <c r="P161" s="427">
        <f t="shared" si="4"/>
        <v>0</v>
      </c>
    </row>
    <row r="162" spans="1:16" s="155" customFormat="1">
      <c r="A162" s="405"/>
      <c r="B162" s="406"/>
      <c r="C162" s="405"/>
      <c r="D162" s="407"/>
      <c r="E162" s="408"/>
      <c r="F162" s="405"/>
      <c r="G162" s="405"/>
      <c r="H162" s="405"/>
      <c r="I162" s="405"/>
      <c r="J162" s="426">
        <v>0</v>
      </c>
      <c r="K162" s="426">
        <v>0</v>
      </c>
      <c r="L162" s="426">
        <v>0</v>
      </c>
      <c r="M162" s="426">
        <v>0</v>
      </c>
      <c r="N162" s="426">
        <v>0</v>
      </c>
      <c r="O162" s="426">
        <v>0</v>
      </c>
      <c r="P162" s="427">
        <f t="shared" ref="P162:P192" si="5">SUM(J162:N162)-O162</f>
        <v>0</v>
      </c>
    </row>
    <row r="163" spans="1:16" s="155" customFormat="1">
      <c r="A163" s="405"/>
      <c r="B163" s="406"/>
      <c r="C163" s="405"/>
      <c r="D163" s="407"/>
      <c r="E163" s="408"/>
      <c r="F163" s="405"/>
      <c r="G163" s="405"/>
      <c r="H163" s="405"/>
      <c r="I163" s="405"/>
      <c r="J163" s="426">
        <v>0</v>
      </c>
      <c r="K163" s="426">
        <v>0</v>
      </c>
      <c r="L163" s="426">
        <v>0</v>
      </c>
      <c r="M163" s="426">
        <v>0</v>
      </c>
      <c r="N163" s="426">
        <v>0</v>
      </c>
      <c r="O163" s="426">
        <v>0</v>
      </c>
      <c r="P163" s="427">
        <f t="shared" si="5"/>
        <v>0</v>
      </c>
    </row>
    <row r="164" spans="1:16" s="155" customFormat="1">
      <c r="A164" s="405"/>
      <c r="B164" s="406"/>
      <c r="C164" s="405"/>
      <c r="D164" s="407"/>
      <c r="E164" s="408"/>
      <c r="F164" s="405"/>
      <c r="G164" s="405"/>
      <c r="H164" s="405"/>
      <c r="I164" s="405"/>
      <c r="J164" s="426">
        <v>0</v>
      </c>
      <c r="K164" s="426">
        <v>0</v>
      </c>
      <c r="L164" s="426">
        <v>0</v>
      </c>
      <c r="M164" s="426">
        <v>0</v>
      </c>
      <c r="N164" s="426">
        <v>0</v>
      </c>
      <c r="O164" s="426">
        <v>0</v>
      </c>
      <c r="P164" s="427">
        <f t="shared" si="5"/>
        <v>0</v>
      </c>
    </row>
    <row r="165" spans="1:16" s="155" customFormat="1">
      <c r="A165" s="405"/>
      <c r="B165" s="406"/>
      <c r="C165" s="405"/>
      <c r="D165" s="407"/>
      <c r="E165" s="408"/>
      <c r="F165" s="405"/>
      <c r="G165" s="405"/>
      <c r="H165" s="405"/>
      <c r="I165" s="405"/>
      <c r="J165" s="426">
        <v>0</v>
      </c>
      <c r="K165" s="426">
        <v>0</v>
      </c>
      <c r="L165" s="426">
        <v>0</v>
      </c>
      <c r="M165" s="426">
        <v>0</v>
      </c>
      <c r="N165" s="426">
        <v>0</v>
      </c>
      <c r="O165" s="426">
        <v>0</v>
      </c>
      <c r="P165" s="427">
        <f t="shared" si="5"/>
        <v>0</v>
      </c>
    </row>
    <row r="166" spans="1:16" s="155" customFormat="1">
      <c r="A166" s="405"/>
      <c r="B166" s="406"/>
      <c r="C166" s="405"/>
      <c r="D166" s="407"/>
      <c r="E166" s="408"/>
      <c r="F166" s="405"/>
      <c r="G166" s="405"/>
      <c r="H166" s="405"/>
      <c r="I166" s="405"/>
      <c r="J166" s="426">
        <v>0</v>
      </c>
      <c r="K166" s="426">
        <v>0</v>
      </c>
      <c r="L166" s="426">
        <v>0</v>
      </c>
      <c r="M166" s="426">
        <v>0</v>
      </c>
      <c r="N166" s="426">
        <v>0</v>
      </c>
      <c r="O166" s="426">
        <v>0</v>
      </c>
      <c r="P166" s="427">
        <f t="shared" si="5"/>
        <v>0</v>
      </c>
    </row>
    <row r="167" spans="1:16" s="155" customFormat="1">
      <c r="A167" s="405"/>
      <c r="B167" s="406"/>
      <c r="C167" s="405"/>
      <c r="D167" s="407"/>
      <c r="E167" s="408"/>
      <c r="F167" s="405"/>
      <c r="G167" s="405"/>
      <c r="H167" s="405"/>
      <c r="I167" s="405"/>
      <c r="J167" s="426">
        <v>0</v>
      </c>
      <c r="K167" s="426">
        <v>0</v>
      </c>
      <c r="L167" s="426">
        <v>0</v>
      </c>
      <c r="M167" s="426">
        <v>0</v>
      </c>
      <c r="N167" s="426">
        <v>0</v>
      </c>
      <c r="O167" s="426">
        <v>0</v>
      </c>
      <c r="P167" s="427">
        <f t="shared" si="5"/>
        <v>0</v>
      </c>
    </row>
    <row r="168" spans="1:16" s="155" customFormat="1">
      <c r="A168" s="405"/>
      <c r="B168" s="406"/>
      <c r="C168" s="405"/>
      <c r="D168" s="407"/>
      <c r="E168" s="408"/>
      <c r="F168" s="405"/>
      <c r="G168" s="405"/>
      <c r="H168" s="405"/>
      <c r="I168" s="405"/>
      <c r="J168" s="426">
        <v>0</v>
      </c>
      <c r="K168" s="426">
        <v>0</v>
      </c>
      <c r="L168" s="426">
        <v>0</v>
      </c>
      <c r="M168" s="426">
        <v>0</v>
      </c>
      <c r="N168" s="426">
        <v>0</v>
      </c>
      <c r="O168" s="426">
        <v>0</v>
      </c>
      <c r="P168" s="427">
        <f t="shared" si="5"/>
        <v>0</v>
      </c>
    </row>
    <row r="169" spans="1:16" s="155" customFormat="1">
      <c r="A169" s="405"/>
      <c r="B169" s="406"/>
      <c r="C169" s="405"/>
      <c r="D169" s="407"/>
      <c r="E169" s="408"/>
      <c r="F169" s="405"/>
      <c r="G169" s="405"/>
      <c r="H169" s="405"/>
      <c r="I169" s="405"/>
      <c r="J169" s="426">
        <v>0</v>
      </c>
      <c r="K169" s="426">
        <v>0</v>
      </c>
      <c r="L169" s="426">
        <v>0</v>
      </c>
      <c r="M169" s="426">
        <v>0</v>
      </c>
      <c r="N169" s="426">
        <v>0</v>
      </c>
      <c r="O169" s="426">
        <v>0</v>
      </c>
      <c r="P169" s="427">
        <f t="shared" si="5"/>
        <v>0</v>
      </c>
    </row>
    <row r="170" spans="1:16" s="155" customFormat="1">
      <c r="A170" s="405"/>
      <c r="B170" s="406"/>
      <c r="C170" s="405"/>
      <c r="D170" s="407"/>
      <c r="E170" s="408"/>
      <c r="F170" s="405"/>
      <c r="G170" s="405"/>
      <c r="H170" s="405"/>
      <c r="I170" s="405"/>
      <c r="J170" s="426">
        <v>0</v>
      </c>
      <c r="K170" s="426">
        <v>0</v>
      </c>
      <c r="L170" s="426">
        <v>0</v>
      </c>
      <c r="M170" s="426">
        <v>0</v>
      </c>
      <c r="N170" s="426">
        <v>0</v>
      </c>
      <c r="O170" s="426">
        <v>0</v>
      </c>
      <c r="P170" s="427">
        <f t="shared" si="5"/>
        <v>0</v>
      </c>
    </row>
    <row r="171" spans="1:16" s="155" customFormat="1">
      <c r="A171" s="405"/>
      <c r="B171" s="406"/>
      <c r="C171" s="405"/>
      <c r="D171" s="407"/>
      <c r="E171" s="408"/>
      <c r="F171" s="405"/>
      <c r="G171" s="405"/>
      <c r="H171" s="405"/>
      <c r="I171" s="405"/>
      <c r="J171" s="426">
        <v>0</v>
      </c>
      <c r="K171" s="426">
        <v>0</v>
      </c>
      <c r="L171" s="426">
        <v>0</v>
      </c>
      <c r="M171" s="426">
        <v>0</v>
      </c>
      <c r="N171" s="426">
        <v>0</v>
      </c>
      <c r="O171" s="426">
        <v>0</v>
      </c>
      <c r="P171" s="427">
        <f t="shared" si="5"/>
        <v>0</v>
      </c>
    </row>
    <row r="172" spans="1:16" s="155" customFormat="1">
      <c r="A172" s="405"/>
      <c r="B172" s="406"/>
      <c r="C172" s="405"/>
      <c r="D172" s="407"/>
      <c r="E172" s="410"/>
      <c r="F172" s="405"/>
      <c r="G172" s="405"/>
      <c r="H172" s="405"/>
      <c r="I172" s="405"/>
      <c r="J172" s="426">
        <v>0</v>
      </c>
      <c r="K172" s="426">
        <v>0</v>
      </c>
      <c r="L172" s="426">
        <v>0</v>
      </c>
      <c r="M172" s="426">
        <v>0</v>
      </c>
      <c r="N172" s="426">
        <v>0</v>
      </c>
      <c r="O172" s="426">
        <v>0</v>
      </c>
      <c r="P172" s="427">
        <f t="shared" si="5"/>
        <v>0</v>
      </c>
    </row>
    <row r="173" spans="1:16" s="155" customFormat="1">
      <c r="A173" s="405"/>
      <c r="B173" s="406"/>
      <c r="C173" s="405"/>
      <c r="D173" s="407"/>
      <c r="E173" s="408"/>
      <c r="F173" s="405"/>
      <c r="G173" s="405"/>
      <c r="H173" s="405"/>
      <c r="I173" s="405"/>
      <c r="J173" s="426">
        <v>0</v>
      </c>
      <c r="K173" s="426">
        <v>0</v>
      </c>
      <c r="L173" s="426">
        <v>0</v>
      </c>
      <c r="M173" s="426">
        <v>0</v>
      </c>
      <c r="N173" s="426">
        <v>0</v>
      </c>
      <c r="O173" s="426">
        <v>0</v>
      </c>
      <c r="P173" s="427">
        <f t="shared" si="5"/>
        <v>0</v>
      </c>
    </row>
    <row r="174" spans="1:16" s="155" customFormat="1">
      <c r="A174" s="405"/>
      <c r="B174" s="406"/>
      <c r="C174" s="405"/>
      <c r="D174" s="407"/>
      <c r="E174" s="408"/>
      <c r="F174" s="405"/>
      <c r="G174" s="405"/>
      <c r="H174" s="405"/>
      <c r="I174" s="405"/>
      <c r="J174" s="426">
        <v>0</v>
      </c>
      <c r="K174" s="426">
        <v>0</v>
      </c>
      <c r="L174" s="426">
        <v>0</v>
      </c>
      <c r="M174" s="426">
        <v>0</v>
      </c>
      <c r="N174" s="426">
        <v>0</v>
      </c>
      <c r="O174" s="426">
        <v>0</v>
      </c>
      <c r="P174" s="427">
        <f t="shared" si="5"/>
        <v>0</v>
      </c>
    </row>
    <row r="175" spans="1:16" s="155" customFormat="1">
      <c r="A175" s="405"/>
      <c r="B175" s="406"/>
      <c r="C175" s="405"/>
      <c r="D175" s="407"/>
      <c r="E175" s="408"/>
      <c r="F175" s="405"/>
      <c r="G175" s="405"/>
      <c r="H175" s="405"/>
      <c r="I175" s="405"/>
      <c r="J175" s="426">
        <v>0</v>
      </c>
      <c r="K175" s="426">
        <v>0</v>
      </c>
      <c r="L175" s="426">
        <v>0</v>
      </c>
      <c r="M175" s="426">
        <v>0</v>
      </c>
      <c r="N175" s="426">
        <v>0</v>
      </c>
      <c r="O175" s="426">
        <v>0</v>
      </c>
      <c r="P175" s="427">
        <f t="shared" si="5"/>
        <v>0</v>
      </c>
    </row>
    <row r="176" spans="1:16" s="155" customFormat="1">
      <c r="A176" s="405"/>
      <c r="B176" s="406"/>
      <c r="C176" s="405"/>
      <c r="D176" s="407"/>
      <c r="E176" s="408"/>
      <c r="F176" s="405"/>
      <c r="G176" s="405"/>
      <c r="H176" s="405"/>
      <c r="I176" s="405"/>
      <c r="J176" s="426">
        <v>0</v>
      </c>
      <c r="K176" s="426">
        <v>0</v>
      </c>
      <c r="L176" s="426">
        <v>0</v>
      </c>
      <c r="M176" s="426">
        <v>0</v>
      </c>
      <c r="N176" s="426">
        <v>0</v>
      </c>
      <c r="O176" s="426">
        <v>0</v>
      </c>
      <c r="P176" s="427">
        <f t="shared" si="5"/>
        <v>0</v>
      </c>
    </row>
    <row r="177" spans="1:16" s="155" customFormat="1">
      <c r="A177" s="405"/>
      <c r="B177" s="406"/>
      <c r="C177" s="405"/>
      <c r="D177" s="407"/>
      <c r="E177" s="411"/>
      <c r="F177" s="405"/>
      <c r="G177" s="405"/>
      <c r="H177" s="405"/>
      <c r="I177" s="405"/>
      <c r="J177" s="426">
        <v>0</v>
      </c>
      <c r="K177" s="426">
        <v>0</v>
      </c>
      <c r="L177" s="426">
        <v>0</v>
      </c>
      <c r="M177" s="426">
        <v>0</v>
      </c>
      <c r="N177" s="426">
        <v>0</v>
      </c>
      <c r="O177" s="426">
        <v>0</v>
      </c>
      <c r="P177" s="427">
        <f t="shared" si="5"/>
        <v>0</v>
      </c>
    </row>
    <row r="178" spans="1:16" s="155" customFormat="1">
      <c r="A178" s="405"/>
      <c r="B178" s="406"/>
      <c r="C178" s="405"/>
      <c r="D178" s="407"/>
      <c r="E178" s="409"/>
      <c r="F178" s="405"/>
      <c r="G178" s="405"/>
      <c r="H178" s="405"/>
      <c r="I178" s="405"/>
      <c r="J178" s="426">
        <v>0</v>
      </c>
      <c r="K178" s="426">
        <v>0</v>
      </c>
      <c r="L178" s="426">
        <v>0</v>
      </c>
      <c r="M178" s="426">
        <v>0</v>
      </c>
      <c r="N178" s="426">
        <v>0</v>
      </c>
      <c r="O178" s="426">
        <v>0</v>
      </c>
      <c r="P178" s="427">
        <f t="shared" si="5"/>
        <v>0</v>
      </c>
    </row>
    <row r="179" spans="1:16" s="155" customFormat="1">
      <c r="A179" s="405"/>
      <c r="B179" s="406"/>
      <c r="C179" s="405"/>
      <c r="D179" s="407"/>
      <c r="E179" s="408"/>
      <c r="F179" s="405"/>
      <c r="G179" s="405"/>
      <c r="H179" s="405"/>
      <c r="I179" s="405"/>
      <c r="J179" s="426">
        <v>0</v>
      </c>
      <c r="K179" s="426">
        <v>0</v>
      </c>
      <c r="L179" s="426">
        <v>0</v>
      </c>
      <c r="M179" s="426">
        <v>0</v>
      </c>
      <c r="N179" s="426">
        <v>0</v>
      </c>
      <c r="O179" s="426">
        <v>0</v>
      </c>
      <c r="P179" s="427">
        <f t="shared" si="5"/>
        <v>0</v>
      </c>
    </row>
    <row r="180" spans="1:16" s="155" customFormat="1">
      <c r="A180" s="405"/>
      <c r="B180" s="406"/>
      <c r="C180" s="405"/>
      <c r="D180" s="407"/>
      <c r="E180" s="410"/>
      <c r="F180" s="405"/>
      <c r="G180" s="405"/>
      <c r="H180" s="405"/>
      <c r="I180" s="405"/>
      <c r="J180" s="426">
        <v>0</v>
      </c>
      <c r="K180" s="426">
        <v>0</v>
      </c>
      <c r="L180" s="426">
        <v>0</v>
      </c>
      <c r="M180" s="426">
        <v>0</v>
      </c>
      <c r="N180" s="426">
        <v>0</v>
      </c>
      <c r="O180" s="426">
        <v>0</v>
      </c>
      <c r="P180" s="427">
        <f t="shared" si="5"/>
        <v>0</v>
      </c>
    </row>
    <row r="181" spans="1:16" s="155" customFormat="1">
      <c r="A181" s="405"/>
      <c r="B181" s="406"/>
      <c r="C181" s="405"/>
      <c r="D181" s="407"/>
      <c r="E181" s="408"/>
      <c r="F181" s="405"/>
      <c r="G181" s="405"/>
      <c r="H181" s="405"/>
      <c r="I181" s="405"/>
      <c r="J181" s="426">
        <v>0</v>
      </c>
      <c r="K181" s="426">
        <v>0</v>
      </c>
      <c r="L181" s="426">
        <v>0</v>
      </c>
      <c r="M181" s="426">
        <v>0</v>
      </c>
      <c r="N181" s="426">
        <v>0</v>
      </c>
      <c r="O181" s="426">
        <v>0</v>
      </c>
      <c r="P181" s="427">
        <f t="shared" si="5"/>
        <v>0</v>
      </c>
    </row>
    <row r="182" spans="1:16" s="155" customFormat="1">
      <c r="A182" s="405"/>
      <c r="B182" s="406"/>
      <c r="C182" s="405"/>
      <c r="D182" s="407"/>
      <c r="E182" s="408"/>
      <c r="F182" s="405"/>
      <c r="G182" s="405"/>
      <c r="H182" s="405"/>
      <c r="I182" s="405"/>
      <c r="J182" s="426">
        <v>0</v>
      </c>
      <c r="K182" s="426">
        <v>0</v>
      </c>
      <c r="L182" s="426">
        <v>0</v>
      </c>
      <c r="M182" s="426">
        <v>0</v>
      </c>
      <c r="N182" s="426">
        <v>0</v>
      </c>
      <c r="O182" s="426">
        <v>0</v>
      </c>
      <c r="P182" s="427">
        <f t="shared" si="5"/>
        <v>0</v>
      </c>
    </row>
    <row r="183" spans="1:16" s="155" customFormat="1">
      <c r="A183" s="405"/>
      <c r="B183" s="406"/>
      <c r="C183" s="405"/>
      <c r="D183" s="407"/>
      <c r="E183" s="408"/>
      <c r="F183" s="405"/>
      <c r="G183" s="405"/>
      <c r="H183" s="405"/>
      <c r="I183" s="405"/>
      <c r="J183" s="426">
        <v>0</v>
      </c>
      <c r="K183" s="426">
        <v>0</v>
      </c>
      <c r="L183" s="426">
        <v>0</v>
      </c>
      <c r="M183" s="426">
        <v>0</v>
      </c>
      <c r="N183" s="426">
        <v>0</v>
      </c>
      <c r="O183" s="426">
        <v>0</v>
      </c>
      <c r="P183" s="427">
        <f t="shared" si="5"/>
        <v>0</v>
      </c>
    </row>
    <row r="184" spans="1:16" s="155" customFormat="1">
      <c r="A184" s="405"/>
      <c r="B184" s="406"/>
      <c r="C184" s="405"/>
      <c r="D184" s="407"/>
      <c r="E184" s="408"/>
      <c r="F184" s="405"/>
      <c r="G184" s="405"/>
      <c r="H184" s="405"/>
      <c r="I184" s="405"/>
      <c r="J184" s="426">
        <v>0</v>
      </c>
      <c r="K184" s="426">
        <v>0</v>
      </c>
      <c r="L184" s="426">
        <v>0</v>
      </c>
      <c r="M184" s="426">
        <v>0</v>
      </c>
      <c r="N184" s="426">
        <v>0</v>
      </c>
      <c r="O184" s="426">
        <v>0</v>
      </c>
      <c r="P184" s="427">
        <f t="shared" si="5"/>
        <v>0</v>
      </c>
    </row>
    <row r="185" spans="1:16" s="155" customFormat="1">
      <c r="A185" s="405"/>
      <c r="B185" s="406"/>
      <c r="C185" s="405"/>
      <c r="D185" s="407"/>
      <c r="E185" s="408"/>
      <c r="F185" s="405"/>
      <c r="G185" s="405"/>
      <c r="H185" s="405"/>
      <c r="I185" s="405"/>
      <c r="J185" s="426">
        <v>0</v>
      </c>
      <c r="K185" s="426">
        <v>0</v>
      </c>
      <c r="L185" s="426">
        <v>0</v>
      </c>
      <c r="M185" s="426">
        <v>0</v>
      </c>
      <c r="N185" s="426">
        <v>0</v>
      </c>
      <c r="O185" s="426">
        <v>0</v>
      </c>
      <c r="P185" s="427">
        <f t="shared" si="5"/>
        <v>0</v>
      </c>
    </row>
    <row r="186" spans="1:16" s="155" customFormat="1">
      <c r="A186" s="405"/>
      <c r="B186" s="406"/>
      <c r="C186" s="405"/>
      <c r="D186" s="407"/>
      <c r="E186" s="409"/>
      <c r="F186" s="405"/>
      <c r="G186" s="405"/>
      <c r="H186" s="405"/>
      <c r="I186" s="405"/>
      <c r="J186" s="426">
        <v>0</v>
      </c>
      <c r="K186" s="426">
        <v>0</v>
      </c>
      <c r="L186" s="426">
        <v>0</v>
      </c>
      <c r="M186" s="426">
        <v>0</v>
      </c>
      <c r="N186" s="426">
        <v>0</v>
      </c>
      <c r="O186" s="426">
        <v>0</v>
      </c>
      <c r="P186" s="427">
        <f t="shared" si="5"/>
        <v>0</v>
      </c>
    </row>
    <row r="187" spans="1:16" s="155" customFormat="1">
      <c r="A187" s="405"/>
      <c r="B187" s="406"/>
      <c r="C187" s="405"/>
      <c r="D187" s="407"/>
      <c r="E187" s="408"/>
      <c r="F187" s="405"/>
      <c r="G187" s="405"/>
      <c r="H187" s="405"/>
      <c r="I187" s="405"/>
      <c r="J187" s="426">
        <v>0</v>
      </c>
      <c r="K187" s="426">
        <v>0</v>
      </c>
      <c r="L187" s="426">
        <v>0</v>
      </c>
      <c r="M187" s="426">
        <v>0</v>
      </c>
      <c r="N187" s="426">
        <v>0</v>
      </c>
      <c r="O187" s="426">
        <v>0</v>
      </c>
      <c r="P187" s="427">
        <f t="shared" si="5"/>
        <v>0</v>
      </c>
    </row>
    <row r="188" spans="1:16" s="155" customFormat="1">
      <c r="A188" s="405"/>
      <c r="B188" s="406"/>
      <c r="C188" s="405"/>
      <c r="D188" s="407"/>
      <c r="E188" s="408"/>
      <c r="F188" s="405"/>
      <c r="G188" s="405"/>
      <c r="H188" s="405"/>
      <c r="I188" s="405"/>
      <c r="J188" s="426">
        <v>0</v>
      </c>
      <c r="K188" s="426">
        <v>0</v>
      </c>
      <c r="L188" s="426">
        <v>0</v>
      </c>
      <c r="M188" s="426">
        <v>0</v>
      </c>
      <c r="N188" s="426">
        <v>0</v>
      </c>
      <c r="O188" s="426">
        <v>0</v>
      </c>
      <c r="P188" s="427">
        <f t="shared" si="5"/>
        <v>0</v>
      </c>
    </row>
    <row r="189" spans="1:16" s="155" customFormat="1">
      <c r="A189" s="405"/>
      <c r="B189" s="406"/>
      <c r="C189" s="405"/>
      <c r="D189" s="407"/>
      <c r="E189" s="408"/>
      <c r="F189" s="405"/>
      <c r="G189" s="405"/>
      <c r="H189" s="405"/>
      <c r="I189" s="405"/>
      <c r="J189" s="426">
        <v>0</v>
      </c>
      <c r="K189" s="426">
        <v>0</v>
      </c>
      <c r="L189" s="426">
        <v>0</v>
      </c>
      <c r="M189" s="426">
        <v>0</v>
      </c>
      <c r="N189" s="426">
        <v>0</v>
      </c>
      <c r="O189" s="426">
        <v>0</v>
      </c>
      <c r="P189" s="427">
        <f t="shared" si="5"/>
        <v>0</v>
      </c>
    </row>
    <row r="190" spans="1:16" s="155" customFormat="1">
      <c r="A190" s="405"/>
      <c r="B190" s="406"/>
      <c r="C190" s="405"/>
      <c r="D190" s="407"/>
      <c r="E190" s="408"/>
      <c r="F190" s="405"/>
      <c r="G190" s="405"/>
      <c r="H190" s="405"/>
      <c r="I190" s="405"/>
      <c r="J190" s="426">
        <v>0</v>
      </c>
      <c r="K190" s="426">
        <v>0</v>
      </c>
      <c r="L190" s="426">
        <v>0</v>
      </c>
      <c r="M190" s="426">
        <v>0</v>
      </c>
      <c r="N190" s="426">
        <v>0</v>
      </c>
      <c r="O190" s="426">
        <v>0</v>
      </c>
      <c r="P190" s="427">
        <f t="shared" si="5"/>
        <v>0</v>
      </c>
    </row>
    <row r="191" spans="1:16" s="155" customFormat="1">
      <c r="A191" s="405"/>
      <c r="B191" s="406"/>
      <c r="C191" s="405"/>
      <c r="D191" s="407"/>
      <c r="E191" s="408"/>
      <c r="F191" s="405"/>
      <c r="G191" s="405"/>
      <c r="H191" s="405"/>
      <c r="I191" s="405"/>
      <c r="J191" s="426">
        <v>0</v>
      </c>
      <c r="K191" s="426">
        <v>0</v>
      </c>
      <c r="L191" s="426">
        <v>0</v>
      </c>
      <c r="M191" s="426">
        <v>0</v>
      </c>
      <c r="N191" s="426">
        <v>0</v>
      </c>
      <c r="O191" s="426">
        <v>0</v>
      </c>
      <c r="P191" s="427">
        <f t="shared" si="5"/>
        <v>0</v>
      </c>
    </row>
    <row r="192" spans="1:16" s="155" customFormat="1">
      <c r="A192" s="405"/>
      <c r="B192" s="406"/>
      <c r="C192" s="405"/>
      <c r="D192" s="407"/>
      <c r="E192" s="408"/>
      <c r="F192" s="405"/>
      <c r="G192" s="405"/>
      <c r="H192" s="405"/>
      <c r="I192" s="405"/>
      <c r="J192" s="426">
        <v>0</v>
      </c>
      <c r="K192" s="426">
        <v>0</v>
      </c>
      <c r="L192" s="426">
        <v>0</v>
      </c>
      <c r="M192" s="426">
        <v>0</v>
      </c>
      <c r="N192" s="426">
        <v>0</v>
      </c>
      <c r="O192" s="426">
        <v>0</v>
      </c>
      <c r="P192" s="427">
        <f t="shared" si="5"/>
        <v>0</v>
      </c>
    </row>
    <row r="193" spans="1:16">
      <c r="C193" s="428"/>
    </row>
    <row r="194" spans="1:16">
      <c r="C194" s="428"/>
    </row>
    <row r="195" spans="1:16">
      <c r="C195" s="428"/>
    </row>
    <row r="196" spans="1:16" ht="15">
      <c r="A196" s="161"/>
      <c r="B196" s="161"/>
      <c r="C196" s="161"/>
      <c r="D196" s="161"/>
      <c r="E196" s="161"/>
      <c r="F196" s="161"/>
      <c r="G196" s="161"/>
      <c r="H196" s="161"/>
      <c r="I196" s="161"/>
      <c r="J196" s="161"/>
      <c r="K196" s="161"/>
      <c r="L196" s="161"/>
      <c r="M196" s="161"/>
      <c r="N196" s="161"/>
      <c r="O196" s="161"/>
      <c r="P196" s="161"/>
    </row>
    <row r="208" spans="1:16" ht="15">
      <c r="A208" s="161"/>
      <c r="B208" s="161"/>
      <c r="C208" s="161"/>
      <c r="D208" s="161"/>
      <c r="E208" s="161"/>
      <c r="F208" s="161"/>
      <c r="G208" s="161"/>
      <c r="H208" s="161"/>
      <c r="I208" s="161"/>
      <c r="J208" s="161"/>
      <c r="K208" s="161"/>
      <c r="L208" s="161"/>
      <c r="M208" s="161"/>
      <c r="N208" s="161"/>
      <c r="O208" s="161"/>
      <c r="P208" s="161"/>
    </row>
    <row r="209" spans="1:16" ht="15">
      <c r="A209" s="161"/>
      <c r="B209" s="161"/>
      <c r="C209" s="161"/>
      <c r="D209" s="161"/>
      <c r="E209" s="161"/>
      <c r="F209" s="161"/>
      <c r="G209" s="161"/>
      <c r="H209" s="161"/>
      <c r="I209" s="161"/>
      <c r="J209" s="161"/>
      <c r="K209" s="161"/>
      <c r="L209" s="161"/>
      <c r="M209" s="161"/>
      <c r="N209" s="161"/>
      <c r="O209" s="161"/>
      <c r="P209" s="161"/>
    </row>
    <row r="210" spans="1:16" ht="15">
      <c r="A210" s="161"/>
      <c r="B210" s="161"/>
      <c r="C210" s="161"/>
      <c r="D210" s="161"/>
      <c r="E210" s="161"/>
      <c r="F210" s="161"/>
      <c r="G210" s="161"/>
      <c r="H210" s="161"/>
      <c r="I210" s="161"/>
      <c r="J210" s="161"/>
      <c r="K210" s="161"/>
      <c r="L210" s="161"/>
      <c r="M210" s="161"/>
      <c r="N210" s="161"/>
      <c r="O210" s="161"/>
      <c r="P210" s="161"/>
    </row>
    <row r="211" spans="1:16" ht="15">
      <c r="A211" s="161"/>
      <c r="B211" s="161"/>
      <c r="C211" s="161"/>
      <c r="D211" s="161"/>
      <c r="E211" s="161"/>
      <c r="F211" s="161"/>
      <c r="G211" s="161"/>
      <c r="H211" s="161"/>
      <c r="I211" s="161"/>
      <c r="J211" s="161"/>
      <c r="K211" s="161"/>
      <c r="L211" s="161"/>
      <c r="M211" s="161"/>
      <c r="N211" s="161"/>
      <c r="O211" s="161"/>
      <c r="P211" s="161"/>
    </row>
    <row r="212" spans="1:16" ht="15">
      <c r="A212" s="161"/>
      <c r="B212" s="161"/>
      <c r="C212" s="161"/>
      <c r="D212" s="161"/>
      <c r="E212" s="161"/>
      <c r="F212" s="161"/>
      <c r="G212" s="161"/>
      <c r="H212" s="161"/>
      <c r="I212" s="161"/>
      <c r="J212" s="161"/>
      <c r="K212" s="161"/>
      <c r="L212" s="161"/>
      <c r="M212" s="161"/>
      <c r="N212" s="161"/>
      <c r="O212" s="161"/>
      <c r="P212" s="161"/>
    </row>
    <row r="213" spans="1:16" ht="15">
      <c r="A213" s="161"/>
      <c r="B213" s="161"/>
      <c r="C213" s="161"/>
      <c r="D213" s="161"/>
      <c r="E213" s="161"/>
      <c r="F213" s="161"/>
      <c r="G213" s="161"/>
      <c r="H213" s="161"/>
      <c r="I213" s="161"/>
      <c r="J213" s="161"/>
      <c r="K213" s="161"/>
      <c r="L213" s="161"/>
      <c r="M213" s="161"/>
      <c r="N213" s="161"/>
      <c r="O213" s="161"/>
      <c r="P213" s="161"/>
    </row>
  </sheetData>
  <protectedRanges>
    <protectedRange sqref="D5" name="Intervalo1_2_1_2_1"/>
    <protectedRange sqref="E58" name="Intervalo1_2_1_4_1"/>
    <protectedRange sqref="I5" name="Intervalo1_2_1_1_1_1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0" orientation="landscape" horizontalDpi="4294967294" verticalDpi="4294967294" r:id="rId1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E214"/>
  <sheetViews>
    <sheetView view="pageBreakPreview" topLeftCell="A24" zoomScale="60" zoomScaleNormal="68" workbookViewId="0">
      <selection activeCell="E3" sqref="E3:E135"/>
    </sheetView>
  </sheetViews>
  <sheetFormatPr defaultColWidth="9" defaultRowHeight="15.75"/>
  <cols>
    <col min="1" max="1" width="27" style="157" customWidth="1"/>
    <col min="2" max="2" width="63.42578125" style="157" customWidth="1"/>
    <col min="3" max="3" width="23" style="158" customWidth="1"/>
    <col min="4" max="4" width="54" style="158" customWidth="1"/>
    <col min="5" max="5" width="16.5703125" style="429" customWidth="1"/>
    <col min="6" max="6" width="16.28515625" style="429" customWidth="1"/>
    <col min="7" max="7" width="18.42578125" style="429" customWidth="1"/>
    <col min="8" max="8" width="12.5703125" style="429" customWidth="1"/>
    <col min="9" max="9" width="12.5703125" style="430" customWidth="1"/>
    <col min="10" max="10" width="10" style="430" customWidth="1"/>
    <col min="11" max="11" width="18.42578125" style="429" customWidth="1"/>
    <col min="12" max="12" width="22" style="430" customWidth="1"/>
    <col min="13" max="16" width="22" style="429" customWidth="1"/>
    <col min="17" max="17" width="22" style="430" customWidth="1"/>
    <col min="18" max="18" width="22" style="413" customWidth="1"/>
    <col min="19" max="19" width="22" style="159" customWidth="1"/>
    <col min="20" max="20" width="22" style="413" customWidth="1"/>
    <col min="21" max="22" width="22" style="159" customWidth="1"/>
    <col min="23" max="23" width="35" style="413" customWidth="1"/>
    <col min="24" max="26" width="22" style="159" customWidth="1"/>
    <col min="27" max="27" width="17.42578125" style="159" customWidth="1"/>
    <col min="28" max="28" width="20.42578125" style="160" customWidth="1"/>
    <col min="29" max="238" width="9.140625" style="161" customWidth="1"/>
    <col min="239" max="239" width="9" style="161"/>
    <col min="240" max="240" width="6.5703125" style="161" customWidth="1"/>
    <col min="241" max="241" width="79.5703125" style="161" customWidth="1"/>
    <col min="242" max="242" width="23.5703125" style="161" customWidth="1"/>
    <col min="243" max="243" width="27.85546875" style="161" customWidth="1"/>
    <col min="244" max="244" width="22.28515625" style="161" customWidth="1"/>
    <col min="245" max="245" width="23.5703125" style="161" customWidth="1"/>
    <col min="246" max="246" width="39" style="161" customWidth="1"/>
    <col min="247" max="247" width="36.42578125" style="161" customWidth="1"/>
    <col min="248" max="248" width="8" style="161" customWidth="1"/>
    <col min="249" max="249" width="15.5703125" style="161" customWidth="1"/>
    <col min="250" max="250" width="17.28515625" style="161" customWidth="1"/>
    <col min="251" max="251" width="18.85546875" style="161" customWidth="1"/>
    <col min="252" max="252" width="81" style="161" customWidth="1"/>
    <col min="253" max="253" width="14.85546875" style="161" customWidth="1"/>
    <col min="254" max="254" width="15.7109375" style="161" customWidth="1"/>
    <col min="255" max="255" width="17.5703125" style="161" customWidth="1"/>
    <col min="256" max="256" width="18.42578125" style="161" customWidth="1"/>
    <col min="257" max="257" width="16.5703125" style="161" customWidth="1"/>
    <col min="258" max="258" width="17.7109375" style="161" customWidth="1"/>
    <col min="259" max="259" width="17.85546875" style="161" customWidth="1"/>
    <col min="260" max="260" width="18.42578125" style="161" customWidth="1"/>
    <col min="261" max="261" width="15.42578125" style="161" customWidth="1"/>
    <col min="262" max="262" width="14.5703125" style="161" customWidth="1"/>
    <col min="263" max="263" width="15" style="161" customWidth="1"/>
    <col min="264" max="264" width="6.7109375" style="161" customWidth="1"/>
    <col min="265" max="265" width="14.28515625" style="161" customWidth="1"/>
    <col min="266" max="266" width="17.5703125" style="161" customWidth="1"/>
    <col min="267" max="267" width="27.7109375" style="161" customWidth="1"/>
    <col min="268" max="270" width="9.140625" style="161" customWidth="1"/>
    <col min="271" max="271" width="14.85546875" style="161" customWidth="1"/>
    <col min="272" max="272" width="13.85546875" style="161" customWidth="1"/>
    <col min="273" max="494" width="9.140625" style="161" customWidth="1"/>
    <col min="495" max="495" width="9" style="161"/>
    <col min="496" max="496" width="6.5703125" style="161" customWidth="1"/>
    <col min="497" max="497" width="79.5703125" style="161" customWidth="1"/>
    <col min="498" max="498" width="23.5703125" style="161" customWidth="1"/>
    <col min="499" max="499" width="27.85546875" style="161" customWidth="1"/>
    <col min="500" max="500" width="22.28515625" style="161" customWidth="1"/>
    <col min="501" max="501" width="23.5703125" style="161" customWidth="1"/>
    <col min="502" max="502" width="39" style="161" customWidth="1"/>
    <col min="503" max="503" width="36.42578125" style="161" customWidth="1"/>
    <col min="504" max="504" width="8" style="161" customWidth="1"/>
    <col min="505" max="505" width="15.5703125" style="161" customWidth="1"/>
    <col min="506" max="506" width="17.28515625" style="161" customWidth="1"/>
    <col min="507" max="507" width="18.85546875" style="161" customWidth="1"/>
    <col min="508" max="508" width="81" style="161" customWidth="1"/>
    <col min="509" max="509" width="14.85546875" style="161" customWidth="1"/>
    <col min="510" max="510" width="15.7109375" style="161" customWidth="1"/>
    <col min="511" max="511" width="17.5703125" style="161" customWidth="1"/>
    <col min="512" max="512" width="18.42578125" style="161" customWidth="1"/>
    <col min="513" max="513" width="16.5703125" style="161" customWidth="1"/>
    <col min="514" max="514" width="17.7109375" style="161" customWidth="1"/>
    <col min="515" max="515" width="17.85546875" style="161" customWidth="1"/>
    <col min="516" max="516" width="18.42578125" style="161" customWidth="1"/>
    <col min="517" max="517" width="15.42578125" style="161" customWidth="1"/>
    <col min="518" max="518" width="14.5703125" style="161" customWidth="1"/>
    <col min="519" max="519" width="15" style="161" customWidth="1"/>
    <col min="520" max="520" width="6.7109375" style="161" customWidth="1"/>
    <col min="521" max="521" width="14.28515625" style="161" customWidth="1"/>
    <col min="522" max="522" width="17.5703125" style="161" customWidth="1"/>
    <col min="523" max="523" width="27.7109375" style="161" customWidth="1"/>
    <col min="524" max="526" width="9.140625" style="161" customWidth="1"/>
    <col min="527" max="527" width="14.85546875" style="161" customWidth="1"/>
    <col min="528" max="528" width="13.85546875" style="161" customWidth="1"/>
    <col min="529" max="750" width="9.140625" style="161" customWidth="1"/>
    <col min="751" max="751" width="9" style="161"/>
    <col min="752" max="752" width="6.5703125" style="161" customWidth="1"/>
    <col min="753" max="753" width="79.5703125" style="161" customWidth="1"/>
    <col min="754" max="754" width="23.5703125" style="161" customWidth="1"/>
    <col min="755" max="755" width="27.85546875" style="161" customWidth="1"/>
    <col min="756" max="756" width="22.28515625" style="161" customWidth="1"/>
    <col min="757" max="757" width="23.5703125" style="161" customWidth="1"/>
    <col min="758" max="758" width="39" style="161" customWidth="1"/>
    <col min="759" max="759" width="36.42578125" style="161" customWidth="1"/>
    <col min="760" max="760" width="8" style="161" customWidth="1"/>
    <col min="761" max="761" width="15.5703125" style="161" customWidth="1"/>
    <col min="762" max="762" width="17.28515625" style="161" customWidth="1"/>
    <col min="763" max="763" width="18.85546875" style="161" customWidth="1"/>
    <col min="764" max="764" width="81" style="161" customWidth="1"/>
    <col min="765" max="765" width="14.85546875" style="161" customWidth="1"/>
    <col min="766" max="766" width="15.7109375" style="161" customWidth="1"/>
    <col min="767" max="767" width="17.5703125" style="161" customWidth="1"/>
    <col min="768" max="768" width="18.42578125" style="161" customWidth="1"/>
    <col min="769" max="769" width="16.5703125" style="161" customWidth="1"/>
    <col min="770" max="770" width="17.7109375" style="161" customWidth="1"/>
    <col min="771" max="771" width="17.85546875" style="161" customWidth="1"/>
    <col min="772" max="772" width="18.42578125" style="161" customWidth="1"/>
    <col min="773" max="773" width="15.42578125" style="161" customWidth="1"/>
    <col min="774" max="774" width="14.5703125" style="161" customWidth="1"/>
    <col min="775" max="775" width="15" style="161" customWidth="1"/>
    <col min="776" max="776" width="6.7109375" style="161" customWidth="1"/>
    <col min="777" max="777" width="14.28515625" style="161" customWidth="1"/>
    <col min="778" max="778" width="17.5703125" style="161" customWidth="1"/>
    <col min="779" max="779" width="27.7109375" style="161" customWidth="1"/>
    <col min="780" max="782" width="9.140625" style="161" customWidth="1"/>
    <col min="783" max="783" width="14.85546875" style="161" customWidth="1"/>
    <col min="784" max="784" width="13.85546875" style="161" customWidth="1"/>
    <col min="785" max="1006" width="9.140625" style="161" customWidth="1"/>
    <col min="1007" max="1007" width="9" style="161"/>
    <col min="1008" max="1008" width="6.5703125" style="161" customWidth="1"/>
    <col min="1009" max="1009" width="79.5703125" style="161" customWidth="1"/>
    <col min="1010" max="1010" width="23.5703125" style="161" customWidth="1"/>
    <col min="1011" max="1011" width="27.85546875" style="161" customWidth="1"/>
    <col min="1012" max="1012" width="22.28515625" style="161" customWidth="1"/>
    <col min="1013" max="1013" width="23.5703125" style="161" customWidth="1"/>
    <col min="1014" max="1014" width="39" style="161" customWidth="1"/>
    <col min="1015" max="1015" width="36.42578125" style="161" customWidth="1"/>
    <col min="1016" max="1016" width="8" style="161" customWidth="1"/>
    <col min="1017" max="1017" width="15.5703125" style="161" customWidth="1"/>
    <col min="1018" max="1018" width="17.28515625" style="161" customWidth="1"/>
    <col min="1019" max="1019" width="18.85546875" style="161" customWidth="1"/>
    <col min="1020" max="1020" width="81" style="161" customWidth="1"/>
    <col min="1021" max="1021" width="14.85546875" style="161" customWidth="1"/>
    <col min="1022" max="1022" width="15.7109375" style="161" customWidth="1"/>
    <col min="1023" max="1023" width="17.5703125" style="161" customWidth="1"/>
    <col min="1024" max="1024" width="18.42578125" style="161" customWidth="1"/>
    <col min="1025" max="1025" width="16.5703125" style="161" customWidth="1"/>
    <col min="1026" max="1026" width="17.7109375" style="161" customWidth="1"/>
    <col min="1027" max="1027" width="17.85546875" style="161" customWidth="1"/>
    <col min="1028" max="1028" width="18.42578125" style="161" customWidth="1"/>
    <col min="1029" max="1029" width="15.42578125" style="161" customWidth="1"/>
    <col min="1030" max="1030" width="14.5703125" style="161" customWidth="1"/>
    <col min="1031" max="1031" width="15" style="161" customWidth="1"/>
    <col min="1032" max="1032" width="6.7109375" style="161" customWidth="1"/>
    <col min="1033" max="1033" width="14.28515625" style="161" customWidth="1"/>
    <col min="1034" max="1034" width="17.5703125" style="161" customWidth="1"/>
    <col min="1035" max="1035" width="27.7109375" style="161" customWidth="1"/>
    <col min="1036" max="1038" width="9.140625" style="161" customWidth="1"/>
    <col min="1039" max="1039" width="14.85546875" style="161" customWidth="1"/>
    <col min="1040" max="1040" width="13.85546875" style="161" customWidth="1"/>
    <col min="1041" max="1262" width="9.140625" style="161" customWidth="1"/>
    <col min="1263" max="1263" width="9" style="161"/>
    <col min="1264" max="1264" width="6.5703125" style="161" customWidth="1"/>
    <col min="1265" max="1265" width="79.5703125" style="161" customWidth="1"/>
    <col min="1266" max="1266" width="23.5703125" style="161" customWidth="1"/>
    <col min="1267" max="1267" width="27.85546875" style="161" customWidth="1"/>
    <col min="1268" max="1268" width="22.28515625" style="161" customWidth="1"/>
    <col min="1269" max="1269" width="23.5703125" style="161" customWidth="1"/>
    <col min="1270" max="1270" width="39" style="161" customWidth="1"/>
    <col min="1271" max="1271" width="36.42578125" style="161" customWidth="1"/>
    <col min="1272" max="1272" width="8" style="161" customWidth="1"/>
    <col min="1273" max="1273" width="15.5703125" style="161" customWidth="1"/>
    <col min="1274" max="1274" width="17.28515625" style="161" customWidth="1"/>
    <col min="1275" max="1275" width="18.85546875" style="161" customWidth="1"/>
    <col min="1276" max="1276" width="81" style="161" customWidth="1"/>
    <col min="1277" max="1277" width="14.85546875" style="161" customWidth="1"/>
    <col min="1278" max="1278" width="15.7109375" style="161" customWidth="1"/>
    <col min="1279" max="1279" width="17.5703125" style="161" customWidth="1"/>
    <col min="1280" max="1280" width="18.42578125" style="161" customWidth="1"/>
    <col min="1281" max="1281" width="16.5703125" style="161" customWidth="1"/>
    <col min="1282" max="1282" width="17.7109375" style="161" customWidth="1"/>
    <col min="1283" max="1283" width="17.85546875" style="161" customWidth="1"/>
    <col min="1284" max="1284" width="18.42578125" style="161" customWidth="1"/>
    <col min="1285" max="1285" width="15.42578125" style="161" customWidth="1"/>
    <col min="1286" max="1286" width="14.5703125" style="161" customWidth="1"/>
    <col min="1287" max="1287" width="15" style="161" customWidth="1"/>
    <col min="1288" max="1288" width="6.7109375" style="161" customWidth="1"/>
    <col min="1289" max="1289" width="14.28515625" style="161" customWidth="1"/>
    <col min="1290" max="1290" width="17.5703125" style="161" customWidth="1"/>
    <col min="1291" max="1291" width="27.7109375" style="161" customWidth="1"/>
    <col min="1292" max="1294" width="9.140625" style="161" customWidth="1"/>
    <col min="1295" max="1295" width="14.85546875" style="161" customWidth="1"/>
    <col min="1296" max="1296" width="13.85546875" style="161" customWidth="1"/>
    <col min="1297" max="1518" width="9.140625" style="161" customWidth="1"/>
    <col min="1519" max="1519" width="9" style="161"/>
    <col min="1520" max="1520" width="6.5703125" style="161" customWidth="1"/>
    <col min="1521" max="1521" width="79.5703125" style="161" customWidth="1"/>
    <col min="1522" max="1522" width="23.5703125" style="161" customWidth="1"/>
    <col min="1523" max="1523" width="27.85546875" style="161" customWidth="1"/>
    <col min="1524" max="1524" width="22.28515625" style="161" customWidth="1"/>
    <col min="1525" max="1525" width="23.5703125" style="161" customWidth="1"/>
    <col min="1526" max="1526" width="39" style="161" customWidth="1"/>
    <col min="1527" max="1527" width="36.42578125" style="161" customWidth="1"/>
    <col min="1528" max="1528" width="8" style="161" customWidth="1"/>
    <col min="1529" max="1529" width="15.5703125" style="161" customWidth="1"/>
    <col min="1530" max="1530" width="17.28515625" style="161" customWidth="1"/>
    <col min="1531" max="1531" width="18.85546875" style="161" customWidth="1"/>
    <col min="1532" max="1532" width="81" style="161" customWidth="1"/>
    <col min="1533" max="1533" width="14.85546875" style="161" customWidth="1"/>
    <col min="1534" max="1534" width="15.7109375" style="161" customWidth="1"/>
    <col min="1535" max="1535" width="17.5703125" style="161" customWidth="1"/>
    <col min="1536" max="1536" width="18.42578125" style="161" customWidth="1"/>
    <col min="1537" max="1537" width="16.5703125" style="161" customWidth="1"/>
    <col min="1538" max="1538" width="17.7109375" style="161" customWidth="1"/>
    <col min="1539" max="1539" width="17.85546875" style="161" customWidth="1"/>
    <col min="1540" max="1540" width="18.42578125" style="161" customWidth="1"/>
    <col min="1541" max="1541" width="15.42578125" style="161" customWidth="1"/>
    <col min="1542" max="1542" width="14.5703125" style="161" customWidth="1"/>
    <col min="1543" max="1543" width="15" style="161" customWidth="1"/>
    <col min="1544" max="1544" width="6.7109375" style="161" customWidth="1"/>
    <col min="1545" max="1545" width="14.28515625" style="161" customWidth="1"/>
    <col min="1546" max="1546" width="17.5703125" style="161" customWidth="1"/>
    <col min="1547" max="1547" width="27.7109375" style="161" customWidth="1"/>
    <col min="1548" max="1550" width="9.140625" style="161" customWidth="1"/>
    <col min="1551" max="1551" width="14.85546875" style="161" customWidth="1"/>
    <col min="1552" max="1552" width="13.85546875" style="161" customWidth="1"/>
    <col min="1553" max="1774" width="9.140625" style="161" customWidth="1"/>
    <col min="1775" max="1775" width="9" style="161"/>
    <col min="1776" max="1776" width="6.5703125" style="161" customWidth="1"/>
    <col min="1777" max="1777" width="79.5703125" style="161" customWidth="1"/>
    <col min="1778" max="1778" width="23.5703125" style="161" customWidth="1"/>
    <col min="1779" max="1779" width="27.85546875" style="161" customWidth="1"/>
    <col min="1780" max="1780" width="22.28515625" style="161" customWidth="1"/>
    <col min="1781" max="1781" width="23.5703125" style="161" customWidth="1"/>
    <col min="1782" max="1782" width="39" style="161" customWidth="1"/>
    <col min="1783" max="1783" width="36.42578125" style="161" customWidth="1"/>
    <col min="1784" max="1784" width="8" style="161" customWidth="1"/>
    <col min="1785" max="1785" width="15.5703125" style="161" customWidth="1"/>
    <col min="1786" max="1786" width="17.28515625" style="161" customWidth="1"/>
    <col min="1787" max="1787" width="18.85546875" style="161" customWidth="1"/>
    <col min="1788" max="1788" width="81" style="161" customWidth="1"/>
    <col min="1789" max="1789" width="14.85546875" style="161" customWidth="1"/>
    <col min="1790" max="1790" width="15.7109375" style="161" customWidth="1"/>
    <col min="1791" max="1791" width="17.5703125" style="161" customWidth="1"/>
    <col min="1792" max="1792" width="18.42578125" style="161" customWidth="1"/>
    <col min="1793" max="1793" width="16.5703125" style="161" customWidth="1"/>
    <col min="1794" max="1794" width="17.7109375" style="161" customWidth="1"/>
    <col min="1795" max="1795" width="17.85546875" style="161" customWidth="1"/>
    <col min="1796" max="1796" width="18.42578125" style="161" customWidth="1"/>
    <col min="1797" max="1797" width="15.42578125" style="161" customWidth="1"/>
    <col min="1798" max="1798" width="14.5703125" style="161" customWidth="1"/>
    <col min="1799" max="1799" width="15" style="161" customWidth="1"/>
    <col min="1800" max="1800" width="6.7109375" style="161" customWidth="1"/>
    <col min="1801" max="1801" width="14.28515625" style="161" customWidth="1"/>
    <col min="1802" max="1802" width="17.5703125" style="161" customWidth="1"/>
    <col min="1803" max="1803" width="27.7109375" style="161" customWidth="1"/>
    <col min="1804" max="1806" width="9.140625" style="161" customWidth="1"/>
    <col min="1807" max="1807" width="14.85546875" style="161" customWidth="1"/>
    <col min="1808" max="1808" width="13.85546875" style="161" customWidth="1"/>
    <col min="1809" max="2030" width="9.140625" style="161" customWidth="1"/>
    <col min="2031" max="2031" width="9" style="161"/>
    <col min="2032" max="2032" width="6.5703125" style="161" customWidth="1"/>
    <col min="2033" max="2033" width="79.5703125" style="161" customWidth="1"/>
    <col min="2034" max="2034" width="23.5703125" style="161" customWidth="1"/>
    <col min="2035" max="2035" width="27.85546875" style="161" customWidth="1"/>
    <col min="2036" max="2036" width="22.28515625" style="161" customWidth="1"/>
    <col min="2037" max="2037" width="23.5703125" style="161" customWidth="1"/>
    <col min="2038" max="2038" width="39" style="161" customWidth="1"/>
    <col min="2039" max="2039" width="36.42578125" style="161" customWidth="1"/>
    <col min="2040" max="2040" width="8" style="161" customWidth="1"/>
    <col min="2041" max="2041" width="15.5703125" style="161" customWidth="1"/>
    <col min="2042" max="2042" width="17.28515625" style="161" customWidth="1"/>
    <col min="2043" max="2043" width="18.85546875" style="161" customWidth="1"/>
    <col min="2044" max="2044" width="81" style="161" customWidth="1"/>
    <col min="2045" max="2045" width="14.85546875" style="161" customWidth="1"/>
    <col min="2046" max="2046" width="15.7109375" style="161" customWidth="1"/>
    <col min="2047" max="2047" width="17.5703125" style="161" customWidth="1"/>
    <col min="2048" max="2048" width="18.42578125" style="161" customWidth="1"/>
    <col min="2049" max="2049" width="16.5703125" style="161" customWidth="1"/>
    <col min="2050" max="2050" width="17.7109375" style="161" customWidth="1"/>
    <col min="2051" max="2051" width="17.85546875" style="161" customWidth="1"/>
    <col min="2052" max="2052" width="18.42578125" style="161" customWidth="1"/>
    <col min="2053" max="2053" width="15.42578125" style="161" customWidth="1"/>
    <col min="2054" max="2054" width="14.5703125" style="161" customWidth="1"/>
    <col min="2055" max="2055" width="15" style="161" customWidth="1"/>
    <col min="2056" max="2056" width="6.7109375" style="161" customWidth="1"/>
    <col min="2057" max="2057" width="14.28515625" style="161" customWidth="1"/>
    <col min="2058" max="2058" width="17.5703125" style="161" customWidth="1"/>
    <col min="2059" max="2059" width="27.7109375" style="161" customWidth="1"/>
    <col min="2060" max="2062" width="9.140625" style="161" customWidth="1"/>
    <col min="2063" max="2063" width="14.85546875" style="161" customWidth="1"/>
    <col min="2064" max="2064" width="13.85546875" style="161" customWidth="1"/>
    <col min="2065" max="2286" width="9.140625" style="161" customWidth="1"/>
    <col min="2287" max="2287" width="9" style="161"/>
    <col min="2288" max="2288" width="6.5703125" style="161" customWidth="1"/>
    <col min="2289" max="2289" width="79.5703125" style="161" customWidth="1"/>
    <col min="2290" max="2290" width="23.5703125" style="161" customWidth="1"/>
    <col min="2291" max="2291" width="27.85546875" style="161" customWidth="1"/>
    <col min="2292" max="2292" width="22.28515625" style="161" customWidth="1"/>
    <col min="2293" max="2293" width="23.5703125" style="161" customWidth="1"/>
    <col min="2294" max="2294" width="39" style="161" customWidth="1"/>
    <col min="2295" max="2295" width="36.42578125" style="161" customWidth="1"/>
    <col min="2296" max="2296" width="8" style="161" customWidth="1"/>
    <col min="2297" max="2297" width="15.5703125" style="161" customWidth="1"/>
    <col min="2298" max="2298" width="17.28515625" style="161" customWidth="1"/>
    <col min="2299" max="2299" width="18.85546875" style="161" customWidth="1"/>
    <col min="2300" max="2300" width="81" style="161" customWidth="1"/>
    <col min="2301" max="2301" width="14.85546875" style="161" customWidth="1"/>
    <col min="2302" max="2302" width="15.7109375" style="161" customWidth="1"/>
    <col min="2303" max="2303" width="17.5703125" style="161" customWidth="1"/>
    <col min="2304" max="2304" width="18.42578125" style="161" customWidth="1"/>
    <col min="2305" max="2305" width="16.5703125" style="161" customWidth="1"/>
    <col min="2306" max="2306" width="17.7109375" style="161" customWidth="1"/>
    <col min="2307" max="2307" width="17.85546875" style="161" customWidth="1"/>
    <col min="2308" max="2308" width="18.42578125" style="161" customWidth="1"/>
    <col min="2309" max="2309" width="15.42578125" style="161" customWidth="1"/>
    <col min="2310" max="2310" width="14.5703125" style="161" customWidth="1"/>
    <col min="2311" max="2311" width="15" style="161" customWidth="1"/>
    <col min="2312" max="2312" width="6.7109375" style="161" customWidth="1"/>
    <col min="2313" max="2313" width="14.28515625" style="161" customWidth="1"/>
    <col min="2314" max="2314" width="17.5703125" style="161" customWidth="1"/>
    <col min="2315" max="2315" width="27.7109375" style="161" customWidth="1"/>
    <col min="2316" max="2318" width="9.140625" style="161" customWidth="1"/>
    <col min="2319" max="2319" width="14.85546875" style="161" customWidth="1"/>
    <col min="2320" max="2320" width="13.85546875" style="161" customWidth="1"/>
    <col min="2321" max="2542" width="9.140625" style="161" customWidth="1"/>
    <col min="2543" max="2543" width="9" style="161"/>
    <col min="2544" max="2544" width="6.5703125" style="161" customWidth="1"/>
    <col min="2545" max="2545" width="79.5703125" style="161" customWidth="1"/>
    <col min="2546" max="2546" width="23.5703125" style="161" customWidth="1"/>
    <col min="2547" max="2547" width="27.85546875" style="161" customWidth="1"/>
    <col min="2548" max="2548" width="22.28515625" style="161" customWidth="1"/>
    <col min="2549" max="2549" width="23.5703125" style="161" customWidth="1"/>
    <col min="2550" max="2550" width="39" style="161" customWidth="1"/>
    <col min="2551" max="2551" width="36.42578125" style="161" customWidth="1"/>
    <col min="2552" max="2552" width="8" style="161" customWidth="1"/>
    <col min="2553" max="2553" width="15.5703125" style="161" customWidth="1"/>
    <col min="2554" max="2554" width="17.28515625" style="161" customWidth="1"/>
    <col min="2555" max="2555" width="18.85546875" style="161" customWidth="1"/>
    <col min="2556" max="2556" width="81" style="161" customWidth="1"/>
    <col min="2557" max="2557" width="14.85546875" style="161" customWidth="1"/>
    <col min="2558" max="2558" width="15.7109375" style="161" customWidth="1"/>
    <col min="2559" max="2559" width="17.5703125" style="161" customWidth="1"/>
    <col min="2560" max="2560" width="18.42578125" style="161" customWidth="1"/>
    <col min="2561" max="2561" width="16.5703125" style="161" customWidth="1"/>
    <col min="2562" max="2562" width="17.7109375" style="161" customWidth="1"/>
    <col min="2563" max="2563" width="17.85546875" style="161" customWidth="1"/>
    <col min="2564" max="2564" width="18.42578125" style="161" customWidth="1"/>
    <col min="2565" max="2565" width="15.42578125" style="161" customWidth="1"/>
    <col min="2566" max="2566" width="14.5703125" style="161" customWidth="1"/>
    <col min="2567" max="2567" width="15" style="161" customWidth="1"/>
    <col min="2568" max="2568" width="6.7109375" style="161" customWidth="1"/>
    <col min="2569" max="2569" width="14.28515625" style="161" customWidth="1"/>
    <col min="2570" max="2570" width="17.5703125" style="161" customWidth="1"/>
    <col min="2571" max="2571" width="27.7109375" style="161" customWidth="1"/>
    <col min="2572" max="2574" width="9.140625" style="161" customWidth="1"/>
    <col min="2575" max="2575" width="14.85546875" style="161" customWidth="1"/>
    <col min="2576" max="2576" width="13.85546875" style="161" customWidth="1"/>
    <col min="2577" max="2798" width="9.140625" style="161" customWidth="1"/>
    <col min="2799" max="2799" width="9" style="161"/>
    <col min="2800" max="2800" width="6.5703125" style="161" customWidth="1"/>
    <col min="2801" max="2801" width="79.5703125" style="161" customWidth="1"/>
    <col min="2802" max="2802" width="23.5703125" style="161" customWidth="1"/>
    <col min="2803" max="2803" width="27.85546875" style="161" customWidth="1"/>
    <col min="2804" max="2804" width="22.28515625" style="161" customWidth="1"/>
    <col min="2805" max="2805" width="23.5703125" style="161" customWidth="1"/>
    <col min="2806" max="2806" width="39" style="161" customWidth="1"/>
    <col min="2807" max="2807" width="36.42578125" style="161" customWidth="1"/>
    <col min="2808" max="2808" width="8" style="161" customWidth="1"/>
    <col min="2809" max="2809" width="15.5703125" style="161" customWidth="1"/>
    <col min="2810" max="2810" width="17.28515625" style="161" customWidth="1"/>
    <col min="2811" max="2811" width="18.85546875" style="161" customWidth="1"/>
    <col min="2812" max="2812" width="81" style="161" customWidth="1"/>
    <col min="2813" max="2813" width="14.85546875" style="161" customWidth="1"/>
    <col min="2814" max="2814" width="15.7109375" style="161" customWidth="1"/>
    <col min="2815" max="2815" width="17.5703125" style="161" customWidth="1"/>
    <col min="2816" max="2816" width="18.42578125" style="161" customWidth="1"/>
    <col min="2817" max="2817" width="16.5703125" style="161" customWidth="1"/>
    <col min="2818" max="2818" width="17.7109375" style="161" customWidth="1"/>
    <col min="2819" max="2819" width="17.85546875" style="161" customWidth="1"/>
    <col min="2820" max="2820" width="18.42578125" style="161" customWidth="1"/>
    <col min="2821" max="2821" width="15.42578125" style="161" customWidth="1"/>
    <col min="2822" max="2822" width="14.5703125" style="161" customWidth="1"/>
    <col min="2823" max="2823" width="15" style="161" customWidth="1"/>
    <col min="2824" max="2824" width="6.7109375" style="161" customWidth="1"/>
    <col min="2825" max="2825" width="14.28515625" style="161" customWidth="1"/>
    <col min="2826" max="2826" width="17.5703125" style="161" customWidth="1"/>
    <col min="2827" max="2827" width="27.7109375" style="161" customWidth="1"/>
    <col min="2828" max="2830" width="9.140625" style="161" customWidth="1"/>
    <col min="2831" max="2831" width="14.85546875" style="161" customWidth="1"/>
    <col min="2832" max="2832" width="13.85546875" style="161" customWidth="1"/>
    <col min="2833" max="3054" width="9.140625" style="161" customWidth="1"/>
    <col min="3055" max="3055" width="9" style="161"/>
    <col min="3056" max="3056" width="6.5703125" style="161" customWidth="1"/>
    <col min="3057" max="3057" width="79.5703125" style="161" customWidth="1"/>
    <col min="3058" max="3058" width="23.5703125" style="161" customWidth="1"/>
    <col min="3059" max="3059" width="27.85546875" style="161" customWidth="1"/>
    <col min="3060" max="3060" width="22.28515625" style="161" customWidth="1"/>
    <col min="3061" max="3061" width="23.5703125" style="161" customWidth="1"/>
    <col min="3062" max="3062" width="39" style="161" customWidth="1"/>
    <col min="3063" max="3063" width="36.42578125" style="161" customWidth="1"/>
    <col min="3064" max="3064" width="8" style="161" customWidth="1"/>
    <col min="3065" max="3065" width="15.5703125" style="161" customWidth="1"/>
    <col min="3066" max="3066" width="17.28515625" style="161" customWidth="1"/>
    <col min="3067" max="3067" width="18.85546875" style="161" customWidth="1"/>
    <col min="3068" max="3068" width="81" style="161" customWidth="1"/>
    <col min="3069" max="3069" width="14.85546875" style="161" customWidth="1"/>
    <col min="3070" max="3070" width="15.7109375" style="161" customWidth="1"/>
    <col min="3071" max="3071" width="17.5703125" style="161" customWidth="1"/>
    <col min="3072" max="3072" width="18.42578125" style="161" customWidth="1"/>
    <col min="3073" max="3073" width="16.5703125" style="161" customWidth="1"/>
    <col min="3074" max="3074" width="17.7109375" style="161" customWidth="1"/>
    <col min="3075" max="3075" width="17.85546875" style="161" customWidth="1"/>
    <col min="3076" max="3076" width="18.42578125" style="161" customWidth="1"/>
    <col min="3077" max="3077" width="15.42578125" style="161" customWidth="1"/>
    <col min="3078" max="3078" width="14.5703125" style="161" customWidth="1"/>
    <col min="3079" max="3079" width="15" style="161" customWidth="1"/>
    <col min="3080" max="3080" width="6.7109375" style="161" customWidth="1"/>
    <col min="3081" max="3081" width="14.28515625" style="161" customWidth="1"/>
    <col min="3082" max="3082" width="17.5703125" style="161" customWidth="1"/>
    <col min="3083" max="3083" width="27.7109375" style="161" customWidth="1"/>
    <col min="3084" max="3086" width="9.140625" style="161" customWidth="1"/>
    <col min="3087" max="3087" width="14.85546875" style="161" customWidth="1"/>
    <col min="3088" max="3088" width="13.85546875" style="161" customWidth="1"/>
    <col min="3089" max="3310" width="9.140625" style="161" customWidth="1"/>
    <col min="3311" max="3311" width="9" style="161"/>
    <col min="3312" max="3312" width="6.5703125" style="161" customWidth="1"/>
    <col min="3313" max="3313" width="79.5703125" style="161" customWidth="1"/>
    <col min="3314" max="3314" width="23.5703125" style="161" customWidth="1"/>
    <col min="3315" max="3315" width="27.85546875" style="161" customWidth="1"/>
    <col min="3316" max="3316" width="22.28515625" style="161" customWidth="1"/>
    <col min="3317" max="3317" width="23.5703125" style="161" customWidth="1"/>
    <col min="3318" max="3318" width="39" style="161" customWidth="1"/>
    <col min="3319" max="3319" width="36.42578125" style="161" customWidth="1"/>
    <col min="3320" max="3320" width="8" style="161" customWidth="1"/>
    <col min="3321" max="3321" width="15.5703125" style="161" customWidth="1"/>
    <col min="3322" max="3322" width="17.28515625" style="161" customWidth="1"/>
    <col min="3323" max="3323" width="18.85546875" style="161" customWidth="1"/>
    <col min="3324" max="3324" width="81" style="161" customWidth="1"/>
    <col min="3325" max="3325" width="14.85546875" style="161" customWidth="1"/>
    <col min="3326" max="3326" width="15.7109375" style="161" customWidth="1"/>
    <col min="3327" max="3327" width="17.5703125" style="161" customWidth="1"/>
    <col min="3328" max="3328" width="18.42578125" style="161" customWidth="1"/>
    <col min="3329" max="3329" width="16.5703125" style="161" customWidth="1"/>
    <col min="3330" max="3330" width="17.7109375" style="161" customWidth="1"/>
    <col min="3331" max="3331" width="17.85546875" style="161" customWidth="1"/>
    <col min="3332" max="3332" width="18.42578125" style="161" customWidth="1"/>
    <col min="3333" max="3333" width="15.42578125" style="161" customWidth="1"/>
    <col min="3334" max="3334" width="14.5703125" style="161" customWidth="1"/>
    <col min="3335" max="3335" width="15" style="161" customWidth="1"/>
    <col min="3336" max="3336" width="6.7109375" style="161" customWidth="1"/>
    <col min="3337" max="3337" width="14.28515625" style="161" customWidth="1"/>
    <col min="3338" max="3338" width="17.5703125" style="161" customWidth="1"/>
    <col min="3339" max="3339" width="27.7109375" style="161" customWidth="1"/>
    <col min="3340" max="3342" width="9.140625" style="161" customWidth="1"/>
    <col min="3343" max="3343" width="14.85546875" style="161" customWidth="1"/>
    <col min="3344" max="3344" width="13.85546875" style="161" customWidth="1"/>
    <col min="3345" max="3566" width="9.140625" style="161" customWidth="1"/>
    <col min="3567" max="3567" width="9" style="161"/>
    <col min="3568" max="3568" width="6.5703125" style="161" customWidth="1"/>
    <col min="3569" max="3569" width="79.5703125" style="161" customWidth="1"/>
    <col min="3570" max="3570" width="23.5703125" style="161" customWidth="1"/>
    <col min="3571" max="3571" width="27.85546875" style="161" customWidth="1"/>
    <col min="3572" max="3572" width="22.28515625" style="161" customWidth="1"/>
    <col min="3573" max="3573" width="23.5703125" style="161" customWidth="1"/>
    <col min="3574" max="3574" width="39" style="161" customWidth="1"/>
    <col min="3575" max="3575" width="36.42578125" style="161" customWidth="1"/>
    <col min="3576" max="3576" width="8" style="161" customWidth="1"/>
    <col min="3577" max="3577" width="15.5703125" style="161" customWidth="1"/>
    <col min="3578" max="3578" width="17.28515625" style="161" customWidth="1"/>
    <col min="3579" max="3579" width="18.85546875" style="161" customWidth="1"/>
    <col min="3580" max="3580" width="81" style="161" customWidth="1"/>
    <col min="3581" max="3581" width="14.85546875" style="161" customWidth="1"/>
    <col min="3582" max="3582" width="15.7109375" style="161" customWidth="1"/>
    <col min="3583" max="3583" width="17.5703125" style="161" customWidth="1"/>
    <col min="3584" max="3584" width="18.42578125" style="161" customWidth="1"/>
    <col min="3585" max="3585" width="16.5703125" style="161" customWidth="1"/>
    <col min="3586" max="3586" width="17.7109375" style="161" customWidth="1"/>
    <col min="3587" max="3587" width="17.85546875" style="161" customWidth="1"/>
    <col min="3588" max="3588" width="18.42578125" style="161" customWidth="1"/>
    <col min="3589" max="3589" width="15.42578125" style="161" customWidth="1"/>
    <col min="3590" max="3590" width="14.5703125" style="161" customWidth="1"/>
    <col min="3591" max="3591" width="15" style="161" customWidth="1"/>
    <col min="3592" max="3592" width="6.7109375" style="161" customWidth="1"/>
    <col min="3593" max="3593" width="14.28515625" style="161" customWidth="1"/>
    <col min="3594" max="3594" width="17.5703125" style="161" customWidth="1"/>
    <col min="3595" max="3595" width="27.7109375" style="161" customWidth="1"/>
    <col min="3596" max="3598" width="9.140625" style="161" customWidth="1"/>
    <col min="3599" max="3599" width="14.85546875" style="161" customWidth="1"/>
    <col min="3600" max="3600" width="13.85546875" style="161" customWidth="1"/>
    <col min="3601" max="3822" width="9.140625" style="161" customWidth="1"/>
    <col min="3823" max="3823" width="9" style="161"/>
    <col min="3824" max="3824" width="6.5703125" style="161" customWidth="1"/>
    <col min="3825" max="3825" width="79.5703125" style="161" customWidth="1"/>
    <col min="3826" max="3826" width="23.5703125" style="161" customWidth="1"/>
    <col min="3827" max="3827" width="27.85546875" style="161" customWidth="1"/>
    <col min="3828" max="3828" width="22.28515625" style="161" customWidth="1"/>
    <col min="3829" max="3829" width="23.5703125" style="161" customWidth="1"/>
    <col min="3830" max="3830" width="39" style="161" customWidth="1"/>
    <col min="3831" max="3831" width="36.42578125" style="161" customWidth="1"/>
    <col min="3832" max="3832" width="8" style="161" customWidth="1"/>
    <col min="3833" max="3833" width="15.5703125" style="161" customWidth="1"/>
    <col min="3834" max="3834" width="17.28515625" style="161" customWidth="1"/>
    <col min="3835" max="3835" width="18.85546875" style="161" customWidth="1"/>
    <col min="3836" max="3836" width="81" style="161" customWidth="1"/>
    <col min="3837" max="3837" width="14.85546875" style="161" customWidth="1"/>
    <col min="3838" max="3838" width="15.7109375" style="161" customWidth="1"/>
    <col min="3839" max="3839" width="17.5703125" style="161" customWidth="1"/>
    <col min="3840" max="3840" width="18.42578125" style="161" customWidth="1"/>
    <col min="3841" max="3841" width="16.5703125" style="161" customWidth="1"/>
    <col min="3842" max="3842" width="17.7109375" style="161" customWidth="1"/>
    <col min="3843" max="3843" width="17.85546875" style="161" customWidth="1"/>
    <col min="3844" max="3844" width="18.42578125" style="161" customWidth="1"/>
    <col min="3845" max="3845" width="15.42578125" style="161" customWidth="1"/>
    <col min="3846" max="3846" width="14.5703125" style="161" customWidth="1"/>
    <col min="3847" max="3847" width="15" style="161" customWidth="1"/>
    <col min="3848" max="3848" width="6.7109375" style="161" customWidth="1"/>
    <col min="3849" max="3849" width="14.28515625" style="161" customWidth="1"/>
    <col min="3850" max="3850" width="17.5703125" style="161" customWidth="1"/>
    <col min="3851" max="3851" width="27.7109375" style="161" customWidth="1"/>
    <col min="3852" max="3854" width="9.140625" style="161" customWidth="1"/>
    <col min="3855" max="3855" width="14.85546875" style="161" customWidth="1"/>
    <col min="3856" max="3856" width="13.85546875" style="161" customWidth="1"/>
    <col min="3857" max="4078" width="9.140625" style="161" customWidth="1"/>
    <col min="4079" max="4079" width="9" style="161"/>
    <col min="4080" max="4080" width="6.5703125" style="161" customWidth="1"/>
    <col min="4081" max="4081" width="79.5703125" style="161" customWidth="1"/>
    <col min="4082" max="4082" width="23.5703125" style="161" customWidth="1"/>
    <col min="4083" max="4083" width="27.85546875" style="161" customWidth="1"/>
    <col min="4084" max="4084" width="22.28515625" style="161" customWidth="1"/>
    <col min="4085" max="4085" width="23.5703125" style="161" customWidth="1"/>
    <col min="4086" max="4086" width="39" style="161" customWidth="1"/>
    <col min="4087" max="4087" width="36.42578125" style="161" customWidth="1"/>
    <col min="4088" max="4088" width="8" style="161" customWidth="1"/>
    <col min="4089" max="4089" width="15.5703125" style="161" customWidth="1"/>
    <col min="4090" max="4090" width="17.28515625" style="161" customWidth="1"/>
    <col min="4091" max="4091" width="18.85546875" style="161" customWidth="1"/>
    <col min="4092" max="4092" width="81" style="161" customWidth="1"/>
    <col min="4093" max="4093" width="14.85546875" style="161" customWidth="1"/>
    <col min="4094" max="4094" width="15.7109375" style="161" customWidth="1"/>
    <col min="4095" max="4095" width="17.5703125" style="161" customWidth="1"/>
    <col min="4096" max="4096" width="18.42578125" style="161" customWidth="1"/>
    <col min="4097" max="4097" width="16.5703125" style="161" customWidth="1"/>
    <col min="4098" max="4098" width="17.7109375" style="161" customWidth="1"/>
    <col min="4099" max="4099" width="17.85546875" style="161" customWidth="1"/>
    <col min="4100" max="4100" width="18.42578125" style="161" customWidth="1"/>
    <col min="4101" max="4101" width="15.42578125" style="161" customWidth="1"/>
    <col min="4102" max="4102" width="14.5703125" style="161" customWidth="1"/>
    <col min="4103" max="4103" width="15" style="161" customWidth="1"/>
    <col min="4104" max="4104" width="6.7109375" style="161" customWidth="1"/>
    <col min="4105" max="4105" width="14.28515625" style="161" customWidth="1"/>
    <col min="4106" max="4106" width="17.5703125" style="161" customWidth="1"/>
    <col min="4107" max="4107" width="27.7109375" style="161" customWidth="1"/>
    <col min="4108" max="4110" width="9.140625" style="161" customWidth="1"/>
    <col min="4111" max="4111" width="14.85546875" style="161" customWidth="1"/>
    <col min="4112" max="4112" width="13.85546875" style="161" customWidth="1"/>
    <col min="4113" max="4334" width="9.140625" style="161" customWidth="1"/>
    <col min="4335" max="4335" width="9" style="161"/>
    <col min="4336" max="4336" width="6.5703125" style="161" customWidth="1"/>
    <col min="4337" max="4337" width="79.5703125" style="161" customWidth="1"/>
    <col min="4338" max="4338" width="23.5703125" style="161" customWidth="1"/>
    <col min="4339" max="4339" width="27.85546875" style="161" customWidth="1"/>
    <col min="4340" max="4340" width="22.28515625" style="161" customWidth="1"/>
    <col min="4341" max="4341" width="23.5703125" style="161" customWidth="1"/>
    <col min="4342" max="4342" width="39" style="161" customWidth="1"/>
    <col min="4343" max="4343" width="36.42578125" style="161" customWidth="1"/>
    <col min="4344" max="4344" width="8" style="161" customWidth="1"/>
    <col min="4345" max="4345" width="15.5703125" style="161" customWidth="1"/>
    <col min="4346" max="4346" width="17.28515625" style="161" customWidth="1"/>
    <col min="4347" max="4347" width="18.85546875" style="161" customWidth="1"/>
    <col min="4348" max="4348" width="81" style="161" customWidth="1"/>
    <col min="4349" max="4349" width="14.85546875" style="161" customWidth="1"/>
    <col min="4350" max="4350" width="15.7109375" style="161" customWidth="1"/>
    <col min="4351" max="4351" width="17.5703125" style="161" customWidth="1"/>
    <col min="4352" max="4352" width="18.42578125" style="161" customWidth="1"/>
    <col min="4353" max="4353" width="16.5703125" style="161" customWidth="1"/>
    <col min="4354" max="4354" width="17.7109375" style="161" customWidth="1"/>
    <col min="4355" max="4355" width="17.85546875" style="161" customWidth="1"/>
    <col min="4356" max="4356" width="18.42578125" style="161" customWidth="1"/>
    <col min="4357" max="4357" width="15.42578125" style="161" customWidth="1"/>
    <col min="4358" max="4358" width="14.5703125" style="161" customWidth="1"/>
    <col min="4359" max="4359" width="15" style="161" customWidth="1"/>
    <col min="4360" max="4360" width="6.7109375" style="161" customWidth="1"/>
    <col min="4361" max="4361" width="14.28515625" style="161" customWidth="1"/>
    <col min="4362" max="4362" width="17.5703125" style="161" customWidth="1"/>
    <col min="4363" max="4363" width="27.7109375" style="161" customWidth="1"/>
    <col min="4364" max="4366" width="9.140625" style="161" customWidth="1"/>
    <col min="4367" max="4367" width="14.85546875" style="161" customWidth="1"/>
    <col min="4368" max="4368" width="13.85546875" style="161" customWidth="1"/>
    <col min="4369" max="4590" width="9.140625" style="161" customWidth="1"/>
    <col min="4591" max="4591" width="9" style="161"/>
    <col min="4592" max="4592" width="6.5703125" style="161" customWidth="1"/>
    <col min="4593" max="4593" width="79.5703125" style="161" customWidth="1"/>
    <col min="4594" max="4594" width="23.5703125" style="161" customWidth="1"/>
    <col min="4595" max="4595" width="27.85546875" style="161" customWidth="1"/>
    <col min="4596" max="4596" width="22.28515625" style="161" customWidth="1"/>
    <col min="4597" max="4597" width="23.5703125" style="161" customWidth="1"/>
    <col min="4598" max="4598" width="39" style="161" customWidth="1"/>
    <col min="4599" max="4599" width="36.42578125" style="161" customWidth="1"/>
    <col min="4600" max="4600" width="8" style="161" customWidth="1"/>
    <col min="4601" max="4601" width="15.5703125" style="161" customWidth="1"/>
    <col min="4602" max="4602" width="17.28515625" style="161" customWidth="1"/>
    <col min="4603" max="4603" width="18.85546875" style="161" customWidth="1"/>
    <col min="4604" max="4604" width="81" style="161" customWidth="1"/>
    <col min="4605" max="4605" width="14.85546875" style="161" customWidth="1"/>
    <col min="4606" max="4606" width="15.7109375" style="161" customWidth="1"/>
    <col min="4607" max="4607" width="17.5703125" style="161" customWidth="1"/>
    <col min="4608" max="4608" width="18.42578125" style="161" customWidth="1"/>
    <col min="4609" max="4609" width="16.5703125" style="161" customWidth="1"/>
    <col min="4610" max="4610" width="17.7109375" style="161" customWidth="1"/>
    <col min="4611" max="4611" width="17.85546875" style="161" customWidth="1"/>
    <col min="4612" max="4612" width="18.42578125" style="161" customWidth="1"/>
    <col min="4613" max="4613" width="15.42578125" style="161" customWidth="1"/>
    <col min="4614" max="4614" width="14.5703125" style="161" customWidth="1"/>
    <col min="4615" max="4615" width="15" style="161" customWidth="1"/>
    <col min="4616" max="4616" width="6.7109375" style="161" customWidth="1"/>
    <col min="4617" max="4617" width="14.28515625" style="161" customWidth="1"/>
    <col min="4618" max="4618" width="17.5703125" style="161" customWidth="1"/>
    <col min="4619" max="4619" width="27.7109375" style="161" customWidth="1"/>
    <col min="4620" max="4622" width="9.140625" style="161" customWidth="1"/>
    <col min="4623" max="4623" width="14.85546875" style="161" customWidth="1"/>
    <col min="4624" max="4624" width="13.85546875" style="161" customWidth="1"/>
    <col min="4625" max="4846" width="9.140625" style="161" customWidth="1"/>
    <col min="4847" max="4847" width="9" style="161"/>
    <col min="4848" max="4848" width="6.5703125" style="161" customWidth="1"/>
    <col min="4849" max="4849" width="79.5703125" style="161" customWidth="1"/>
    <col min="4850" max="4850" width="23.5703125" style="161" customWidth="1"/>
    <col min="4851" max="4851" width="27.85546875" style="161" customWidth="1"/>
    <col min="4852" max="4852" width="22.28515625" style="161" customWidth="1"/>
    <col min="4853" max="4853" width="23.5703125" style="161" customWidth="1"/>
    <col min="4854" max="4854" width="39" style="161" customWidth="1"/>
    <col min="4855" max="4855" width="36.42578125" style="161" customWidth="1"/>
    <col min="4856" max="4856" width="8" style="161" customWidth="1"/>
    <col min="4857" max="4857" width="15.5703125" style="161" customWidth="1"/>
    <col min="4858" max="4858" width="17.28515625" style="161" customWidth="1"/>
    <col min="4859" max="4859" width="18.85546875" style="161" customWidth="1"/>
    <col min="4860" max="4860" width="81" style="161" customWidth="1"/>
    <col min="4861" max="4861" width="14.85546875" style="161" customWidth="1"/>
    <col min="4862" max="4862" width="15.7109375" style="161" customWidth="1"/>
    <col min="4863" max="4863" width="17.5703125" style="161" customWidth="1"/>
    <col min="4864" max="4864" width="18.42578125" style="161" customWidth="1"/>
    <col min="4865" max="4865" width="16.5703125" style="161" customWidth="1"/>
    <col min="4866" max="4866" width="17.7109375" style="161" customWidth="1"/>
    <col min="4867" max="4867" width="17.85546875" style="161" customWidth="1"/>
    <col min="4868" max="4868" width="18.42578125" style="161" customWidth="1"/>
    <col min="4869" max="4869" width="15.42578125" style="161" customWidth="1"/>
    <col min="4870" max="4870" width="14.5703125" style="161" customWidth="1"/>
    <col min="4871" max="4871" width="15" style="161" customWidth="1"/>
    <col min="4872" max="4872" width="6.7109375" style="161" customWidth="1"/>
    <col min="4873" max="4873" width="14.28515625" style="161" customWidth="1"/>
    <col min="4874" max="4874" width="17.5703125" style="161" customWidth="1"/>
    <col min="4875" max="4875" width="27.7109375" style="161" customWidth="1"/>
    <col min="4876" max="4878" width="9.140625" style="161" customWidth="1"/>
    <col min="4879" max="4879" width="14.85546875" style="161" customWidth="1"/>
    <col min="4880" max="4880" width="13.85546875" style="161" customWidth="1"/>
    <col min="4881" max="5102" width="9.140625" style="161" customWidth="1"/>
    <col min="5103" max="5103" width="9" style="161"/>
    <col min="5104" max="5104" width="6.5703125" style="161" customWidth="1"/>
    <col min="5105" max="5105" width="79.5703125" style="161" customWidth="1"/>
    <col min="5106" max="5106" width="23.5703125" style="161" customWidth="1"/>
    <col min="5107" max="5107" width="27.85546875" style="161" customWidth="1"/>
    <col min="5108" max="5108" width="22.28515625" style="161" customWidth="1"/>
    <col min="5109" max="5109" width="23.5703125" style="161" customWidth="1"/>
    <col min="5110" max="5110" width="39" style="161" customWidth="1"/>
    <col min="5111" max="5111" width="36.42578125" style="161" customWidth="1"/>
    <col min="5112" max="5112" width="8" style="161" customWidth="1"/>
    <col min="5113" max="5113" width="15.5703125" style="161" customWidth="1"/>
    <col min="5114" max="5114" width="17.28515625" style="161" customWidth="1"/>
    <col min="5115" max="5115" width="18.85546875" style="161" customWidth="1"/>
    <col min="5116" max="5116" width="81" style="161" customWidth="1"/>
    <col min="5117" max="5117" width="14.85546875" style="161" customWidth="1"/>
    <col min="5118" max="5118" width="15.7109375" style="161" customWidth="1"/>
    <col min="5119" max="5119" width="17.5703125" style="161" customWidth="1"/>
    <col min="5120" max="5120" width="18.42578125" style="161" customWidth="1"/>
    <col min="5121" max="5121" width="16.5703125" style="161" customWidth="1"/>
    <col min="5122" max="5122" width="17.7109375" style="161" customWidth="1"/>
    <col min="5123" max="5123" width="17.85546875" style="161" customWidth="1"/>
    <col min="5124" max="5124" width="18.42578125" style="161" customWidth="1"/>
    <col min="5125" max="5125" width="15.42578125" style="161" customWidth="1"/>
    <col min="5126" max="5126" width="14.5703125" style="161" customWidth="1"/>
    <col min="5127" max="5127" width="15" style="161" customWidth="1"/>
    <col min="5128" max="5128" width="6.7109375" style="161" customWidth="1"/>
    <col min="5129" max="5129" width="14.28515625" style="161" customWidth="1"/>
    <col min="5130" max="5130" width="17.5703125" style="161" customWidth="1"/>
    <col min="5131" max="5131" width="27.7109375" style="161" customWidth="1"/>
    <col min="5132" max="5134" width="9.140625" style="161" customWidth="1"/>
    <col min="5135" max="5135" width="14.85546875" style="161" customWidth="1"/>
    <col min="5136" max="5136" width="13.85546875" style="161" customWidth="1"/>
    <col min="5137" max="5358" width="9.140625" style="161" customWidth="1"/>
    <col min="5359" max="5359" width="9" style="161"/>
    <col min="5360" max="5360" width="6.5703125" style="161" customWidth="1"/>
    <col min="5361" max="5361" width="79.5703125" style="161" customWidth="1"/>
    <col min="5362" max="5362" width="23.5703125" style="161" customWidth="1"/>
    <col min="5363" max="5363" width="27.85546875" style="161" customWidth="1"/>
    <col min="5364" max="5364" width="22.28515625" style="161" customWidth="1"/>
    <col min="5365" max="5365" width="23.5703125" style="161" customWidth="1"/>
    <col min="5366" max="5366" width="39" style="161" customWidth="1"/>
    <col min="5367" max="5367" width="36.42578125" style="161" customWidth="1"/>
    <col min="5368" max="5368" width="8" style="161" customWidth="1"/>
    <col min="5369" max="5369" width="15.5703125" style="161" customWidth="1"/>
    <col min="5370" max="5370" width="17.28515625" style="161" customWidth="1"/>
    <col min="5371" max="5371" width="18.85546875" style="161" customWidth="1"/>
    <col min="5372" max="5372" width="81" style="161" customWidth="1"/>
    <col min="5373" max="5373" width="14.85546875" style="161" customWidth="1"/>
    <col min="5374" max="5374" width="15.7109375" style="161" customWidth="1"/>
    <col min="5375" max="5375" width="17.5703125" style="161" customWidth="1"/>
    <col min="5376" max="5376" width="18.42578125" style="161" customWidth="1"/>
    <col min="5377" max="5377" width="16.5703125" style="161" customWidth="1"/>
    <col min="5378" max="5378" width="17.7109375" style="161" customWidth="1"/>
    <col min="5379" max="5379" width="17.85546875" style="161" customWidth="1"/>
    <col min="5380" max="5380" width="18.42578125" style="161" customWidth="1"/>
    <col min="5381" max="5381" width="15.42578125" style="161" customWidth="1"/>
    <col min="5382" max="5382" width="14.5703125" style="161" customWidth="1"/>
    <col min="5383" max="5383" width="15" style="161" customWidth="1"/>
    <col min="5384" max="5384" width="6.7109375" style="161" customWidth="1"/>
    <col min="5385" max="5385" width="14.28515625" style="161" customWidth="1"/>
    <col min="5386" max="5386" width="17.5703125" style="161" customWidth="1"/>
    <col min="5387" max="5387" width="27.7109375" style="161" customWidth="1"/>
    <col min="5388" max="5390" width="9.140625" style="161" customWidth="1"/>
    <col min="5391" max="5391" width="14.85546875" style="161" customWidth="1"/>
    <col min="5392" max="5392" width="13.85546875" style="161" customWidth="1"/>
    <col min="5393" max="5614" width="9.140625" style="161" customWidth="1"/>
    <col min="5615" max="5615" width="9" style="161"/>
    <col min="5616" max="5616" width="6.5703125" style="161" customWidth="1"/>
    <col min="5617" max="5617" width="79.5703125" style="161" customWidth="1"/>
    <col min="5618" max="5618" width="23.5703125" style="161" customWidth="1"/>
    <col min="5619" max="5619" width="27.85546875" style="161" customWidth="1"/>
    <col min="5620" max="5620" width="22.28515625" style="161" customWidth="1"/>
    <col min="5621" max="5621" width="23.5703125" style="161" customWidth="1"/>
    <col min="5622" max="5622" width="39" style="161" customWidth="1"/>
    <col min="5623" max="5623" width="36.42578125" style="161" customWidth="1"/>
    <col min="5624" max="5624" width="8" style="161" customWidth="1"/>
    <col min="5625" max="5625" width="15.5703125" style="161" customWidth="1"/>
    <col min="5626" max="5626" width="17.28515625" style="161" customWidth="1"/>
    <col min="5627" max="5627" width="18.85546875" style="161" customWidth="1"/>
    <col min="5628" max="5628" width="81" style="161" customWidth="1"/>
    <col min="5629" max="5629" width="14.85546875" style="161" customWidth="1"/>
    <col min="5630" max="5630" width="15.7109375" style="161" customWidth="1"/>
    <col min="5631" max="5631" width="17.5703125" style="161" customWidth="1"/>
    <col min="5632" max="5632" width="18.42578125" style="161" customWidth="1"/>
    <col min="5633" max="5633" width="16.5703125" style="161" customWidth="1"/>
    <col min="5634" max="5634" width="17.7109375" style="161" customWidth="1"/>
    <col min="5635" max="5635" width="17.85546875" style="161" customWidth="1"/>
    <col min="5636" max="5636" width="18.42578125" style="161" customWidth="1"/>
    <col min="5637" max="5637" width="15.42578125" style="161" customWidth="1"/>
    <col min="5638" max="5638" width="14.5703125" style="161" customWidth="1"/>
    <col min="5639" max="5639" width="15" style="161" customWidth="1"/>
    <col min="5640" max="5640" width="6.7109375" style="161" customWidth="1"/>
    <col min="5641" max="5641" width="14.28515625" style="161" customWidth="1"/>
    <col min="5642" max="5642" width="17.5703125" style="161" customWidth="1"/>
    <col min="5643" max="5643" width="27.7109375" style="161" customWidth="1"/>
    <col min="5644" max="5646" width="9.140625" style="161" customWidth="1"/>
    <col min="5647" max="5647" width="14.85546875" style="161" customWidth="1"/>
    <col min="5648" max="5648" width="13.85546875" style="161" customWidth="1"/>
    <col min="5649" max="5870" width="9.140625" style="161" customWidth="1"/>
    <col min="5871" max="5871" width="9" style="161"/>
    <col min="5872" max="5872" width="6.5703125" style="161" customWidth="1"/>
    <col min="5873" max="5873" width="79.5703125" style="161" customWidth="1"/>
    <col min="5874" max="5874" width="23.5703125" style="161" customWidth="1"/>
    <col min="5875" max="5875" width="27.85546875" style="161" customWidth="1"/>
    <col min="5876" max="5876" width="22.28515625" style="161" customWidth="1"/>
    <col min="5877" max="5877" width="23.5703125" style="161" customWidth="1"/>
    <col min="5878" max="5878" width="39" style="161" customWidth="1"/>
    <col min="5879" max="5879" width="36.42578125" style="161" customWidth="1"/>
    <col min="5880" max="5880" width="8" style="161" customWidth="1"/>
    <col min="5881" max="5881" width="15.5703125" style="161" customWidth="1"/>
    <col min="5882" max="5882" width="17.28515625" style="161" customWidth="1"/>
    <col min="5883" max="5883" width="18.85546875" style="161" customWidth="1"/>
    <col min="5884" max="5884" width="81" style="161" customWidth="1"/>
    <col min="5885" max="5885" width="14.85546875" style="161" customWidth="1"/>
    <col min="5886" max="5886" width="15.7109375" style="161" customWidth="1"/>
    <col min="5887" max="5887" width="17.5703125" style="161" customWidth="1"/>
    <col min="5888" max="5888" width="18.42578125" style="161" customWidth="1"/>
    <col min="5889" max="5889" width="16.5703125" style="161" customWidth="1"/>
    <col min="5890" max="5890" width="17.7109375" style="161" customWidth="1"/>
    <col min="5891" max="5891" width="17.85546875" style="161" customWidth="1"/>
    <col min="5892" max="5892" width="18.42578125" style="161" customWidth="1"/>
    <col min="5893" max="5893" width="15.42578125" style="161" customWidth="1"/>
    <col min="5894" max="5894" width="14.5703125" style="161" customWidth="1"/>
    <col min="5895" max="5895" width="15" style="161" customWidth="1"/>
    <col min="5896" max="5896" width="6.7109375" style="161" customWidth="1"/>
    <col min="5897" max="5897" width="14.28515625" style="161" customWidth="1"/>
    <col min="5898" max="5898" width="17.5703125" style="161" customWidth="1"/>
    <col min="5899" max="5899" width="27.7109375" style="161" customWidth="1"/>
    <col min="5900" max="5902" width="9.140625" style="161" customWidth="1"/>
    <col min="5903" max="5903" width="14.85546875" style="161" customWidth="1"/>
    <col min="5904" max="5904" width="13.85546875" style="161" customWidth="1"/>
    <col min="5905" max="6126" width="9.140625" style="161" customWidth="1"/>
    <col min="6127" max="6127" width="9" style="161"/>
    <col min="6128" max="6128" width="6.5703125" style="161" customWidth="1"/>
    <col min="6129" max="6129" width="79.5703125" style="161" customWidth="1"/>
    <col min="6130" max="6130" width="23.5703125" style="161" customWidth="1"/>
    <col min="6131" max="6131" width="27.85546875" style="161" customWidth="1"/>
    <col min="6132" max="6132" width="22.28515625" style="161" customWidth="1"/>
    <col min="6133" max="6133" width="23.5703125" style="161" customWidth="1"/>
    <col min="6134" max="6134" width="39" style="161" customWidth="1"/>
    <col min="6135" max="6135" width="36.42578125" style="161" customWidth="1"/>
    <col min="6136" max="6136" width="8" style="161" customWidth="1"/>
    <col min="6137" max="6137" width="15.5703125" style="161" customWidth="1"/>
    <col min="6138" max="6138" width="17.28515625" style="161" customWidth="1"/>
    <col min="6139" max="6139" width="18.85546875" style="161" customWidth="1"/>
    <col min="6140" max="6140" width="81" style="161" customWidth="1"/>
    <col min="6141" max="6141" width="14.85546875" style="161" customWidth="1"/>
    <col min="6142" max="6142" width="15.7109375" style="161" customWidth="1"/>
    <col min="6143" max="6143" width="17.5703125" style="161" customWidth="1"/>
    <col min="6144" max="6144" width="18.42578125" style="161" customWidth="1"/>
    <col min="6145" max="6145" width="16.5703125" style="161" customWidth="1"/>
    <col min="6146" max="6146" width="17.7109375" style="161" customWidth="1"/>
    <col min="6147" max="6147" width="17.85546875" style="161" customWidth="1"/>
    <col min="6148" max="6148" width="18.42578125" style="161" customWidth="1"/>
    <col min="6149" max="6149" width="15.42578125" style="161" customWidth="1"/>
    <col min="6150" max="6150" width="14.5703125" style="161" customWidth="1"/>
    <col min="6151" max="6151" width="15" style="161" customWidth="1"/>
    <col min="6152" max="6152" width="6.7109375" style="161" customWidth="1"/>
    <col min="6153" max="6153" width="14.28515625" style="161" customWidth="1"/>
    <col min="6154" max="6154" width="17.5703125" style="161" customWidth="1"/>
    <col min="6155" max="6155" width="27.7109375" style="161" customWidth="1"/>
    <col min="6156" max="6158" width="9.140625" style="161" customWidth="1"/>
    <col min="6159" max="6159" width="14.85546875" style="161" customWidth="1"/>
    <col min="6160" max="6160" width="13.85546875" style="161" customWidth="1"/>
    <col min="6161" max="6382" width="9.140625" style="161" customWidth="1"/>
    <col min="6383" max="6383" width="9" style="161"/>
    <col min="6384" max="6384" width="6.5703125" style="161" customWidth="1"/>
    <col min="6385" max="6385" width="79.5703125" style="161" customWidth="1"/>
    <col min="6386" max="6386" width="23.5703125" style="161" customWidth="1"/>
    <col min="6387" max="6387" width="27.85546875" style="161" customWidth="1"/>
    <col min="6388" max="6388" width="22.28515625" style="161" customWidth="1"/>
    <col min="6389" max="6389" width="23.5703125" style="161" customWidth="1"/>
    <col min="6390" max="6390" width="39" style="161" customWidth="1"/>
    <col min="6391" max="6391" width="36.42578125" style="161" customWidth="1"/>
    <col min="6392" max="6392" width="8" style="161" customWidth="1"/>
    <col min="6393" max="6393" width="15.5703125" style="161" customWidth="1"/>
    <col min="6394" max="6394" width="17.28515625" style="161" customWidth="1"/>
    <col min="6395" max="6395" width="18.85546875" style="161" customWidth="1"/>
    <col min="6396" max="6396" width="81" style="161" customWidth="1"/>
    <col min="6397" max="6397" width="14.85546875" style="161" customWidth="1"/>
    <col min="6398" max="6398" width="15.7109375" style="161" customWidth="1"/>
    <col min="6399" max="6399" width="17.5703125" style="161" customWidth="1"/>
    <col min="6400" max="6400" width="18.42578125" style="161" customWidth="1"/>
    <col min="6401" max="6401" width="16.5703125" style="161" customWidth="1"/>
    <col min="6402" max="6402" width="17.7109375" style="161" customWidth="1"/>
    <col min="6403" max="6403" width="17.85546875" style="161" customWidth="1"/>
    <col min="6404" max="6404" width="18.42578125" style="161" customWidth="1"/>
    <col min="6405" max="6405" width="15.42578125" style="161" customWidth="1"/>
    <col min="6406" max="6406" width="14.5703125" style="161" customWidth="1"/>
    <col min="6407" max="6407" width="15" style="161" customWidth="1"/>
    <col min="6408" max="6408" width="6.7109375" style="161" customWidth="1"/>
    <col min="6409" max="6409" width="14.28515625" style="161" customWidth="1"/>
    <col min="6410" max="6410" width="17.5703125" style="161" customWidth="1"/>
    <col min="6411" max="6411" width="27.7109375" style="161" customWidth="1"/>
    <col min="6412" max="6414" width="9.140625" style="161" customWidth="1"/>
    <col min="6415" max="6415" width="14.85546875" style="161" customWidth="1"/>
    <col min="6416" max="6416" width="13.85546875" style="161" customWidth="1"/>
    <col min="6417" max="6638" width="9.140625" style="161" customWidth="1"/>
    <col min="6639" max="6639" width="9" style="161"/>
    <col min="6640" max="6640" width="6.5703125" style="161" customWidth="1"/>
    <col min="6641" max="6641" width="79.5703125" style="161" customWidth="1"/>
    <col min="6642" max="6642" width="23.5703125" style="161" customWidth="1"/>
    <col min="6643" max="6643" width="27.85546875" style="161" customWidth="1"/>
    <col min="6644" max="6644" width="22.28515625" style="161" customWidth="1"/>
    <col min="6645" max="6645" width="23.5703125" style="161" customWidth="1"/>
    <col min="6646" max="6646" width="39" style="161" customWidth="1"/>
    <col min="6647" max="6647" width="36.42578125" style="161" customWidth="1"/>
    <col min="6648" max="6648" width="8" style="161" customWidth="1"/>
    <col min="6649" max="6649" width="15.5703125" style="161" customWidth="1"/>
    <col min="6650" max="6650" width="17.28515625" style="161" customWidth="1"/>
    <col min="6651" max="6651" width="18.85546875" style="161" customWidth="1"/>
    <col min="6652" max="6652" width="81" style="161" customWidth="1"/>
    <col min="6653" max="6653" width="14.85546875" style="161" customWidth="1"/>
    <col min="6654" max="6654" width="15.7109375" style="161" customWidth="1"/>
    <col min="6655" max="6655" width="17.5703125" style="161" customWidth="1"/>
    <col min="6656" max="6656" width="18.42578125" style="161" customWidth="1"/>
    <col min="6657" max="6657" width="16.5703125" style="161" customWidth="1"/>
    <col min="6658" max="6658" width="17.7109375" style="161" customWidth="1"/>
    <col min="6659" max="6659" width="17.85546875" style="161" customWidth="1"/>
    <col min="6660" max="6660" width="18.42578125" style="161" customWidth="1"/>
    <col min="6661" max="6661" width="15.42578125" style="161" customWidth="1"/>
    <col min="6662" max="6662" width="14.5703125" style="161" customWidth="1"/>
    <col min="6663" max="6663" width="15" style="161" customWidth="1"/>
    <col min="6664" max="6664" width="6.7109375" style="161" customWidth="1"/>
    <col min="6665" max="6665" width="14.28515625" style="161" customWidth="1"/>
    <col min="6666" max="6666" width="17.5703125" style="161" customWidth="1"/>
    <col min="6667" max="6667" width="27.7109375" style="161" customWidth="1"/>
    <col min="6668" max="6670" width="9.140625" style="161" customWidth="1"/>
    <col min="6671" max="6671" width="14.85546875" style="161" customWidth="1"/>
    <col min="6672" max="6672" width="13.85546875" style="161" customWidth="1"/>
    <col min="6673" max="6894" width="9.140625" style="161" customWidth="1"/>
    <col min="6895" max="6895" width="9" style="161"/>
    <col min="6896" max="6896" width="6.5703125" style="161" customWidth="1"/>
    <col min="6897" max="6897" width="79.5703125" style="161" customWidth="1"/>
    <col min="6898" max="6898" width="23.5703125" style="161" customWidth="1"/>
    <col min="6899" max="6899" width="27.85546875" style="161" customWidth="1"/>
    <col min="6900" max="6900" width="22.28515625" style="161" customWidth="1"/>
    <col min="6901" max="6901" width="23.5703125" style="161" customWidth="1"/>
    <col min="6902" max="6902" width="39" style="161" customWidth="1"/>
    <col min="6903" max="6903" width="36.42578125" style="161" customWidth="1"/>
    <col min="6904" max="6904" width="8" style="161" customWidth="1"/>
    <col min="6905" max="6905" width="15.5703125" style="161" customWidth="1"/>
    <col min="6906" max="6906" width="17.28515625" style="161" customWidth="1"/>
    <col min="6907" max="6907" width="18.85546875" style="161" customWidth="1"/>
    <col min="6908" max="6908" width="81" style="161" customWidth="1"/>
    <col min="6909" max="6909" width="14.85546875" style="161" customWidth="1"/>
    <col min="6910" max="6910" width="15.7109375" style="161" customWidth="1"/>
    <col min="6911" max="6911" width="17.5703125" style="161" customWidth="1"/>
    <col min="6912" max="6912" width="18.42578125" style="161" customWidth="1"/>
    <col min="6913" max="6913" width="16.5703125" style="161" customWidth="1"/>
    <col min="6914" max="6914" width="17.7109375" style="161" customWidth="1"/>
    <col min="6915" max="6915" width="17.85546875" style="161" customWidth="1"/>
    <col min="6916" max="6916" width="18.42578125" style="161" customWidth="1"/>
    <col min="6917" max="6917" width="15.42578125" style="161" customWidth="1"/>
    <col min="6918" max="6918" width="14.5703125" style="161" customWidth="1"/>
    <col min="6919" max="6919" width="15" style="161" customWidth="1"/>
    <col min="6920" max="6920" width="6.7109375" style="161" customWidth="1"/>
    <col min="6921" max="6921" width="14.28515625" style="161" customWidth="1"/>
    <col min="6922" max="6922" width="17.5703125" style="161" customWidth="1"/>
    <col min="6923" max="6923" width="27.7109375" style="161" customWidth="1"/>
    <col min="6924" max="6926" width="9.140625" style="161" customWidth="1"/>
    <col min="6927" max="6927" width="14.85546875" style="161" customWidth="1"/>
    <col min="6928" max="6928" width="13.85546875" style="161" customWidth="1"/>
    <col min="6929" max="7150" width="9.140625" style="161" customWidth="1"/>
    <col min="7151" max="7151" width="9" style="161"/>
    <col min="7152" max="7152" width="6.5703125" style="161" customWidth="1"/>
    <col min="7153" max="7153" width="79.5703125" style="161" customWidth="1"/>
    <col min="7154" max="7154" width="23.5703125" style="161" customWidth="1"/>
    <col min="7155" max="7155" width="27.85546875" style="161" customWidth="1"/>
    <col min="7156" max="7156" width="22.28515625" style="161" customWidth="1"/>
    <col min="7157" max="7157" width="23.5703125" style="161" customWidth="1"/>
    <col min="7158" max="7158" width="39" style="161" customWidth="1"/>
    <col min="7159" max="7159" width="36.42578125" style="161" customWidth="1"/>
    <col min="7160" max="7160" width="8" style="161" customWidth="1"/>
    <col min="7161" max="7161" width="15.5703125" style="161" customWidth="1"/>
    <col min="7162" max="7162" width="17.28515625" style="161" customWidth="1"/>
    <col min="7163" max="7163" width="18.85546875" style="161" customWidth="1"/>
    <col min="7164" max="7164" width="81" style="161" customWidth="1"/>
    <col min="7165" max="7165" width="14.85546875" style="161" customWidth="1"/>
    <col min="7166" max="7166" width="15.7109375" style="161" customWidth="1"/>
    <col min="7167" max="7167" width="17.5703125" style="161" customWidth="1"/>
    <col min="7168" max="7168" width="18.42578125" style="161" customWidth="1"/>
    <col min="7169" max="7169" width="16.5703125" style="161" customWidth="1"/>
    <col min="7170" max="7170" width="17.7109375" style="161" customWidth="1"/>
    <col min="7171" max="7171" width="17.85546875" style="161" customWidth="1"/>
    <col min="7172" max="7172" width="18.42578125" style="161" customWidth="1"/>
    <col min="7173" max="7173" width="15.42578125" style="161" customWidth="1"/>
    <col min="7174" max="7174" width="14.5703125" style="161" customWidth="1"/>
    <col min="7175" max="7175" width="15" style="161" customWidth="1"/>
    <col min="7176" max="7176" width="6.7109375" style="161" customWidth="1"/>
    <col min="7177" max="7177" width="14.28515625" style="161" customWidth="1"/>
    <col min="7178" max="7178" width="17.5703125" style="161" customWidth="1"/>
    <col min="7179" max="7179" width="27.7109375" style="161" customWidth="1"/>
    <col min="7180" max="7182" width="9.140625" style="161" customWidth="1"/>
    <col min="7183" max="7183" width="14.85546875" style="161" customWidth="1"/>
    <col min="7184" max="7184" width="13.85546875" style="161" customWidth="1"/>
    <col min="7185" max="7406" width="9.140625" style="161" customWidth="1"/>
    <col min="7407" max="7407" width="9" style="161"/>
    <col min="7408" max="7408" width="6.5703125" style="161" customWidth="1"/>
    <col min="7409" max="7409" width="79.5703125" style="161" customWidth="1"/>
    <col min="7410" max="7410" width="23.5703125" style="161" customWidth="1"/>
    <col min="7411" max="7411" width="27.85546875" style="161" customWidth="1"/>
    <col min="7412" max="7412" width="22.28515625" style="161" customWidth="1"/>
    <col min="7413" max="7413" width="23.5703125" style="161" customWidth="1"/>
    <col min="7414" max="7414" width="39" style="161" customWidth="1"/>
    <col min="7415" max="7415" width="36.42578125" style="161" customWidth="1"/>
    <col min="7416" max="7416" width="8" style="161" customWidth="1"/>
    <col min="7417" max="7417" width="15.5703125" style="161" customWidth="1"/>
    <col min="7418" max="7418" width="17.28515625" style="161" customWidth="1"/>
    <col min="7419" max="7419" width="18.85546875" style="161" customWidth="1"/>
    <col min="7420" max="7420" width="81" style="161" customWidth="1"/>
    <col min="7421" max="7421" width="14.85546875" style="161" customWidth="1"/>
    <col min="7422" max="7422" width="15.7109375" style="161" customWidth="1"/>
    <col min="7423" max="7423" width="17.5703125" style="161" customWidth="1"/>
    <col min="7424" max="7424" width="18.42578125" style="161" customWidth="1"/>
    <col min="7425" max="7425" width="16.5703125" style="161" customWidth="1"/>
    <col min="7426" max="7426" width="17.7109375" style="161" customWidth="1"/>
    <col min="7427" max="7427" width="17.85546875" style="161" customWidth="1"/>
    <col min="7428" max="7428" width="18.42578125" style="161" customWidth="1"/>
    <col min="7429" max="7429" width="15.42578125" style="161" customWidth="1"/>
    <col min="7430" max="7430" width="14.5703125" style="161" customWidth="1"/>
    <col min="7431" max="7431" width="15" style="161" customWidth="1"/>
    <col min="7432" max="7432" width="6.7109375" style="161" customWidth="1"/>
    <col min="7433" max="7433" width="14.28515625" style="161" customWidth="1"/>
    <col min="7434" max="7434" width="17.5703125" style="161" customWidth="1"/>
    <col min="7435" max="7435" width="27.7109375" style="161" customWidth="1"/>
    <col min="7436" max="7438" width="9.140625" style="161" customWidth="1"/>
    <col min="7439" max="7439" width="14.85546875" style="161" customWidth="1"/>
    <col min="7440" max="7440" width="13.85546875" style="161" customWidth="1"/>
    <col min="7441" max="7662" width="9.140625" style="161" customWidth="1"/>
    <col min="7663" max="7663" width="9" style="161"/>
    <col min="7664" max="7664" width="6.5703125" style="161" customWidth="1"/>
    <col min="7665" max="7665" width="79.5703125" style="161" customWidth="1"/>
    <col min="7666" max="7666" width="23.5703125" style="161" customWidth="1"/>
    <col min="7667" max="7667" width="27.85546875" style="161" customWidth="1"/>
    <col min="7668" max="7668" width="22.28515625" style="161" customWidth="1"/>
    <col min="7669" max="7669" width="23.5703125" style="161" customWidth="1"/>
    <col min="7670" max="7670" width="39" style="161" customWidth="1"/>
    <col min="7671" max="7671" width="36.42578125" style="161" customWidth="1"/>
    <col min="7672" max="7672" width="8" style="161" customWidth="1"/>
    <col min="7673" max="7673" width="15.5703125" style="161" customWidth="1"/>
    <col min="7674" max="7674" width="17.28515625" style="161" customWidth="1"/>
    <col min="7675" max="7675" width="18.85546875" style="161" customWidth="1"/>
    <col min="7676" max="7676" width="81" style="161" customWidth="1"/>
    <col min="7677" max="7677" width="14.85546875" style="161" customWidth="1"/>
    <col min="7678" max="7678" width="15.7109375" style="161" customWidth="1"/>
    <col min="7679" max="7679" width="17.5703125" style="161" customWidth="1"/>
    <col min="7680" max="7680" width="18.42578125" style="161" customWidth="1"/>
    <col min="7681" max="7681" width="16.5703125" style="161" customWidth="1"/>
    <col min="7682" max="7682" width="17.7109375" style="161" customWidth="1"/>
    <col min="7683" max="7683" width="17.85546875" style="161" customWidth="1"/>
    <col min="7684" max="7684" width="18.42578125" style="161" customWidth="1"/>
    <col min="7685" max="7685" width="15.42578125" style="161" customWidth="1"/>
    <col min="7686" max="7686" width="14.5703125" style="161" customWidth="1"/>
    <col min="7687" max="7687" width="15" style="161" customWidth="1"/>
    <col min="7688" max="7688" width="6.7109375" style="161" customWidth="1"/>
    <col min="7689" max="7689" width="14.28515625" style="161" customWidth="1"/>
    <col min="7690" max="7690" width="17.5703125" style="161" customWidth="1"/>
    <col min="7691" max="7691" width="27.7109375" style="161" customWidth="1"/>
    <col min="7692" max="7694" width="9.140625" style="161" customWidth="1"/>
    <col min="7695" max="7695" width="14.85546875" style="161" customWidth="1"/>
    <col min="7696" max="7696" width="13.85546875" style="161" customWidth="1"/>
    <col min="7697" max="7918" width="9.140625" style="161" customWidth="1"/>
    <col min="7919" max="7919" width="9" style="161"/>
    <col min="7920" max="7920" width="6.5703125" style="161" customWidth="1"/>
    <col min="7921" max="7921" width="79.5703125" style="161" customWidth="1"/>
    <col min="7922" max="7922" width="23.5703125" style="161" customWidth="1"/>
    <col min="7923" max="7923" width="27.85546875" style="161" customWidth="1"/>
    <col min="7924" max="7924" width="22.28515625" style="161" customWidth="1"/>
    <col min="7925" max="7925" width="23.5703125" style="161" customWidth="1"/>
    <col min="7926" max="7926" width="39" style="161" customWidth="1"/>
    <col min="7927" max="7927" width="36.42578125" style="161" customWidth="1"/>
    <col min="7928" max="7928" width="8" style="161" customWidth="1"/>
    <col min="7929" max="7929" width="15.5703125" style="161" customWidth="1"/>
    <col min="7930" max="7930" width="17.28515625" style="161" customWidth="1"/>
    <col min="7931" max="7931" width="18.85546875" style="161" customWidth="1"/>
    <col min="7932" max="7932" width="81" style="161" customWidth="1"/>
    <col min="7933" max="7933" width="14.85546875" style="161" customWidth="1"/>
    <col min="7934" max="7934" width="15.7109375" style="161" customWidth="1"/>
    <col min="7935" max="7935" width="17.5703125" style="161" customWidth="1"/>
    <col min="7936" max="7936" width="18.42578125" style="161" customWidth="1"/>
    <col min="7937" max="7937" width="16.5703125" style="161" customWidth="1"/>
    <col min="7938" max="7938" width="17.7109375" style="161" customWidth="1"/>
    <col min="7939" max="7939" width="17.85546875" style="161" customWidth="1"/>
    <col min="7940" max="7940" width="18.42578125" style="161" customWidth="1"/>
    <col min="7941" max="7941" width="15.42578125" style="161" customWidth="1"/>
    <col min="7942" max="7942" width="14.5703125" style="161" customWidth="1"/>
    <col min="7943" max="7943" width="15" style="161" customWidth="1"/>
    <col min="7944" max="7944" width="6.7109375" style="161" customWidth="1"/>
    <col min="7945" max="7945" width="14.28515625" style="161" customWidth="1"/>
    <col min="7946" max="7946" width="17.5703125" style="161" customWidth="1"/>
    <col min="7947" max="7947" width="27.7109375" style="161" customWidth="1"/>
    <col min="7948" max="7950" width="9.140625" style="161" customWidth="1"/>
    <col min="7951" max="7951" width="14.85546875" style="161" customWidth="1"/>
    <col min="7952" max="7952" width="13.85546875" style="161" customWidth="1"/>
    <col min="7953" max="8174" width="9.140625" style="161" customWidth="1"/>
    <col min="8175" max="8175" width="9" style="161"/>
    <col min="8176" max="8176" width="6.5703125" style="161" customWidth="1"/>
    <col min="8177" max="8177" width="79.5703125" style="161" customWidth="1"/>
    <col min="8178" max="8178" width="23.5703125" style="161" customWidth="1"/>
    <col min="8179" max="8179" width="27.85546875" style="161" customWidth="1"/>
    <col min="8180" max="8180" width="22.28515625" style="161" customWidth="1"/>
    <col min="8181" max="8181" width="23.5703125" style="161" customWidth="1"/>
    <col min="8182" max="8182" width="39" style="161" customWidth="1"/>
    <col min="8183" max="8183" width="36.42578125" style="161" customWidth="1"/>
    <col min="8184" max="8184" width="8" style="161" customWidth="1"/>
    <col min="8185" max="8185" width="15.5703125" style="161" customWidth="1"/>
    <col min="8186" max="8186" width="17.28515625" style="161" customWidth="1"/>
    <col min="8187" max="8187" width="18.85546875" style="161" customWidth="1"/>
    <col min="8188" max="8188" width="81" style="161" customWidth="1"/>
    <col min="8189" max="8189" width="14.85546875" style="161" customWidth="1"/>
    <col min="8190" max="8190" width="15.7109375" style="161" customWidth="1"/>
    <col min="8191" max="8191" width="17.5703125" style="161" customWidth="1"/>
    <col min="8192" max="8192" width="18.42578125" style="161" customWidth="1"/>
    <col min="8193" max="8193" width="16.5703125" style="161" customWidth="1"/>
    <col min="8194" max="8194" width="17.7109375" style="161" customWidth="1"/>
    <col min="8195" max="8195" width="17.85546875" style="161" customWidth="1"/>
    <col min="8196" max="8196" width="18.42578125" style="161" customWidth="1"/>
    <col min="8197" max="8197" width="15.42578125" style="161" customWidth="1"/>
    <col min="8198" max="8198" width="14.5703125" style="161" customWidth="1"/>
    <col min="8199" max="8199" width="15" style="161" customWidth="1"/>
    <col min="8200" max="8200" width="6.7109375" style="161" customWidth="1"/>
    <col min="8201" max="8201" width="14.28515625" style="161" customWidth="1"/>
    <col min="8202" max="8202" width="17.5703125" style="161" customWidth="1"/>
    <col min="8203" max="8203" width="27.7109375" style="161" customWidth="1"/>
    <col min="8204" max="8206" width="9.140625" style="161" customWidth="1"/>
    <col min="8207" max="8207" width="14.85546875" style="161" customWidth="1"/>
    <col min="8208" max="8208" width="13.85546875" style="161" customWidth="1"/>
    <col min="8209" max="8430" width="9.140625" style="161" customWidth="1"/>
    <col min="8431" max="8431" width="9" style="161"/>
    <col min="8432" max="8432" width="6.5703125" style="161" customWidth="1"/>
    <col min="8433" max="8433" width="79.5703125" style="161" customWidth="1"/>
    <col min="8434" max="8434" width="23.5703125" style="161" customWidth="1"/>
    <col min="8435" max="8435" width="27.85546875" style="161" customWidth="1"/>
    <col min="8436" max="8436" width="22.28515625" style="161" customWidth="1"/>
    <col min="8437" max="8437" width="23.5703125" style="161" customWidth="1"/>
    <col min="8438" max="8438" width="39" style="161" customWidth="1"/>
    <col min="8439" max="8439" width="36.42578125" style="161" customWidth="1"/>
    <col min="8440" max="8440" width="8" style="161" customWidth="1"/>
    <col min="8441" max="8441" width="15.5703125" style="161" customWidth="1"/>
    <col min="8442" max="8442" width="17.28515625" style="161" customWidth="1"/>
    <col min="8443" max="8443" width="18.85546875" style="161" customWidth="1"/>
    <col min="8444" max="8444" width="81" style="161" customWidth="1"/>
    <col min="8445" max="8445" width="14.85546875" style="161" customWidth="1"/>
    <col min="8446" max="8446" width="15.7109375" style="161" customWidth="1"/>
    <col min="8447" max="8447" width="17.5703125" style="161" customWidth="1"/>
    <col min="8448" max="8448" width="18.42578125" style="161" customWidth="1"/>
    <col min="8449" max="8449" width="16.5703125" style="161" customWidth="1"/>
    <col min="8450" max="8450" width="17.7109375" style="161" customWidth="1"/>
    <col min="8451" max="8451" width="17.85546875" style="161" customWidth="1"/>
    <col min="8452" max="8452" width="18.42578125" style="161" customWidth="1"/>
    <col min="8453" max="8453" width="15.42578125" style="161" customWidth="1"/>
    <col min="8454" max="8454" width="14.5703125" style="161" customWidth="1"/>
    <col min="8455" max="8455" width="15" style="161" customWidth="1"/>
    <col min="8456" max="8456" width="6.7109375" style="161" customWidth="1"/>
    <col min="8457" max="8457" width="14.28515625" style="161" customWidth="1"/>
    <col min="8458" max="8458" width="17.5703125" style="161" customWidth="1"/>
    <col min="8459" max="8459" width="27.7109375" style="161" customWidth="1"/>
    <col min="8460" max="8462" width="9.140625" style="161" customWidth="1"/>
    <col min="8463" max="8463" width="14.85546875" style="161" customWidth="1"/>
    <col min="8464" max="8464" width="13.85546875" style="161" customWidth="1"/>
    <col min="8465" max="8686" width="9.140625" style="161" customWidth="1"/>
    <col min="8687" max="8687" width="9" style="161"/>
    <col min="8688" max="8688" width="6.5703125" style="161" customWidth="1"/>
    <col min="8689" max="8689" width="79.5703125" style="161" customWidth="1"/>
    <col min="8690" max="8690" width="23.5703125" style="161" customWidth="1"/>
    <col min="8691" max="8691" width="27.85546875" style="161" customWidth="1"/>
    <col min="8692" max="8692" width="22.28515625" style="161" customWidth="1"/>
    <col min="8693" max="8693" width="23.5703125" style="161" customWidth="1"/>
    <col min="8694" max="8694" width="39" style="161" customWidth="1"/>
    <col min="8695" max="8695" width="36.42578125" style="161" customWidth="1"/>
    <col min="8696" max="8696" width="8" style="161" customWidth="1"/>
    <col min="8697" max="8697" width="15.5703125" style="161" customWidth="1"/>
    <col min="8698" max="8698" width="17.28515625" style="161" customWidth="1"/>
    <col min="8699" max="8699" width="18.85546875" style="161" customWidth="1"/>
    <col min="8700" max="8700" width="81" style="161" customWidth="1"/>
    <col min="8701" max="8701" width="14.85546875" style="161" customWidth="1"/>
    <col min="8702" max="8702" width="15.7109375" style="161" customWidth="1"/>
    <col min="8703" max="8703" width="17.5703125" style="161" customWidth="1"/>
    <col min="8704" max="8704" width="18.42578125" style="161" customWidth="1"/>
    <col min="8705" max="8705" width="16.5703125" style="161" customWidth="1"/>
    <col min="8706" max="8706" width="17.7109375" style="161" customWidth="1"/>
    <col min="8707" max="8707" width="17.85546875" style="161" customWidth="1"/>
    <col min="8708" max="8708" width="18.42578125" style="161" customWidth="1"/>
    <col min="8709" max="8709" width="15.42578125" style="161" customWidth="1"/>
    <col min="8710" max="8710" width="14.5703125" style="161" customWidth="1"/>
    <col min="8711" max="8711" width="15" style="161" customWidth="1"/>
    <col min="8712" max="8712" width="6.7109375" style="161" customWidth="1"/>
    <col min="8713" max="8713" width="14.28515625" style="161" customWidth="1"/>
    <col min="8714" max="8714" width="17.5703125" style="161" customWidth="1"/>
    <col min="8715" max="8715" width="27.7109375" style="161" customWidth="1"/>
    <col min="8716" max="8718" width="9.140625" style="161" customWidth="1"/>
    <col min="8719" max="8719" width="14.85546875" style="161" customWidth="1"/>
    <col min="8720" max="8720" width="13.85546875" style="161" customWidth="1"/>
    <col min="8721" max="8942" width="9.140625" style="161" customWidth="1"/>
    <col min="8943" max="8943" width="9" style="161"/>
    <col min="8944" max="8944" width="6.5703125" style="161" customWidth="1"/>
    <col min="8945" max="8945" width="79.5703125" style="161" customWidth="1"/>
    <col min="8946" max="8946" width="23.5703125" style="161" customWidth="1"/>
    <col min="8947" max="8947" width="27.85546875" style="161" customWidth="1"/>
    <col min="8948" max="8948" width="22.28515625" style="161" customWidth="1"/>
    <col min="8949" max="8949" width="23.5703125" style="161" customWidth="1"/>
    <col min="8950" max="8950" width="39" style="161" customWidth="1"/>
    <col min="8951" max="8951" width="36.42578125" style="161" customWidth="1"/>
    <col min="8952" max="8952" width="8" style="161" customWidth="1"/>
    <col min="8953" max="8953" width="15.5703125" style="161" customWidth="1"/>
    <col min="8954" max="8954" width="17.28515625" style="161" customWidth="1"/>
    <col min="8955" max="8955" width="18.85546875" style="161" customWidth="1"/>
    <col min="8956" max="8956" width="81" style="161" customWidth="1"/>
    <col min="8957" max="8957" width="14.85546875" style="161" customWidth="1"/>
    <col min="8958" max="8958" width="15.7109375" style="161" customWidth="1"/>
    <col min="8959" max="8959" width="17.5703125" style="161" customWidth="1"/>
    <col min="8960" max="8960" width="18.42578125" style="161" customWidth="1"/>
    <col min="8961" max="8961" width="16.5703125" style="161" customWidth="1"/>
    <col min="8962" max="8962" width="17.7109375" style="161" customWidth="1"/>
    <col min="8963" max="8963" width="17.85546875" style="161" customWidth="1"/>
    <col min="8964" max="8964" width="18.42578125" style="161" customWidth="1"/>
    <col min="8965" max="8965" width="15.42578125" style="161" customWidth="1"/>
    <col min="8966" max="8966" width="14.5703125" style="161" customWidth="1"/>
    <col min="8967" max="8967" width="15" style="161" customWidth="1"/>
    <col min="8968" max="8968" width="6.7109375" style="161" customWidth="1"/>
    <col min="8969" max="8969" width="14.28515625" style="161" customWidth="1"/>
    <col min="8970" max="8970" width="17.5703125" style="161" customWidth="1"/>
    <col min="8971" max="8971" width="27.7109375" style="161" customWidth="1"/>
    <col min="8972" max="8974" width="9.140625" style="161" customWidth="1"/>
    <col min="8975" max="8975" width="14.85546875" style="161" customWidth="1"/>
    <col min="8976" max="8976" width="13.85546875" style="161" customWidth="1"/>
    <col min="8977" max="9198" width="9.140625" style="161" customWidth="1"/>
    <col min="9199" max="9199" width="9" style="161"/>
    <col min="9200" max="9200" width="6.5703125" style="161" customWidth="1"/>
    <col min="9201" max="9201" width="79.5703125" style="161" customWidth="1"/>
    <col min="9202" max="9202" width="23.5703125" style="161" customWidth="1"/>
    <col min="9203" max="9203" width="27.85546875" style="161" customWidth="1"/>
    <col min="9204" max="9204" width="22.28515625" style="161" customWidth="1"/>
    <col min="9205" max="9205" width="23.5703125" style="161" customWidth="1"/>
    <col min="9206" max="9206" width="39" style="161" customWidth="1"/>
    <col min="9207" max="9207" width="36.42578125" style="161" customWidth="1"/>
    <col min="9208" max="9208" width="8" style="161" customWidth="1"/>
    <col min="9209" max="9209" width="15.5703125" style="161" customWidth="1"/>
    <col min="9210" max="9210" width="17.28515625" style="161" customWidth="1"/>
    <col min="9211" max="9211" width="18.85546875" style="161" customWidth="1"/>
    <col min="9212" max="9212" width="81" style="161" customWidth="1"/>
    <col min="9213" max="9213" width="14.85546875" style="161" customWidth="1"/>
    <col min="9214" max="9214" width="15.7109375" style="161" customWidth="1"/>
    <col min="9215" max="9215" width="17.5703125" style="161" customWidth="1"/>
    <col min="9216" max="9216" width="18.42578125" style="161" customWidth="1"/>
    <col min="9217" max="9217" width="16.5703125" style="161" customWidth="1"/>
    <col min="9218" max="9218" width="17.7109375" style="161" customWidth="1"/>
    <col min="9219" max="9219" width="17.85546875" style="161" customWidth="1"/>
    <col min="9220" max="9220" width="18.42578125" style="161" customWidth="1"/>
    <col min="9221" max="9221" width="15.42578125" style="161" customWidth="1"/>
    <col min="9222" max="9222" width="14.5703125" style="161" customWidth="1"/>
    <col min="9223" max="9223" width="15" style="161" customWidth="1"/>
    <col min="9224" max="9224" width="6.7109375" style="161" customWidth="1"/>
    <col min="9225" max="9225" width="14.28515625" style="161" customWidth="1"/>
    <col min="9226" max="9226" width="17.5703125" style="161" customWidth="1"/>
    <col min="9227" max="9227" width="27.7109375" style="161" customWidth="1"/>
    <col min="9228" max="9230" width="9.140625" style="161" customWidth="1"/>
    <col min="9231" max="9231" width="14.85546875" style="161" customWidth="1"/>
    <col min="9232" max="9232" width="13.85546875" style="161" customWidth="1"/>
    <col min="9233" max="9454" width="9.140625" style="161" customWidth="1"/>
    <col min="9455" max="9455" width="9" style="161"/>
    <col min="9456" max="9456" width="6.5703125" style="161" customWidth="1"/>
    <col min="9457" max="9457" width="79.5703125" style="161" customWidth="1"/>
    <col min="9458" max="9458" width="23.5703125" style="161" customWidth="1"/>
    <col min="9459" max="9459" width="27.85546875" style="161" customWidth="1"/>
    <col min="9460" max="9460" width="22.28515625" style="161" customWidth="1"/>
    <col min="9461" max="9461" width="23.5703125" style="161" customWidth="1"/>
    <col min="9462" max="9462" width="39" style="161" customWidth="1"/>
    <col min="9463" max="9463" width="36.42578125" style="161" customWidth="1"/>
    <col min="9464" max="9464" width="8" style="161" customWidth="1"/>
    <col min="9465" max="9465" width="15.5703125" style="161" customWidth="1"/>
    <col min="9466" max="9466" width="17.28515625" style="161" customWidth="1"/>
    <col min="9467" max="9467" width="18.85546875" style="161" customWidth="1"/>
    <col min="9468" max="9468" width="81" style="161" customWidth="1"/>
    <col min="9469" max="9469" width="14.85546875" style="161" customWidth="1"/>
    <col min="9470" max="9470" width="15.7109375" style="161" customWidth="1"/>
    <col min="9471" max="9471" width="17.5703125" style="161" customWidth="1"/>
    <col min="9472" max="9472" width="18.42578125" style="161" customWidth="1"/>
    <col min="9473" max="9473" width="16.5703125" style="161" customWidth="1"/>
    <col min="9474" max="9474" width="17.7109375" style="161" customWidth="1"/>
    <col min="9475" max="9475" width="17.85546875" style="161" customWidth="1"/>
    <col min="9476" max="9476" width="18.42578125" style="161" customWidth="1"/>
    <col min="9477" max="9477" width="15.42578125" style="161" customWidth="1"/>
    <col min="9478" max="9478" width="14.5703125" style="161" customWidth="1"/>
    <col min="9479" max="9479" width="15" style="161" customWidth="1"/>
    <col min="9480" max="9480" width="6.7109375" style="161" customWidth="1"/>
    <col min="9481" max="9481" width="14.28515625" style="161" customWidth="1"/>
    <col min="9482" max="9482" width="17.5703125" style="161" customWidth="1"/>
    <col min="9483" max="9483" width="27.7109375" style="161" customWidth="1"/>
    <col min="9484" max="9486" width="9.140625" style="161" customWidth="1"/>
    <col min="9487" max="9487" width="14.85546875" style="161" customWidth="1"/>
    <col min="9488" max="9488" width="13.85546875" style="161" customWidth="1"/>
    <col min="9489" max="9710" width="9.140625" style="161" customWidth="1"/>
    <col min="9711" max="9711" width="9" style="161"/>
    <col min="9712" max="9712" width="6.5703125" style="161" customWidth="1"/>
    <col min="9713" max="9713" width="79.5703125" style="161" customWidth="1"/>
    <col min="9714" max="9714" width="23.5703125" style="161" customWidth="1"/>
    <col min="9715" max="9715" width="27.85546875" style="161" customWidth="1"/>
    <col min="9716" max="9716" width="22.28515625" style="161" customWidth="1"/>
    <col min="9717" max="9717" width="23.5703125" style="161" customWidth="1"/>
    <col min="9718" max="9718" width="39" style="161" customWidth="1"/>
    <col min="9719" max="9719" width="36.42578125" style="161" customWidth="1"/>
    <col min="9720" max="9720" width="8" style="161" customWidth="1"/>
    <col min="9721" max="9721" width="15.5703125" style="161" customWidth="1"/>
    <col min="9722" max="9722" width="17.28515625" style="161" customWidth="1"/>
    <col min="9723" max="9723" width="18.85546875" style="161" customWidth="1"/>
    <col min="9724" max="9724" width="81" style="161" customWidth="1"/>
    <col min="9725" max="9725" width="14.85546875" style="161" customWidth="1"/>
    <col min="9726" max="9726" width="15.7109375" style="161" customWidth="1"/>
    <col min="9727" max="9727" width="17.5703125" style="161" customWidth="1"/>
    <col min="9728" max="9728" width="18.42578125" style="161" customWidth="1"/>
    <col min="9729" max="9729" width="16.5703125" style="161" customWidth="1"/>
    <col min="9730" max="9730" width="17.7109375" style="161" customWidth="1"/>
    <col min="9731" max="9731" width="17.85546875" style="161" customWidth="1"/>
    <col min="9732" max="9732" width="18.42578125" style="161" customWidth="1"/>
    <col min="9733" max="9733" width="15.42578125" style="161" customWidth="1"/>
    <col min="9734" max="9734" width="14.5703125" style="161" customWidth="1"/>
    <col min="9735" max="9735" width="15" style="161" customWidth="1"/>
    <col min="9736" max="9736" width="6.7109375" style="161" customWidth="1"/>
    <col min="9737" max="9737" width="14.28515625" style="161" customWidth="1"/>
    <col min="9738" max="9738" width="17.5703125" style="161" customWidth="1"/>
    <col min="9739" max="9739" width="27.7109375" style="161" customWidth="1"/>
    <col min="9740" max="9742" width="9.140625" style="161" customWidth="1"/>
    <col min="9743" max="9743" width="14.85546875" style="161" customWidth="1"/>
    <col min="9744" max="9744" width="13.85546875" style="161" customWidth="1"/>
    <col min="9745" max="9966" width="9.140625" style="161" customWidth="1"/>
    <col min="9967" max="9967" width="9" style="161"/>
    <col min="9968" max="9968" width="6.5703125" style="161" customWidth="1"/>
    <col min="9969" max="9969" width="79.5703125" style="161" customWidth="1"/>
    <col min="9970" max="9970" width="23.5703125" style="161" customWidth="1"/>
    <col min="9971" max="9971" width="27.85546875" style="161" customWidth="1"/>
    <col min="9972" max="9972" width="22.28515625" style="161" customWidth="1"/>
    <col min="9973" max="9973" width="23.5703125" style="161" customWidth="1"/>
    <col min="9974" max="9974" width="39" style="161" customWidth="1"/>
    <col min="9975" max="9975" width="36.42578125" style="161" customWidth="1"/>
    <col min="9976" max="9976" width="8" style="161" customWidth="1"/>
    <col min="9977" max="9977" width="15.5703125" style="161" customWidth="1"/>
    <col min="9978" max="9978" width="17.28515625" style="161" customWidth="1"/>
    <col min="9979" max="9979" width="18.85546875" style="161" customWidth="1"/>
    <col min="9980" max="9980" width="81" style="161" customWidth="1"/>
    <col min="9981" max="9981" width="14.85546875" style="161" customWidth="1"/>
    <col min="9982" max="9982" width="15.7109375" style="161" customWidth="1"/>
    <col min="9983" max="9983" width="17.5703125" style="161" customWidth="1"/>
    <col min="9984" max="9984" width="18.42578125" style="161" customWidth="1"/>
    <col min="9985" max="9985" width="16.5703125" style="161" customWidth="1"/>
    <col min="9986" max="9986" width="17.7109375" style="161" customWidth="1"/>
    <col min="9987" max="9987" width="17.85546875" style="161" customWidth="1"/>
    <col min="9988" max="9988" width="18.42578125" style="161" customWidth="1"/>
    <col min="9989" max="9989" width="15.42578125" style="161" customWidth="1"/>
    <col min="9990" max="9990" width="14.5703125" style="161" customWidth="1"/>
    <col min="9991" max="9991" width="15" style="161" customWidth="1"/>
    <col min="9992" max="9992" width="6.7109375" style="161" customWidth="1"/>
    <col min="9993" max="9993" width="14.28515625" style="161" customWidth="1"/>
    <col min="9994" max="9994" width="17.5703125" style="161" customWidth="1"/>
    <col min="9995" max="9995" width="27.7109375" style="161" customWidth="1"/>
    <col min="9996" max="9998" width="9.140625" style="161" customWidth="1"/>
    <col min="9999" max="9999" width="14.85546875" style="161" customWidth="1"/>
    <col min="10000" max="10000" width="13.85546875" style="161" customWidth="1"/>
    <col min="10001" max="10222" width="9.140625" style="161" customWidth="1"/>
    <col min="10223" max="10223" width="9" style="161"/>
    <col min="10224" max="10224" width="6.5703125" style="161" customWidth="1"/>
    <col min="10225" max="10225" width="79.5703125" style="161" customWidth="1"/>
    <col min="10226" max="10226" width="23.5703125" style="161" customWidth="1"/>
    <col min="10227" max="10227" width="27.85546875" style="161" customWidth="1"/>
    <col min="10228" max="10228" width="22.28515625" style="161" customWidth="1"/>
    <col min="10229" max="10229" width="23.5703125" style="161" customWidth="1"/>
    <col min="10230" max="10230" width="39" style="161" customWidth="1"/>
    <col min="10231" max="10231" width="36.42578125" style="161" customWidth="1"/>
    <col min="10232" max="10232" width="8" style="161" customWidth="1"/>
    <col min="10233" max="10233" width="15.5703125" style="161" customWidth="1"/>
    <col min="10234" max="10234" width="17.28515625" style="161" customWidth="1"/>
    <col min="10235" max="10235" width="18.85546875" style="161" customWidth="1"/>
    <col min="10236" max="10236" width="81" style="161" customWidth="1"/>
    <col min="10237" max="10237" width="14.85546875" style="161" customWidth="1"/>
    <col min="10238" max="10238" width="15.7109375" style="161" customWidth="1"/>
    <col min="10239" max="10239" width="17.5703125" style="161" customWidth="1"/>
    <col min="10240" max="10240" width="18.42578125" style="161" customWidth="1"/>
    <col min="10241" max="10241" width="16.5703125" style="161" customWidth="1"/>
    <col min="10242" max="10242" width="17.7109375" style="161" customWidth="1"/>
    <col min="10243" max="10243" width="17.85546875" style="161" customWidth="1"/>
    <col min="10244" max="10244" width="18.42578125" style="161" customWidth="1"/>
    <col min="10245" max="10245" width="15.42578125" style="161" customWidth="1"/>
    <col min="10246" max="10246" width="14.5703125" style="161" customWidth="1"/>
    <col min="10247" max="10247" width="15" style="161" customWidth="1"/>
    <col min="10248" max="10248" width="6.7109375" style="161" customWidth="1"/>
    <col min="10249" max="10249" width="14.28515625" style="161" customWidth="1"/>
    <col min="10250" max="10250" width="17.5703125" style="161" customWidth="1"/>
    <col min="10251" max="10251" width="27.7109375" style="161" customWidth="1"/>
    <col min="10252" max="10254" width="9.140625" style="161" customWidth="1"/>
    <col min="10255" max="10255" width="14.85546875" style="161" customWidth="1"/>
    <col min="10256" max="10256" width="13.85546875" style="161" customWidth="1"/>
    <col min="10257" max="10478" width="9.140625" style="161" customWidth="1"/>
    <col min="10479" max="10479" width="9" style="161"/>
    <col min="10480" max="10480" width="6.5703125" style="161" customWidth="1"/>
    <col min="10481" max="10481" width="79.5703125" style="161" customWidth="1"/>
    <col min="10482" max="10482" width="23.5703125" style="161" customWidth="1"/>
    <col min="10483" max="10483" width="27.85546875" style="161" customWidth="1"/>
    <col min="10484" max="10484" width="22.28515625" style="161" customWidth="1"/>
    <col min="10485" max="10485" width="23.5703125" style="161" customWidth="1"/>
    <col min="10486" max="10486" width="39" style="161" customWidth="1"/>
    <col min="10487" max="10487" width="36.42578125" style="161" customWidth="1"/>
    <col min="10488" max="10488" width="8" style="161" customWidth="1"/>
    <col min="10489" max="10489" width="15.5703125" style="161" customWidth="1"/>
    <col min="10490" max="10490" width="17.28515625" style="161" customWidth="1"/>
    <col min="10491" max="10491" width="18.85546875" style="161" customWidth="1"/>
    <col min="10492" max="10492" width="81" style="161" customWidth="1"/>
    <col min="10493" max="10493" width="14.85546875" style="161" customWidth="1"/>
    <col min="10494" max="10494" width="15.7109375" style="161" customWidth="1"/>
    <col min="10495" max="10495" width="17.5703125" style="161" customWidth="1"/>
    <col min="10496" max="10496" width="18.42578125" style="161" customWidth="1"/>
    <col min="10497" max="10497" width="16.5703125" style="161" customWidth="1"/>
    <col min="10498" max="10498" width="17.7109375" style="161" customWidth="1"/>
    <col min="10499" max="10499" width="17.85546875" style="161" customWidth="1"/>
    <col min="10500" max="10500" width="18.42578125" style="161" customWidth="1"/>
    <col min="10501" max="10501" width="15.42578125" style="161" customWidth="1"/>
    <col min="10502" max="10502" width="14.5703125" style="161" customWidth="1"/>
    <col min="10503" max="10503" width="15" style="161" customWidth="1"/>
    <col min="10504" max="10504" width="6.7109375" style="161" customWidth="1"/>
    <col min="10505" max="10505" width="14.28515625" style="161" customWidth="1"/>
    <col min="10506" max="10506" width="17.5703125" style="161" customWidth="1"/>
    <col min="10507" max="10507" width="27.7109375" style="161" customWidth="1"/>
    <col min="10508" max="10510" width="9.140625" style="161" customWidth="1"/>
    <col min="10511" max="10511" width="14.85546875" style="161" customWidth="1"/>
    <col min="10512" max="10512" width="13.85546875" style="161" customWidth="1"/>
    <col min="10513" max="10734" width="9.140625" style="161" customWidth="1"/>
    <col min="10735" max="10735" width="9" style="161"/>
    <col min="10736" max="10736" width="6.5703125" style="161" customWidth="1"/>
    <col min="10737" max="10737" width="79.5703125" style="161" customWidth="1"/>
    <col min="10738" max="10738" width="23.5703125" style="161" customWidth="1"/>
    <col min="10739" max="10739" width="27.85546875" style="161" customWidth="1"/>
    <col min="10740" max="10740" width="22.28515625" style="161" customWidth="1"/>
    <col min="10741" max="10741" width="23.5703125" style="161" customWidth="1"/>
    <col min="10742" max="10742" width="39" style="161" customWidth="1"/>
    <col min="10743" max="10743" width="36.42578125" style="161" customWidth="1"/>
    <col min="10744" max="10744" width="8" style="161" customWidth="1"/>
    <col min="10745" max="10745" width="15.5703125" style="161" customWidth="1"/>
    <col min="10746" max="10746" width="17.28515625" style="161" customWidth="1"/>
    <col min="10747" max="10747" width="18.85546875" style="161" customWidth="1"/>
    <col min="10748" max="10748" width="81" style="161" customWidth="1"/>
    <col min="10749" max="10749" width="14.85546875" style="161" customWidth="1"/>
    <col min="10750" max="10750" width="15.7109375" style="161" customWidth="1"/>
    <col min="10751" max="10751" width="17.5703125" style="161" customWidth="1"/>
    <col min="10752" max="10752" width="18.42578125" style="161" customWidth="1"/>
    <col min="10753" max="10753" width="16.5703125" style="161" customWidth="1"/>
    <col min="10754" max="10754" width="17.7109375" style="161" customWidth="1"/>
    <col min="10755" max="10755" width="17.85546875" style="161" customWidth="1"/>
    <col min="10756" max="10756" width="18.42578125" style="161" customWidth="1"/>
    <col min="10757" max="10757" width="15.42578125" style="161" customWidth="1"/>
    <col min="10758" max="10758" width="14.5703125" style="161" customWidth="1"/>
    <col min="10759" max="10759" width="15" style="161" customWidth="1"/>
    <col min="10760" max="10760" width="6.7109375" style="161" customWidth="1"/>
    <col min="10761" max="10761" width="14.28515625" style="161" customWidth="1"/>
    <col min="10762" max="10762" width="17.5703125" style="161" customWidth="1"/>
    <col min="10763" max="10763" width="27.7109375" style="161" customWidth="1"/>
    <col min="10764" max="10766" width="9.140625" style="161" customWidth="1"/>
    <col min="10767" max="10767" width="14.85546875" style="161" customWidth="1"/>
    <col min="10768" max="10768" width="13.85546875" style="161" customWidth="1"/>
    <col min="10769" max="10990" width="9.140625" style="161" customWidth="1"/>
    <col min="10991" max="10991" width="9" style="161"/>
    <col min="10992" max="10992" width="6.5703125" style="161" customWidth="1"/>
    <col min="10993" max="10993" width="79.5703125" style="161" customWidth="1"/>
    <col min="10994" max="10994" width="23.5703125" style="161" customWidth="1"/>
    <col min="10995" max="10995" width="27.85546875" style="161" customWidth="1"/>
    <col min="10996" max="10996" width="22.28515625" style="161" customWidth="1"/>
    <col min="10997" max="10997" width="23.5703125" style="161" customWidth="1"/>
    <col min="10998" max="10998" width="39" style="161" customWidth="1"/>
    <col min="10999" max="10999" width="36.42578125" style="161" customWidth="1"/>
    <col min="11000" max="11000" width="8" style="161" customWidth="1"/>
    <col min="11001" max="11001" width="15.5703125" style="161" customWidth="1"/>
    <col min="11002" max="11002" width="17.28515625" style="161" customWidth="1"/>
    <col min="11003" max="11003" width="18.85546875" style="161" customWidth="1"/>
    <col min="11004" max="11004" width="81" style="161" customWidth="1"/>
    <col min="11005" max="11005" width="14.85546875" style="161" customWidth="1"/>
    <col min="11006" max="11006" width="15.7109375" style="161" customWidth="1"/>
    <col min="11007" max="11007" width="17.5703125" style="161" customWidth="1"/>
    <col min="11008" max="11008" width="18.42578125" style="161" customWidth="1"/>
    <col min="11009" max="11009" width="16.5703125" style="161" customWidth="1"/>
    <col min="11010" max="11010" width="17.7109375" style="161" customWidth="1"/>
    <col min="11011" max="11011" width="17.85546875" style="161" customWidth="1"/>
    <col min="11012" max="11012" width="18.42578125" style="161" customWidth="1"/>
    <col min="11013" max="11013" width="15.42578125" style="161" customWidth="1"/>
    <col min="11014" max="11014" width="14.5703125" style="161" customWidth="1"/>
    <col min="11015" max="11015" width="15" style="161" customWidth="1"/>
    <col min="11016" max="11016" width="6.7109375" style="161" customWidth="1"/>
    <col min="11017" max="11017" width="14.28515625" style="161" customWidth="1"/>
    <col min="11018" max="11018" width="17.5703125" style="161" customWidth="1"/>
    <col min="11019" max="11019" width="27.7109375" style="161" customWidth="1"/>
    <col min="11020" max="11022" width="9.140625" style="161" customWidth="1"/>
    <col min="11023" max="11023" width="14.85546875" style="161" customWidth="1"/>
    <col min="11024" max="11024" width="13.85546875" style="161" customWidth="1"/>
    <col min="11025" max="11246" width="9.140625" style="161" customWidth="1"/>
    <col min="11247" max="11247" width="9" style="161"/>
    <col min="11248" max="11248" width="6.5703125" style="161" customWidth="1"/>
    <col min="11249" max="11249" width="79.5703125" style="161" customWidth="1"/>
    <col min="11250" max="11250" width="23.5703125" style="161" customWidth="1"/>
    <col min="11251" max="11251" width="27.85546875" style="161" customWidth="1"/>
    <col min="11252" max="11252" width="22.28515625" style="161" customWidth="1"/>
    <col min="11253" max="11253" width="23.5703125" style="161" customWidth="1"/>
    <col min="11254" max="11254" width="39" style="161" customWidth="1"/>
    <col min="11255" max="11255" width="36.42578125" style="161" customWidth="1"/>
    <col min="11256" max="11256" width="8" style="161" customWidth="1"/>
    <col min="11257" max="11257" width="15.5703125" style="161" customWidth="1"/>
    <col min="11258" max="11258" width="17.28515625" style="161" customWidth="1"/>
    <col min="11259" max="11259" width="18.85546875" style="161" customWidth="1"/>
    <col min="11260" max="11260" width="81" style="161" customWidth="1"/>
    <col min="11261" max="11261" width="14.85546875" style="161" customWidth="1"/>
    <col min="11262" max="11262" width="15.7109375" style="161" customWidth="1"/>
    <col min="11263" max="11263" width="17.5703125" style="161" customWidth="1"/>
    <col min="11264" max="11264" width="18.42578125" style="161" customWidth="1"/>
    <col min="11265" max="11265" width="16.5703125" style="161" customWidth="1"/>
    <col min="11266" max="11266" width="17.7109375" style="161" customWidth="1"/>
    <col min="11267" max="11267" width="17.85546875" style="161" customWidth="1"/>
    <col min="11268" max="11268" width="18.42578125" style="161" customWidth="1"/>
    <col min="11269" max="11269" width="15.42578125" style="161" customWidth="1"/>
    <col min="11270" max="11270" width="14.5703125" style="161" customWidth="1"/>
    <col min="11271" max="11271" width="15" style="161" customWidth="1"/>
    <col min="11272" max="11272" width="6.7109375" style="161" customWidth="1"/>
    <col min="11273" max="11273" width="14.28515625" style="161" customWidth="1"/>
    <col min="11274" max="11274" width="17.5703125" style="161" customWidth="1"/>
    <col min="11275" max="11275" width="27.7109375" style="161" customWidth="1"/>
    <col min="11276" max="11278" width="9.140625" style="161" customWidth="1"/>
    <col min="11279" max="11279" width="14.85546875" style="161" customWidth="1"/>
    <col min="11280" max="11280" width="13.85546875" style="161" customWidth="1"/>
    <col min="11281" max="11502" width="9.140625" style="161" customWidth="1"/>
    <col min="11503" max="11503" width="9" style="161"/>
    <col min="11504" max="11504" width="6.5703125" style="161" customWidth="1"/>
    <col min="11505" max="11505" width="79.5703125" style="161" customWidth="1"/>
    <col min="11506" max="11506" width="23.5703125" style="161" customWidth="1"/>
    <col min="11507" max="11507" width="27.85546875" style="161" customWidth="1"/>
    <col min="11508" max="11508" width="22.28515625" style="161" customWidth="1"/>
    <col min="11509" max="11509" width="23.5703125" style="161" customWidth="1"/>
    <col min="11510" max="11510" width="39" style="161" customWidth="1"/>
    <col min="11511" max="11511" width="36.42578125" style="161" customWidth="1"/>
    <col min="11512" max="11512" width="8" style="161" customWidth="1"/>
    <col min="11513" max="11513" width="15.5703125" style="161" customWidth="1"/>
    <col min="11514" max="11514" width="17.28515625" style="161" customWidth="1"/>
    <col min="11515" max="11515" width="18.85546875" style="161" customWidth="1"/>
    <col min="11516" max="11516" width="81" style="161" customWidth="1"/>
    <col min="11517" max="11517" width="14.85546875" style="161" customWidth="1"/>
    <col min="11518" max="11518" width="15.7109375" style="161" customWidth="1"/>
    <col min="11519" max="11519" width="17.5703125" style="161" customWidth="1"/>
    <col min="11520" max="11520" width="18.42578125" style="161" customWidth="1"/>
    <col min="11521" max="11521" width="16.5703125" style="161" customWidth="1"/>
    <col min="11522" max="11522" width="17.7109375" style="161" customWidth="1"/>
    <col min="11523" max="11523" width="17.85546875" style="161" customWidth="1"/>
    <col min="11524" max="11524" width="18.42578125" style="161" customWidth="1"/>
    <col min="11525" max="11525" width="15.42578125" style="161" customWidth="1"/>
    <col min="11526" max="11526" width="14.5703125" style="161" customWidth="1"/>
    <col min="11527" max="11527" width="15" style="161" customWidth="1"/>
    <col min="11528" max="11528" width="6.7109375" style="161" customWidth="1"/>
    <col min="11529" max="11529" width="14.28515625" style="161" customWidth="1"/>
    <col min="11530" max="11530" width="17.5703125" style="161" customWidth="1"/>
    <col min="11531" max="11531" width="27.7109375" style="161" customWidth="1"/>
    <col min="11532" max="11534" width="9.140625" style="161" customWidth="1"/>
    <col min="11535" max="11535" width="14.85546875" style="161" customWidth="1"/>
    <col min="11536" max="11536" width="13.85546875" style="161" customWidth="1"/>
    <col min="11537" max="11758" width="9.140625" style="161" customWidth="1"/>
    <col min="11759" max="11759" width="9" style="161"/>
    <col min="11760" max="11760" width="6.5703125" style="161" customWidth="1"/>
    <col min="11761" max="11761" width="79.5703125" style="161" customWidth="1"/>
    <col min="11762" max="11762" width="23.5703125" style="161" customWidth="1"/>
    <col min="11763" max="11763" width="27.85546875" style="161" customWidth="1"/>
    <col min="11764" max="11764" width="22.28515625" style="161" customWidth="1"/>
    <col min="11765" max="11765" width="23.5703125" style="161" customWidth="1"/>
    <col min="11766" max="11766" width="39" style="161" customWidth="1"/>
    <col min="11767" max="11767" width="36.42578125" style="161" customWidth="1"/>
    <col min="11768" max="11768" width="8" style="161" customWidth="1"/>
    <col min="11769" max="11769" width="15.5703125" style="161" customWidth="1"/>
    <col min="11770" max="11770" width="17.28515625" style="161" customWidth="1"/>
    <col min="11771" max="11771" width="18.85546875" style="161" customWidth="1"/>
    <col min="11772" max="11772" width="81" style="161" customWidth="1"/>
    <col min="11773" max="11773" width="14.85546875" style="161" customWidth="1"/>
    <col min="11774" max="11774" width="15.7109375" style="161" customWidth="1"/>
    <col min="11775" max="11775" width="17.5703125" style="161" customWidth="1"/>
    <col min="11776" max="11776" width="18.42578125" style="161" customWidth="1"/>
    <col min="11777" max="11777" width="16.5703125" style="161" customWidth="1"/>
    <col min="11778" max="11778" width="17.7109375" style="161" customWidth="1"/>
    <col min="11779" max="11779" width="17.85546875" style="161" customWidth="1"/>
    <col min="11780" max="11780" width="18.42578125" style="161" customWidth="1"/>
    <col min="11781" max="11781" width="15.42578125" style="161" customWidth="1"/>
    <col min="11782" max="11782" width="14.5703125" style="161" customWidth="1"/>
    <col min="11783" max="11783" width="15" style="161" customWidth="1"/>
    <col min="11784" max="11784" width="6.7109375" style="161" customWidth="1"/>
    <col min="11785" max="11785" width="14.28515625" style="161" customWidth="1"/>
    <col min="11786" max="11786" width="17.5703125" style="161" customWidth="1"/>
    <col min="11787" max="11787" width="27.7109375" style="161" customWidth="1"/>
    <col min="11788" max="11790" width="9.140625" style="161" customWidth="1"/>
    <col min="11791" max="11791" width="14.85546875" style="161" customWidth="1"/>
    <col min="11792" max="11792" width="13.85546875" style="161" customWidth="1"/>
    <col min="11793" max="12014" width="9.140625" style="161" customWidth="1"/>
    <col min="12015" max="12015" width="9" style="161"/>
    <col min="12016" max="12016" width="6.5703125" style="161" customWidth="1"/>
    <col min="12017" max="12017" width="79.5703125" style="161" customWidth="1"/>
    <col min="12018" max="12018" width="23.5703125" style="161" customWidth="1"/>
    <col min="12019" max="12019" width="27.85546875" style="161" customWidth="1"/>
    <col min="12020" max="12020" width="22.28515625" style="161" customWidth="1"/>
    <col min="12021" max="12021" width="23.5703125" style="161" customWidth="1"/>
    <col min="12022" max="12022" width="39" style="161" customWidth="1"/>
    <col min="12023" max="12023" width="36.42578125" style="161" customWidth="1"/>
    <col min="12024" max="12024" width="8" style="161" customWidth="1"/>
    <col min="12025" max="12025" width="15.5703125" style="161" customWidth="1"/>
    <col min="12026" max="12026" width="17.28515625" style="161" customWidth="1"/>
    <col min="12027" max="12027" width="18.85546875" style="161" customWidth="1"/>
    <col min="12028" max="12028" width="81" style="161" customWidth="1"/>
    <col min="12029" max="12029" width="14.85546875" style="161" customWidth="1"/>
    <col min="12030" max="12030" width="15.7109375" style="161" customWidth="1"/>
    <col min="12031" max="12031" width="17.5703125" style="161" customWidth="1"/>
    <col min="12032" max="12032" width="18.42578125" style="161" customWidth="1"/>
    <col min="12033" max="12033" width="16.5703125" style="161" customWidth="1"/>
    <col min="12034" max="12034" width="17.7109375" style="161" customWidth="1"/>
    <col min="12035" max="12035" width="17.85546875" style="161" customWidth="1"/>
    <col min="12036" max="12036" width="18.42578125" style="161" customWidth="1"/>
    <col min="12037" max="12037" width="15.42578125" style="161" customWidth="1"/>
    <col min="12038" max="12038" width="14.5703125" style="161" customWidth="1"/>
    <col min="12039" max="12039" width="15" style="161" customWidth="1"/>
    <col min="12040" max="12040" width="6.7109375" style="161" customWidth="1"/>
    <col min="12041" max="12041" width="14.28515625" style="161" customWidth="1"/>
    <col min="12042" max="12042" width="17.5703125" style="161" customWidth="1"/>
    <col min="12043" max="12043" width="27.7109375" style="161" customWidth="1"/>
    <col min="12044" max="12046" width="9.140625" style="161" customWidth="1"/>
    <col min="12047" max="12047" width="14.85546875" style="161" customWidth="1"/>
    <col min="12048" max="12048" width="13.85546875" style="161" customWidth="1"/>
    <col min="12049" max="12270" width="9.140625" style="161" customWidth="1"/>
    <col min="12271" max="12271" width="9" style="161"/>
    <col min="12272" max="12272" width="6.5703125" style="161" customWidth="1"/>
    <col min="12273" max="12273" width="79.5703125" style="161" customWidth="1"/>
    <col min="12274" max="12274" width="23.5703125" style="161" customWidth="1"/>
    <col min="12275" max="12275" width="27.85546875" style="161" customWidth="1"/>
    <col min="12276" max="12276" width="22.28515625" style="161" customWidth="1"/>
    <col min="12277" max="12277" width="23.5703125" style="161" customWidth="1"/>
    <col min="12278" max="12278" width="39" style="161" customWidth="1"/>
    <col min="12279" max="12279" width="36.42578125" style="161" customWidth="1"/>
    <col min="12280" max="12280" width="8" style="161" customWidth="1"/>
    <col min="12281" max="12281" width="15.5703125" style="161" customWidth="1"/>
    <col min="12282" max="12282" width="17.28515625" style="161" customWidth="1"/>
    <col min="12283" max="12283" width="18.85546875" style="161" customWidth="1"/>
    <col min="12284" max="12284" width="81" style="161" customWidth="1"/>
    <col min="12285" max="12285" width="14.85546875" style="161" customWidth="1"/>
    <col min="12286" max="12286" width="15.7109375" style="161" customWidth="1"/>
    <col min="12287" max="12287" width="17.5703125" style="161" customWidth="1"/>
    <col min="12288" max="12288" width="18.42578125" style="161" customWidth="1"/>
    <col min="12289" max="12289" width="16.5703125" style="161" customWidth="1"/>
    <col min="12290" max="12290" width="17.7109375" style="161" customWidth="1"/>
    <col min="12291" max="12291" width="17.85546875" style="161" customWidth="1"/>
    <col min="12292" max="12292" width="18.42578125" style="161" customWidth="1"/>
    <col min="12293" max="12293" width="15.42578125" style="161" customWidth="1"/>
    <col min="12294" max="12294" width="14.5703125" style="161" customWidth="1"/>
    <col min="12295" max="12295" width="15" style="161" customWidth="1"/>
    <col min="12296" max="12296" width="6.7109375" style="161" customWidth="1"/>
    <col min="12297" max="12297" width="14.28515625" style="161" customWidth="1"/>
    <col min="12298" max="12298" width="17.5703125" style="161" customWidth="1"/>
    <col min="12299" max="12299" width="27.7109375" style="161" customWidth="1"/>
    <col min="12300" max="12302" width="9.140625" style="161" customWidth="1"/>
    <col min="12303" max="12303" width="14.85546875" style="161" customWidth="1"/>
    <col min="12304" max="12304" width="13.85546875" style="161" customWidth="1"/>
    <col min="12305" max="12526" width="9.140625" style="161" customWidth="1"/>
    <col min="12527" max="12527" width="9" style="161"/>
    <col min="12528" max="12528" width="6.5703125" style="161" customWidth="1"/>
    <col min="12529" max="12529" width="79.5703125" style="161" customWidth="1"/>
    <col min="12530" max="12530" width="23.5703125" style="161" customWidth="1"/>
    <col min="12531" max="12531" width="27.85546875" style="161" customWidth="1"/>
    <col min="12532" max="12532" width="22.28515625" style="161" customWidth="1"/>
    <col min="12533" max="12533" width="23.5703125" style="161" customWidth="1"/>
    <col min="12534" max="12534" width="39" style="161" customWidth="1"/>
    <col min="12535" max="12535" width="36.42578125" style="161" customWidth="1"/>
    <col min="12536" max="12536" width="8" style="161" customWidth="1"/>
    <col min="12537" max="12537" width="15.5703125" style="161" customWidth="1"/>
    <col min="12538" max="12538" width="17.28515625" style="161" customWidth="1"/>
    <col min="12539" max="12539" width="18.85546875" style="161" customWidth="1"/>
    <col min="12540" max="12540" width="81" style="161" customWidth="1"/>
    <col min="12541" max="12541" width="14.85546875" style="161" customWidth="1"/>
    <col min="12542" max="12542" width="15.7109375" style="161" customWidth="1"/>
    <col min="12543" max="12543" width="17.5703125" style="161" customWidth="1"/>
    <col min="12544" max="12544" width="18.42578125" style="161" customWidth="1"/>
    <col min="12545" max="12545" width="16.5703125" style="161" customWidth="1"/>
    <col min="12546" max="12546" width="17.7109375" style="161" customWidth="1"/>
    <col min="12547" max="12547" width="17.85546875" style="161" customWidth="1"/>
    <col min="12548" max="12548" width="18.42578125" style="161" customWidth="1"/>
    <col min="12549" max="12549" width="15.42578125" style="161" customWidth="1"/>
    <col min="12550" max="12550" width="14.5703125" style="161" customWidth="1"/>
    <col min="12551" max="12551" width="15" style="161" customWidth="1"/>
    <col min="12552" max="12552" width="6.7109375" style="161" customWidth="1"/>
    <col min="12553" max="12553" width="14.28515625" style="161" customWidth="1"/>
    <col min="12554" max="12554" width="17.5703125" style="161" customWidth="1"/>
    <col min="12555" max="12555" width="27.7109375" style="161" customWidth="1"/>
    <col min="12556" max="12558" width="9.140625" style="161" customWidth="1"/>
    <col min="12559" max="12559" width="14.85546875" style="161" customWidth="1"/>
    <col min="12560" max="12560" width="13.85546875" style="161" customWidth="1"/>
    <col min="12561" max="12782" width="9.140625" style="161" customWidth="1"/>
    <col min="12783" max="12783" width="9" style="161"/>
    <col min="12784" max="12784" width="6.5703125" style="161" customWidth="1"/>
    <col min="12785" max="12785" width="79.5703125" style="161" customWidth="1"/>
    <col min="12786" max="12786" width="23.5703125" style="161" customWidth="1"/>
    <col min="12787" max="12787" width="27.85546875" style="161" customWidth="1"/>
    <col min="12788" max="12788" width="22.28515625" style="161" customWidth="1"/>
    <col min="12789" max="12789" width="23.5703125" style="161" customWidth="1"/>
    <col min="12790" max="12790" width="39" style="161" customWidth="1"/>
    <col min="12791" max="12791" width="36.42578125" style="161" customWidth="1"/>
    <col min="12792" max="12792" width="8" style="161" customWidth="1"/>
    <col min="12793" max="12793" width="15.5703125" style="161" customWidth="1"/>
    <col min="12794" max="12794" width="17.28515625" style="161" customWidth="1"/>
    <col min="12795" max="12795" width="18.85546875" style="161" customWidth="1"/>
    <col min="12796" max="12796" width="81" style="161" customWidth="1"/>
    <col min="12797" max="12797" width="14.85546875" style="161" customWidth="1"/>
    <col min="12798" max="12798" width="15.7109375" style="161" customWidth="1"/>
    <col min="12799" max="12799" width="17.5703125" style="161" customWidth="1"/>
    <col min="12800" max="12800" width="18.42578125" style="161" customWidth="1"/>
    <col min="12801" max="12801" width="16.5703125" style="161" customWidth="1"/>
    <col min="12802" max="12802" width="17.7109375" style="161" customWidth="1"/>
    <col min="12803" max="12803" width="17.85546875" style="161" customWidth="1"/>
    <col min="12804" max="12804" width="18.42578125" style="161" customWidth="1"/>
    <col min="12805" max="12805" width="15.42578125" style="161" customWidth="1"/>
    <col min="12806" max="12806" width="14.5703125" style="161" customWidth="1"/>
    <col min="12807" max="12807" width="15" style="161" customWidth="1"/>
    <col min="12808" max="12808" width="6.7109375" style="161" customWidth="1"/>
    <col min="12809" max="12809" width="14.28515625" style="161" customWidth="1"/>
    <col min="12810" max="12810" width="17.5703125" style="161" customWidth="1"/>
    <col min="12811" max="12811" width="27.7109375" style="161" customWidth="1"/>
    <col min="12812" max="12814" width="9.140625" style="161" customWidth="1"/>
    <col min="12815" max="12815" width="14.85546875" style="161" customWidth="1"/>
    <col min="12816" max="12816" width="13.85546875" style="161" customWidth="1"/>
    <col min="12817" max="13038" width="9.140625" style="161" customWidth="1"/>
    <col min="13039" max="13039" width="9" style="161"/>
    <col min="13040" max="13040" width="6.5703125" style="161" customWidth="1"/>
    <col min="13041" max="13041" width="79.5703125" style="161" customWidth="1"/>
    <col min="13042" max="13042" width="23.5703125" style="161" customWidth="1"/>
    <col min="13043" max="13043" width="27.85546875" style="161" customWidth="1"/>
    <col min="13044" max="13044" width="22.28515625" style="161" customWidth="1"/>
    <col min="13045" max="13045" width="23.5703125" style="161" customWidth="1"/>
    <col min="13046" max="13046" width="39" style="161" customWidth="1"/>
    <col min="13047" max="13047" width="36.42578125" style="161" customWidth="1"/>
    <col min="13048" max="13048" width="8" style="161" customWidth="1"/>
    <col min="13049" max="13049" width="15.5703125" style="161" customWidth="1"/>
    <col min="13050" max="13050" width="17.28515625" style="161" customWidth="1"/>
    <col min="13051" max="13051" width="18.85546875" style="161" customWidth="1"/>
    <col min="13052" max="13052" width="81" style="161" customWidth="1"/>
    <col min="13053" max="13053" width="14.85546875" style="161" customWidth="1"/>
    <col min="13054" max="13054" width="15.7109375" style="161" customWidth="1"/>
    <col min="13055" max="13055" width="17.5703125" style="161" customWidth="1"/>
    <col min="13056" max="13056" width="18.42578125" style="161" customWidth="1"/>
    <col min="13057" max="13057" width="16.5703125" style="161" customWidth="1"/>
    <col min="13058" max="13058" width="17.7109375" style="161" customWidth="1"/>
    <col min="13059" max="13059" width="17.85546875" style="161" customWidth="1"/>
    <col min="13060" max="13060" width="18.42578125" style="161" customWidth="1"/>
    <col min="13061" max="13061" width="15.42578125" style="161" customWidth="1"/>
    <col min="13062" max="13062" width="14.5703125" style="161" customWidth="1"/>
    <col min="13063" max="13063" width="15" style="161" customWidth="1"/>
    <col min="13064" max="13064" width="6.7109375" style="161" customWidth="1"/>
    <col min="13065" max="13065" width="14.28515625" style="161" customWidth="1"/>
    <col min="13066" max="13066" width="17.5703125" style="161" customWidth="1"/>
    <col min="13067" max="13067" width="27.7109375" style="161" customWidth="1"/>
    <col min="13068" max="13070" width="9.140625" style="161" customWidth="1"/>
    <col min="13071" max="13071" width="14.85546875" style="161" customWidth="1"/>
    <col min="13072" max="13072" width="13.85546875" style="161" customWidth="1"/>
    <col min="13073" max="13294" width="9.140625" style="161" customWidth="1"/>
    <col min="13295" max="13295" width="9" style="161"/>
    <col min="13296" max="13296" width="6.5703125" style="161" customWidth="1"/>
    <col min="13297" max="13297" width="79.5703125" style="161" customWidth="1"/>
    <col min="13298" max="13298" width="23.5703125" style="161" customWidth="1"/>
    <col min="13299" max="13299" width="27.85546875" style="161" customWidth="1"/>
    <col min="13300" max="13300" width="22.28515625" style="161" customWidth="1"/>
    <col min="13301" max="13301" width="23.5703125" style="161" customWidth="1"/>
    <col min="13302" max="13302" width="39" style="161" customWidth="1"/>
    <col min="13303" max="13303" width="36.42578125" style="161" customWidth="1"/>
    <col min="13304" max="13304" width="8" style="161" customWidth="1"/>
    <col min="13305" max="13305" width="15.5703125" style="161" customWidth="1"/>
    <col min="13306" max="13306" width="17.28515625" style="161" customWidth="1"/>
    <col min="13307" max="13307" width="18.85546875" style="161" customWidth="1"/>
    <col min="13308" max="13308" width="81" style="161" customWidth="1"/>
    <col min="13309" max="13309" width="14.85546875" style="161" customWidth="1"/>
    <col min="13310" max="13310" width="15.7109375" style="161" customWidth="1"/>
    <col min="13311" max="13311" width="17.5703125" style="161" customWidth="1"/>
    <col min="13312" max="13312" width="18.42578125" style="161" customWidth="1"/>
    <col min="13313" max="13313" width="16.5703125" style="161" customWidth="1"/>
    <col min="13314" max="13314" width="17.7109375" style="161" customWidth="1"/>
    <col min="13315" max="13315" width="17.85546875" style="161" customWidth="1"/>
    <col min="13316" max="13316" width="18.42578125" style="161" customWidth="1"/>
    <col min="13317" max="13317" width="15.42578125" style="161" customWidth="1"/>
    <col min="13318" max="13318" width="14.5703125" style="161" customWidth="1"/>
    <col min="13319" max="13319" width="15" style="161" customWidth="1"/>
    <col min="13320" max="13320" width="6.7109375" style="161" customWidth="1"/>
    <col min="13321" max="13321" width="14.28515625" style="161" customWidth="1"/>
    <col min="13322" max="13322" width="17.5703125" style="161" customWidth="1"/>
    <col min="13323" max="13323" width="27.7109375" style="161" customWidth="1"/>
    <col min="13324" max="13326" width="9.140625" style="161" customWidth="1"/>
    <col min="13327" max="13327" width="14.85546875" style="161" customWidth="1"/>
    <col min="13328" max="13328" width="13.85546875" style="161" customWidth="1"/>
    <col min="13329" max="13550" width="9.140625" style="161" customWidth="1"/>
    <col min="13551" max="13551" width="9" style="161"/>
    <col min="13552" max="13552" width="6.5703125" style="161" customWidth="1"/>
    <col min="13553" max="13553" width="79.5703125" style="161" customWidth="1"/>
    <col min="13554" max="13554" width="23.5703125" style="161" customWidth="1"/>
    <col min="13555" max="13555" width="27.85546875" style="161" customWidth="1"/>
    <col min="13556" max="13556" width="22.28515625" style="161" customWidth="1"/>
    <col min="13557" max="13557" width="23.5703125" style="161" customWidth="1"/>
    <col min="13558" max="13558" width="39" style="161" customWidth="1"/>
    <col min="13559" max="13559" width="36.42578125" style="161" customWidth="1"/>
    <col min="13560" max="13560" width="8" style="161" customWidth="1"/>
    <col min="13561" max="13561" width="15.5703125" style="161" customWidth="1"/>
    <col min="13562" max="13562" width="17.28515625" style="161" customWidth="1"/>
    <col min="13563" max="13563" width="18.85546875" style="161" customWidth="1"/>
    <col min="13564" max="13564" width="81" style="161" customWidth="1"/>
    <col min="13565" max="13565" width="14.85546875" style="161" customWidth="1"/>
    <col min="13566" max="13566" width="15.7109375" style="161" customWidth="1"/>
    <col min="13567" max="13567" width="17.5703125" style="161" customWidth="1"/>
    <col min="13568" max="13568" width="18.42578125" style="161" customWidth="1"/>
    <col min="13569" max="13569" width="16.5703125" style="161" customWidth="1"/>
    <col min="13570" max="13570" width="17.7109375" style="161" customWidth="1"/>
    <col min="13571" max="13571" width="17.85546875" style="161" customWidth="1"/>
    <col min="13572" max="13572" width="18.42578125" style="161" customWidth="1"/>
    <col min="13573" max="13573" width="15.42578125" style="161" customWidth="1"/>
    <col min="13574" max="13574" width="14.5703125" style="161" customWidth="1"/>
    <col min="13575" max="13575" width="15" style="161" customWidth="1"/>
    <col min="13576" max="13576" width="6.7109375" style="161" customWidth="1"/>
    <col min="13577" max="13577" width="14.28515625" style="161" customWidth="1"/>
    <col min="13578" max="13578" width="17.5703125" style="161" customWidth="1"/>
    <col min="13579" max="13579" width="27.7109375" style="161" customWidth="1"/>
    <col min="13580" max="13582" width="9.140625" style="161" customWidth="1"/>
    <col min="13583" max="13583" width="14.85546875" style="161" customWidth="1"/>
    <col min="13584" max="13584" width="13.85546875" style="161" customWidth="1"/>
    <col min="13585" max="13806" width="9.140625" style="161" customWidth="1"/>
    <col min="13807" max="13807" width="9" style="161"/>
    <col min="13808" max="13808" width="6.5703125" style="161" customWidth="1"/>
    <col min="13809" max="13809" width="79.5703125" style="161" customWidth="1"/>
    <col min="13810" max="13810" width="23.5703125" style="161" customWidth="1"/>
    <col min="13811" max="13811" width="27.85546875" style="161" customWidth="1"/>
    <col min="13812" max="13812" width="22.28515625" style="161" customWidth="1"/>
    <col min="13813" max="13813" width="23.5703125" style="161" customWidth="1"/>
    <col min="13814" max="13814" width="39" style="161" customWidth="1"/>
    <col min="13815" max="13815" width="36.42578125" style="161" customWidth="1"/>
    <col min="13816" max="13816" width="8" style="161" customWidth="1"/>
    <col min="13817" max="13817" width="15.5703125" style="161" customWidth="1"/>
    <col min="13818" max="13818" width="17.28515625" style="161" customWidth="1"/>
    <col min="13819" max="13819" width="18.85546875" style="161" customWidth="1"/>
    <col min="13820" max="13820" width="81" style="161" customWidth="1"/>
    <col min="13821" max="13821" width="14.85546875" style="161" customWidth="1"/>
    <col min="13822" max="13822" width="15.7109375" style="161" customWidth="1"/>
    <col min="13823" max="13823" width="17.5703125" style="161" customWidth="1"/>
    <col min="13824" max="13824" width="18.42578125" style="161" customWidth="1"/>
    <col min="13825" max="13825" width="16.5703125" style="161" customWidth="1"/>
    <col min="13826" max="13826" width="17.7109375" style="161" customWidth="1"/>
    <col min="13827" max="13827" width="17.85546875" style="161" customWidth="1"/>
    <col min="13828" max="13828" width="18.42578125" style="161" customWidth="1"/>
    <col min="13829" max="13829" width="15.42578125" style="161" customWidth="1"/>
    <col min="13830" max="13830" width="14.5703125" style="161" customWidth="1"/>
    <col min="13831" max="13831" width="15" style="161" customWidth="1"/>
    <col min="13832" max="13832" width="6.7109375" style="161" customWidth="1"/>
    <col min="13833" max="13833" width="14.28515625" style="161" customWidth="1"/>
    <col min="13834" max="13834" width="17.5703125" style="161" customWidth="1"/>
    <col min="13835" max="13835" width="27.7109375" style="161" customWidth="1"/>
    <col min="13836" max="13838" width="9.140625" style="161" customWidth="1"/>
    <col min="13839" max="13839" width="14.85546875" style="161" customWidth="1"/>
    <col min="13840" max="13840" width="13.85546875" style="161" customWidth="1"/>
    <col min="13841" max="14062" width="9.140625" style="161" customWidth="1"/>
    <col min="14063" max="14063" width="9" style="161"/>
    <col min="14064" max="14064" width="6.5703125" style="161" customWidth="1"/>
    <col min="14065" max="14065" width="79.5703125" style="161" customWidth="1"/>
    <col min="14066" max="14066" width="23.5703125" style="161" customWidth="1"/>
    <col min="14067" max="14067" width="27.85546875" style="161" customWidth="1"/>
    <col min="14068" max="14068" width="22.28515625" style="161" customWidth="1"/>
    <col min="14069" max="14069" width="23.5703125" style="161" customWidth="1"/>
    <col min="14070" max="14070" width="39" style="161" customWidth="1"/>
    <col min="14071" max="14071" width="36.42578125" style="161" customWidth="1"/>
    <col min="14072" max="14072" width="8" style="161" customWidth="1"/>
    <col min="14073" max="14073" width="15.5703125" style="161" customWidth="1"/>
    <col min="14074" max="14074" width="17.28515625" style="161" customWidth="1"/>
    <col min="14075" max="14075" width="18.85546875" style="161" customWidth="1"/>
    <col min="14076" max="14076" width="81" style="161" customWidth="1"/>
    <col min="14077" max="14077" width="14.85546875" style="161" customWidth="1"/>
    <col min="14078" max="14078" width="15.7109375" style="161" customWidth="1"/>
    <col min="14079" max="14079" width="17.5703125" style="161" customWidth="1"/>
    <col min="14080" max="14080" width="18.42578125" style="161" customWidth="1"/>
    <col min="14081" max="14081" width="16.5703125" style="161" customWidth="1"/>
    <col min="14082" max="14082" width="17.7109375" style="161" customWidth="1"/>
    <col min="14083" max="14083" width="17.85546875" style="161" customWidth="1"/>
    <col min="14084" max="14084" width="18.42578125" style="161" customWidth="1"/>
    <col min="14085" max="14085" width="15.42578125" style="161" customWidth="1"/>
    <col min="14086" max="14086" width="14.5703125" style="161" customWidth="1"/>
    <col min="14087" max="14087" width="15" style="161" customWidth="1"/>
    <col min="14088" max="14088" width="6.7109375" style="161" customWidth="1"/>
    <col min="14089" max="14089" width="14.28515625" style="161" customWidth="1"/>
    <col min="14090" max="14090" width="17.5703125" style="161" customWidth="1"/>
    <col min="14091" max="14091" width="27.7109375" style="161" customWidth="1"/>
    <col min="14092" max="14094" width="9.140625" style="161" customWidth="1"/>
    <col min="14095" max="14095" width="14.85546875" style="161" customWidth="1"/>
    <col min="14096" max="14096" width="13.85546875" style="161" customWidth="1"/>
    <col min="14097" max="14318" width="9.140625" style="161" customWidth="1"/>
    <col min="14319" max="14319" width="9" style="161"/>
    <col min="14320" max="14320" width="6.5703125" style="161" customWidth="1"/>
    <col min="14321" max="14321" width="79.5703125" style="161" customWidth="1"/>
    <col min="14322" max="14322" width="23.5703125" style="161" customWidth="1"/>
    <col min="14323" max="14323" width="27.85546875" style="161" customWidth="1"/>
    <col min="14324" max="14324" width="22.28515625" style="161" customWidth="1"/>
    <col min="14325" max="14325" width="23.5703125" style="161" customWidth="1"/>
    <col min="14326" max="14326" width="39" style="161" customWidth="1"/>
    <col min="14327" max="14327" width="36.42578125" style="161" customWidth="1"/>
    <col min="14328" max="14328" width="8" style="161" customWidth="1"/>
    <col min="14329" max="14329" width="15.5703125" style="161" customWidth="1"/>
    <col min="14330" max="14330" width="17.28515625" style="161" customWidth="1"/>
    <col min="14331" max="14331" width="18.85546875" style="161" customWidth="1"/>
    <col min="14332" max="14332" width="81" style="161" customWidth="1"/>
    <col min="14333" max="14333" width="14.85546875" style="161" customWidth="1"/>
    <col min="14334" max="14334" width="15.7109375" style="161" customWidth="1"/>
    <col min="14335" max="14335" width="17.5703125" style="161" customWidth="1"/>
    <col min="14336" max="14336" width="18.42578125" style="161" customWidth="1"/>
    <col min="14337" max="14337" width="16.5703125" style="161" customWidth="1"/>
    <col min="14338" max="14338" width="17.7109375" style="161" customWidth="1"/>
    <col min="14339" max="14339" width="17.85546875" style="161" customWidth="1"/>
    <col min="14340" max="14340" width="18.42578125" style="161" customWidth="1"/>
    <col min="14341" max="14341" width="15.42578125" style="161" customWidth="1"/>
    <col min="14342" max="14342" width="14.5703125" style="161" customWidth="1"/>
    <col min="14343" max="14343" width="15" style="161" customWidth="1"/>
    <col min="14344" max="14344" width="6.7109375" style="161" customWidth="1"/>
    <col min="14345" max="14345" width="14.28515625" style="161" customWidth="1"/>
    <col min="14346" max="14346" width="17.5703125" style="161" customWidth="1"/>
    <col min="14347" max="14347" width="27.7109375" style="161" customWidth="1"/>
    <col min="14348" max="14350" width="9.140625" style="161" customWidth="1"/>
    <col min="14351" max="14351" width="14.85546875" style="161" customWidth="1"/>
    <col min="14352" max="14352" width="13.85546875" style="161" customWidth="1"/>
    <col min="14353" max="14574" width="9.140625" style="161" customWidth="1"/>
    <col min="14575" max="14575" width="9" style="161"/>
    <col min="14576" max="14576" width="6.5703125" style="161" customWidth="1"/>
    <col min="14577" max="14577" width="79.5703125" style="161" customWidth="1"/>
    <col min="14578" max="14578" width="23.5703125" style="161" customWidth="1"/>
    <col min="14579" max="14579" width="27.85546875" style="161" customWidth="1"/>
    <col min="14580" max="14580" width="22.28515625" style="161" customWidth="1"/>
    <col min="14581" max="14581" width="23.5703125" style="161" customWidth="1"/>
    <col min="14582" max="14582" width="39" style="161" customWidth="1"/>
    <col min="14583" max="14583" width="36.42578125" style="161" customWidth="1"/>
    <col min="14584" max="14584" width="8" style="161" customWidth="1"/>
    <col min="14585" max="14585" width="15.5703125" style="161" customWidth="1"/>
    <col min="14586" max="14586" width="17.28515625" style="161" customWidth="1"/>
    <col min="14587" max="14587" width="18.85546875" style="161" customWidth="1"/>
    <col min="14588" max="14588" width="81" style="161" customWidth="1"/>
    <col min="14589" max="14589" width="14.85546875" style="161" customWidth="1"/>
    <col min="14590" max="14590" width="15.7109375" style="161" customWidth="1"/>
    <col min="14591" max="14591" width="17.5703125" style="161" customWidth="1"/>
    <col min="14592" max="14592" width="18.42578125" style="161" customWidth="1"/>
    <col min="14593" max="14593" width="16.5703125" style="161" customWidth="1"/>
    <col min="14594" max="14594" width="17.7109375" style="161" customWidth="1"/>
    <col min="14595" max="14595" width="17.85546875" style="161" customWidth="1"/>
    <col min="14596" max="14596" width="18.42578125" style="161" customWidth="1"/>
    <col min="14597" max="14597" width="15.42578125" style="161" customWidth="1"/>
    <col min="14598" max="14598" width="14.5703125" style="161" customWidth="1"/>
    <col min="14599" max="14599" width="15" style="161" customWidth="1"/>
    <col min="14600" max="14600" width="6.7109375" style="161" customWidth="1"/>
    <col min="14601" max="14601" width="14.28515625" style="161" customWidth="1"/>
    <col min="14602" max="14602" width="17.5703125" style="161" customWidth="1"/>
    <col min="14603" max="14603" width="27.7109375" style="161" customWidth="1"/>
    <col min="14604" max="14606" width="9.140625" style="161" customWidth="1"/>
    <col min="14607" max="14607" width="14.85546875" style="161" customWidth="1"/>
    <col min="14608" max="14608" width="13.85546875" style="161" customWidth="1"/>
    <col min="14609" max="14830" width="9.140625" style="161" customWidth="1"/>
    <col min="14831" max="14831" width="9" style="161"/>
    <col min="14832" max="14832" width="6.5703125" style="161" customWidth="1"/>
    <col min="14833" max="14833" width="79.5703125" style="161" customWidth="1"/>
    <col min="14834" max="14834" width="23.5703125" style="161" customWidth="1"/>
    <col min="14835" max="14835" width="27.85546875" style="161" customWidth="1"/>
    <col min="14836" max="14836" width="22.28515625" style="161" customWidth="1"/>
    <col min="14837" max="14837" width="23.5703125" style="161" customWidth="1"/>
    <col min="14838" max="14838" width="39" style="161" customWidth="1"/>
    <col min="14839" max="14839" width="36.42578125" style="161" customWidth="1"/>
    <col min="14840" max="14840" width="8" style="161" customWidth="1"/>
    <col min="14841" max="14841" width="15.5703125" style="161" customWidth="1"/>
    <col min="14842" max="14842" width="17.28515625" style="161" customWidth="1"/>
    <col min="14843" max="14843" width="18.85546875" style="161" customWidth="1"/>
    <col min="14844" max="14844" width="81" style="161" customWidth="1"/>
    <col min="14845" max="14845" width="14.85546875" style="161" customWidth="1"/>
    <col min="14846" max="14846" width="15.7109375" style="161" customWidth="1"/>
    <col min="14847" max="14847" width="17.5703125" style="161" customWidth="1"/>
    <col min="14848" max="14848" width="18.42578125" style="161" customWidth="1"/>
    <col min="14849" max="14849" width="16.5703125" style="161" customWidth="1"/>
    <col min="14850" max="14850" width="17.7109375" style="161" customWidth="1"/>
    <col min="14851" max="14851" width="17.85546875" style="161" customWidth="1"/>
    <col min="14852" max="14852" width="18.42578125" style="161" customWidth="1"/>
    <col min="14853" max="14853" width="15.42578125" style="161" customWidth="1"/>
    <col min="14854" max="14854" width="14.5703125" style="161" customWidth="1"/>
    <col min="14855" max="14855" width="15" style="161" customWidth="1"/>
    <col min="14856" max="14856" width="6.7109375" style="161" customWidth="1"/>
    <col min="14857" max="14857" width="14.28515625" style="161" customWidth="1"/>
    <col min="14858" max="14858" width="17.5703125" style="161" customWidth="1"/>
    <col min="14859" max="14859" width="27.7109375" style="161" customWidth="1"/>
    <col min="14860" max="14862" width="9.140625" style="161" customWidth="1"/>
    <col min="14863" max="14863" width="14.85546875" style="161" customWidth="1"/>
    <col min="14864" max="14864" width="13.85546875" style="161" customWidth="1"/>
    <col min="14865" max="15086" width="9.140625" style="161" customWidth="1"/>
    <col min="15087" max="15087" width="9" style="161"/>
    <col min="15088" max="15088" width="6.5703125" style="161" customWidth="1"/>
    <col min="15089" max="15089" width="79.5703125" style="161" customWidth="1"/>
    <col min="15090" max="15090" width="23.5703125" style="161" customWidth="1"/>
    <col min="15091" max="15091" width="27.85546875" style="161" customWidth="1"/>
    <col min="15092" max="15092" width="22.28515625" style="161" customWidth="1"/>
    <col min="15093" max="15093" width="23.5703125" style="161" customWidth="1"/>
    <col min="15094" max="15094" width="39" style="161" customWidth="1"/>
    <col min="15095" max="15095" width="36.42578125" style="161" customWidth="1"/>
    <col min="15096" max="15096" width="8" style="161" customWidth="1"/>
    <col min="15097" max="15097" width="15.5703125" style="161" customWidth="1"/>
    <col min="15098" max="15098" width="17.28515625" style="161" customWidth="1"/>
    <col min="15099" max="15099" width="18.85546875" style="161" customWidth="1"/>
    <col min="15100" max="15100" width="81" style="161" customWidth="1"/>
    <col min="15101" max="15101" width="14.85546875" style="161" customWidth="1"/>
    <col min="15102" max="15102" width="15.7109375" style="161" customWidth="1"/>
    <col min="15103" max="15103" width="17.5703125" style="161" customWidth="1"/>
    <col min="15104" max="15104" width="18.42578125" style="161" customWidth="1"/>
    <col min="15105" max="15105" width="16.5703125" style="161" customWidth="1"/>
    <col min="15106" max="15106" width="17.7109375" style="161" customWidth="1"/>
    <col min="15107" max="15107" width="17.85546875" style="161" customWidth="1"/>
    <col min="15108" max="15108" width="18.42578125" style="161" customWidth="1"/>
    <col min="15109" max="15109" width="15.42578125" style="161" customWidth="1"/>
    <col min="15110" max="15110" width="14.5703125" style="161" customWidth="1"/>
    <col min="15111" max="15111" width="15" style="161" customWidth="1"/>
    <col min="15112" max="15112" width="6.7109375" style="161" customWidth="1"/>
    <col min="15113" max="15113" width="14.28515625" style="161" customWidth="1"/>
    <col min="15114" max="15114" width="17.5703125" style="161" customWidth="1"/>
    <col min="15115" max="15115" width="27.7109375" style="161" customWidth="1"/>
    <col min="15116" max="15118" width="9.140625" style="161" customWidth="1"/>
    <col min="15119" max="15119" width="14.85546875" style="161" customWidth="1"/>
    <col min="15120" max="15120" width="13.85546875" style="161" customWidth="1"/>
    <col min="15121" max="15342" width="9.140625" style="161" customWidth="1"/>
    <col min="15343" max="15343" width="9" style="161"/>
    <col min="15344" max="15344" width="6.5703125" style="161" customWidth="1"/>
    <col min="15345" max="15345" width="79.5703125" style="161" customWidth="1"/>
    <col min="15346" max="15346" width="23.5703125" style="161" customWidth="1"/>
    <col min="15347" max="15347" width="27.85546875" style="161" customWidth="1"/>
    <col min="15348" max="15348" width="22.28515625" style="161" customWidth="1"/>
    <col min="15349" max="15349" width="23.5703125" style="161" customWidth="1"/>
    <col min="15350" max="15350" width="39" style="161" customWidth="1"/>
    <col min="15351" max="15351" width="36.42578125" style="161" customWidth="1"/>
    <col min="15352" max="15352" width="8" style="161" customWidth="1"/>
    <col min="15353" max="15353" width="15.5703125" style="161" customWidth="1"/>
    <col min="15354" max="15354" width="17.28515625" style="161" customWidth="1"/>
    <col min="15355" max="15355" width="18.85546875" style="161" customWidth="1"/>
    <col min="15356" max="15356" width="81" style="161" customWidth="1"/>
    <col min="15357" max="15357" width="14.85546875" style="161" customWidth="1"/>
    <col min="15358" max="15358" width="15.7109375" style="161" customWidth="1"/>
    <col min="15359" max="15359" width="17.5703125" style="161" customWidth="1"/>
    <col min="15360" max="15360" width="18.42578125" style="161" customWidth="1"/>
    <col min="15361" max="15361" width="16.5703125" style="161" customWidth="1"/>
    <col min="15362" max="15362" width="17.7109375" style="161" customWidth="1"/>
    <col min="15363" max="15363" width="17.85546875" style="161" customWidth="1"/>
    <col min="15364" max="15364" width="18.42578125" style="161" customWidth="1"/>
    <col min="15365" max="15365" width="15.42578125" style="161" customWidth="1"/>
    <col min="15366" max="15366" width="14.5703125" style="161" customWidth="1"/>
    <col min="15367" max="15367" width="15" style="161" customWidth="1"/>
    <col min="15368" max="15368" width="6.7109375" style="161" customWidth="1"/>
    <col min="15369" max="15369" width="14.28515625" style="161" customWidth="1"/>
    <col min="15370" max="15370" width="17.5703125" style="161" customWidth="1"/>
    <col min="15371" max="15371" width="27.7109375" style="161" customWidth="1"/>
    <col min="15372" max="15374" width="9.140625" style="161" customWidth="1"/>
    <col min="15375" max="15375" width="14.85546875" style="161" customWidth="1"/>
    <col min="15376" max="15376" width="13.85546875" style="161" customWidth="1"/>
    <col min="15377" max="15598" width="9.140625" style="161" customWidth="1"/>
    <col min="15599" max="15599" width="9" style="161"/>
    <col min="15600" max="15600" width="6.5703125" style="161" customWidth="1"/>
    <col min="15601" max="15601" width="79.5703125" style="161" customWidth="1"/>
    <col min="15602" max="15602" width="23.5703125" style="161" customWidth="1"/>
    <col min="15603" max="15603" width="27.85546875" style="161" customWidth="1"/>
    <col min="15604" max="15604" width="22.28515625" style="161" customWidth="1"/>
    <col min="15605" max="15605" width="23.5703125" style="161" customWidth="1"/>
    <col min="15606" max="15606" width="39" style="161" customWidth="1"/>
    <col min="15607" max="15607" width="36.42578125" style="161" customWidth="1"/>
    <col min="15608" max="15608" width="8" style="161" customWidth="1"/>
    <col min="15609" max="15609" width="15.5703125" style="161" customWidth="1"/>
    <col min="15610" max="15610" width="17.28515625" style="161" customWidth="1"/>
    <col min="15611" max="15611" width="18.85546875" style="161" customWidth="1"/>
    <col min="15612" max="15612" width="81" style="161" customWidth="1"/>
    <col min="15613" max="15613" width="14.85546875" style="161" customWidth="1"/>
    <col min="15614" max="15614" width="15.7109375" style="161" customWidth="1"/>
    <col min="15615" max="15615" width="17.5703125" style="161" customWidth="1"/>
    <col min="15616" max="15616" width="18.42578125" style="161" customWidth="1"/>
    <col min="15617" max="15617" width="16.5703125" style="161" customWidth="1"/>
    <col min="15618" max="15618" width="17.7109375" style="161" customWidth="1"/>
    <col min="15619" max="15619" width="17.85546875" style="161" customWidth="1"/>
    <col min="15620" max="15620" width="18.42578125" style="161" customWidth="1"/>
    <col min="15621" max="15621" width="15.42578125" style="161" customWidth="1"/>
    <col min="15622" max="15622" width="14.5703125" style="161" customWidth="1"/>
    <col min="15623" max="15623" width="15" style="161" customWidth="1"/>
    <col min="15624" max="15624" width="6.7109375" style="161" customWidth="1"/>
    <col min="15625" max="15625" width="14.28515625" style="161" customWidth="1"/>
    <col min="15626" max="15626" width="17.5703125" style="161" customWidth="1"/>
    <col min="15627" max="15627" width="27.7109375" style="161" customWidth="1"/>
    <col min="15628" max="15630" width="9.140625" style="161" customWidth="1"/>
    <col min="15631" max="15631" width="14.85546875" style="161" customWidth="1"/>
    <col min="15632" max="15632" width="13.85546875" style="161" customWidth="1"/>
    <col min="15633" max="15854" width="9.140625" style="161" customWidth="1"/>
    <col min="15855" max="15855" width="9" style="161"/>
    <col min="15856" max="15856" width="6.5703125" style="161" customWidth="1"/>
    <col min="15857" max="15857" width="79.5703125" style="161" customWidth="1"/>
    <col min="15858" max="15858" width="23.5703125" style="161" customWidth="1"/>
    <col min="15859" max="15859" width="27.85546875" style="161" customWidth="1"/>
    <col min="15860" max="15860" width="22.28515625" style="161" customWidth="1"/>
    <col min="15861" max="15861" width="23.5703125" style="161" customWidth="1"/>
    <col min="15862" max="15862" width="39" style="161" customWidth="1"/>
    <col min="15863" max="15863" width="36.42578125" style="161" customWidth="1"/>
    <col min="15864" max="15864" width="8" style="161" customWidth="1"/>
    <col min="15865" max="15865" width="15.5703125" style="161" customWidth="1"/>
    <col min="15866" max="15866" width="17.28515625" style="161" customWidth="1"/>
    <col min="15867" max="15867" width="18.85546875" style="161" customWidth="1"/>
    <col min="15868" max="15868" width="81" style="161" customWidth="1"/>
    <col min="15869" max="15869" width="14.85546875" style="161" customWidth="1"/>
    <col min="15870" max="15870" width="15.7109375" style="161" customWidth="1"/>
    <col min="15871" max="15871" width="17.5703125" style="161" customWidth="1"/>
    <col min="15872" max="15872" width="18.42578125" style="161" customWidth="1"/>
    <col min="15873" max="15873" width="16.5703125" style="161" customWidth="1"/>
    <col min="15874" max="15874" width="17.7109375" style="161" customWidth="1"/>
    <col min="15875" max="15875" width="17.85546875" style="161" customWidth="1"/>
    <col min="15876" max="15876" width="18.42578125" style="161" customWidth="1"/>
    <col min="15877" max="15877" width="15.42578125" style="161" customWidth="1"/>
    <col min="15878" max="15878" width="14.5703125" style="161" customWidth="1"/>
    <col min="15879" max="15879" width="15" style="161" customWidth="1"/>
    <col min="15880" max="15880" width="6.7109375" style="161" customWidth="1"/>
    <col min="15881" max="15881" width="14.28515625" style="161" customWidth="1"/>
    <col min="15882" max="15882" width="17.5703125" style="161" customWidth="1"/>
    <col min="15883" max="15883" width="27.7109375" style="161" customWidth="1"/>
    <col min="15884" max="15886" width="9.140625" style="161" customWidth="1"/>
    <col min="15887" max="15887" width="14.85546875" style="161" customWidth="1"/>
    <col min="15888" max="15888" width="13.85546875" style="161" customWidth="1"/>
    <col min="15889" max="16110" width="9.140625" style="161" customWidth="1"/>
    <col min="16111" max="16111" width="9" style="161"/>
    <col min="16112" max="16112" width="6.5703125" style="161" customWidth="1"/>
    <col min="16113" max="16113" width="79.5703125" style="161" customWidth="1"/>
    <col min="16114" max="16114" width="23.5703125" style="161" customWidth="1"/>
    <col min="16115" max="16115" width="27.85546875" style="161" customWidth="1"/>
    <col min="16116" max="16116" width="22.28515625" style="161" customWidth="1"/>
    <col min="16117" max="16117" width="23.5703125" style="161" customWidth="1"/>
    <col min="16118" max="16118" width="39" style="161" customWidth="1"/>
    <col min="16119" max="16119" width="36.42578125" style="161" customWidth="1"/>
    <col min="16120" max="16120" width="8" style="161" customWidth="1"/>
    <col min="16121" max="16121" width="15.5703125" style="161" customWidth="1"/>
    <col min="16122" max="16122" width="17.28515625" style="161" customWidth="1"/>
    <col min="16123" max="16123" width="18.85546875" style="161" customWidth="1"/>
    <col min="16124" max="16124" width="81" style="161" customWidth="1"/>
    <col min="16125" max="16125" width="14.85546875" style="161" customWidth="1"/>
    <col min="16126" max="16126" width="15.7109375" style="161" customWidth="1"/>
    <col min="16127" max="16127" width="17.5703125" style="161" customWidth="1"/>
    <col min="16128" max="16128" width="18.42578125" style="161" customWidth="1"/>
    <col min="16129" max="16129" width="16.5703125" style="161" customWidth="1"/>
    <col min="16130" max="16130" width="17.7109375" style="161" customWidth="1"/>
    <col min="16131" max="16131" width="17.85546875" style="161" customWidth="1"/>
    <col min="16132" max="16132" width="18.42578125" style="161" customWidth="1"/>
    <col min="16133" max="16133" width="15.42578125" style="161" customWidth="1"/>
    <col min="16134" max="16134" width="14.5703125" style="161" customWidth="1"/>
    <col min="16135" max="16135" width="15" style="161" customWidth="1"/>
    <col min="16136" max="16136" width="6.7109375" style="161" customWidth="1"/>
    <col min="16137" max="16137" width="14.28515625" style="161" customWidth="1"/>
    <col min="16138" max="16138" width="17.5703125" style="161" customWidth="1"/>
    <col min="16139" max="16139" width="27.7109375" style="161" customWidth="1"/>
    <col min="16140" max="16142" width="9.140625" style="161" customWidth="1"/>
    <col min="16143" max="16143" width="14.85546875" style="161" customWidth="1"/>
    <col min="16144" max="16144" width="13.85546875" style="161" customWidth="1"/>
    <col min="16145" max="16360" width="9.140625" style="161" customWidth="1"/>
    <col min="16361" max="16384" width="9" style="161"/>
  </cols>
  <sheetData>
    <row r="1" spans="1:29" s="151" customFormat="1" ht="50.25" customHeight="1">
      <c r="A1" s="401" t="s">
        <v>234</v>
      </c>
      <c r="B1" s="401" t="s">
        <v>235</v>
      </c>
      <c r="C1" s="402" t="s">
        <v>236</v>
      </c>
      <c r="D1" s="402" t="s">
        <v>237</v>
      </c>
      <c r="E1" s="401" t="s">
        <v>238</v>
      </c>
      <c r="F1" s="402" t="s">
        <v>239</v>
      </c>
      <c r="G1" s="402" t="s">
        <v>240</v>
      </c>
      <c r="H1" s="402" t="s">
        <v>241</v>
      </c>
      <c r="I1" s="402" t="s">
        <v>242</v>
      </c>
      <c r="J1" s="402" t="s">
        <v>243</v>
      </c>
      <c r="K1" s="401" t="s">
        <v>244</v>
      </c>
      <c r="L1" s="401" t="s">
        <v>245</v>
      </c>
      <c r="M1" s="401" t="s">
        <v>246</v>
      </c>
      <c r="N1" s="401" t="s">
        <v>247</v>
      </c>
      <c r="O1" s="401" t="s">
        <v>248</v>
      </c>
      <c r="P1" s="401" t="s">
        <v>249</v>
      </c>
      <c r="Q1" s="401" t="s">
        <v>250</v>
      </c>
      <c r="R1" s="401" t="s">
        <v>251</v>
      </c>
      <c r="S1" s="401" t="s">
        <v>252</v>
      </c>
      <c r="T1" s="401" t="s">
        <v>253</v>
      </c>
      <c r="U1" s="401" t="s">
        <v>254</v>
      </c>
      <c r="V1" s="401" t="s">
        <v>255</v>
      </c>
      <c r="W1" s="401" t="s">
        <v>256</v>
      </c>
      <c r="X1" s="401" t="s">
        <v>257</v>
      </c>
      <c r="Y1" s="401" t="s">
        <v>258</v>
      </c>
      <c r="Z1" s="401" t="s">
        <v>259</v>
      </c>
      <c r="AA1" s="401" t="s">
        <v>260</v>
      </c>
      <c r="AB1" s="403" t="s">
        <v>261</v>
      </c>
    </row>
    <row r="2" spans="1:29" s="152" customFormat="1">
      <c r="A2" s="391" t="s">
        <v>467</v>
      </c>
      <c r="B2" s="392" t="s">
        <v>468</v>
      </c>
      <c r="C2" s="266">
        <v>66832667434</v>
      </c>
      <c r="D2" s="267" t="s">
        <v>474</v>
      </c>
      <c r="E2" s="267">
        <v>2</v>
      </c>
      <c r="F2" s="273" t="s">
        <v>708</v>
      </c>
      <c r="G2" s="271" t="s">
        <v>906</v>
      </c>
      <c r="H2" s="271"/>
      <c r="I2" s="393" t="s">
        <v>929</v>
      </c>
      <c r="J2" s="394"/>
      <c r="K2" s="281">
        <v>157.16999999999999</v>
      </c>
      <c r="L2" s="282">
        <v>25.05</v>
      </c>
      <c r="M2" s="281">
        <f>K2-L2</f>
        <v>132.11999999999998</v>
      </c>
      <c r="N2" s="281">
        <v>2.68</v>
      </c>
      <c r="O2" s="281">
        <v>0</v>
      </c>
      <c r="P2" s="281">
        <f>N2-O2</f>
        <v>2.68</v>
      </c>
      <c r="Q2" s="395">
        <v>141</v>
      </c>
      <c r="R2" s="395">
        <v>75.150000000000006</v>
      </c>
      <c r="S2" s="395">
        <v>0</v>
      </c>
      <c r="T2" s="281">
        <v>0</v>
      </c>
      <c r="U2" s="281">
        <v>0</v>
      </c>
      <c r="V2" s="281">
        <f>T2-U2</f>
        <v>0</v>
      </c>
      <c r="W2" s="283"/>
      <c r="X2" s="284">
        <v>0</v>
      </c>
      <c r="Y2" s="395">
        <v>0</v>
      </c>
      <c r="Z2" s="395">
        <v>0</v>
      </c>
      <c r="AA2" s="399"/>
      <c r="AB2" s="395">
        <f>SUM(Z2,V2,S2,P2,M2,J2,I2)</f>
        <v>134.79999999999998</v>
      </c>
      <c r="AC2" s="431"/>
    </row>
    <row r="3" spans="1:29" s="152" customFormat="1" hidden="1">
      <c r="A3" s="391" t="s">
        <v>467</v>
      </c>
      <c r="B3" s="392" t="s">
        <v>468</v>
      </c>
      <c r="C3" s="266" t="s">
        <v>475</v>
      </c>
      <c r="D3" s="267" t="s">
        <v>476</v>
      </c>
      <c r="E3" s="267">
        <v>3</v>
      </c>
      <c r="F3" s="273" t="s">
        <v>709</v>
      </c>
      <c r="G3" s="271" t="s">
        <v>906</v>
      </c>
      <c r="H3" s="271"/>
      <c r="I3" s="394" t="s">
        <v>930</v>
      </c>
      <c r="J3" s="394"/>
      <c r="K3" s="281">
        <v>157.16999999999999</v>
      </c>
      <c r="L3" s="282">
        <v>22</v>
      </c>
      <c r="M3" s="281">
        <f>K3-L3</f>
        <v>135.16999999999999</v>
      </c>
      <c r="N3" s="281">
        <v>2.68</v>
      </c>
      <c r="O3" s="281">
        <v>0</v>
      </c>
      <c r="P3" s="281">
        <f t="shared" ref="P3:P66" si="0">N3-O3</f>
        <v>2.68</v>
      </c>
      <c r="Q3" s="395">
        <v>220.8</v>
      </c>
      <c r="R3" s="395">
        <v>66</v>
      </c>
      <c r="S3" s="395">
        <v>0</v>
      </c>
      <c r="T3" s="281">
        <v>110</v>
      </c>
      <c r="U3" s="281">
        <v>0</v>
      </c>
      <c r="V3" s="281">
        <f t="shared" ref="V3:V66" si="1">T3-U3</f>
        <v>110</v>
      </c>
      <c r="W3" s="283" t="s">
        <v>736</v>
      </c>
      <c r="X3" s="284">
        <v>0</v>
      </c>
      <c r="Y3" s="395">
        <v>0</v>
      </c>
      <c r="Z3" s="395">
        <v>0</v>
      </c>
      <c r="AA3" s="399"/>
      <c r="AB3" s="395">
        <f>SUM(Z3,V3,S3,P3,M3,J3,I3)</f>
        <v>247.85</v>
      </c>
      <c r="AC3" s="431"/>
    </row>
    <row r="4" spans="1:29" s="153" customFormat="1" hidden="1">
      <c r="A4" s="391" t="s">
        <v>467</v>
      </c>
      <c r="B4" s="392" t="s">
        <v>468</v>
      </c>
      <c r="C4" s="266">
        <v>13595668480</v>
      </c>
      <c r="D4" s="267" t="s">
        <v>477</v>
      </c>
      <c r="E4" s="267">
        <v>3</v>
      </c>
      <c r="F4" s="274" t="s">
        <v>710</v>
      </c>
      <c r="G4" s="271" t="s">
        <v>906</v>
      </c>
      <c r="H4" s="271"/>
      <c r="I4" s="394" t="s">
        <v>931</v>
      </c>
      <c r="J4" s="394"/>
      <c r="K4" s="281">
        <v>157.16999999999999</v>
      </c>
      <c r="L4" s="282">
        <v>22</v>
      </c>
      <c r="M4" s="281">
        <f>K4-L4</f>
        <v>135.16999999999999</v>
      </c>
      <c r="N4" s="281">
        <v>2.68</v>
      </c>
      <c r="O4" s="281">
        <v>0</v>
      </c>
      <c r="P4" s="281">
        <f t="shared" si="0"/>
        <v>2.68</v>
      </c>
      <c r="Q4" s="395">
        <v>150.4</v>
      </c>
      <c r="R4" s="395">
        <v>66</v>
      </c>
      <c r="S4" s="395">
        <v>0</v>
      </c>
      <c r="T4" s="281">
        <v>513.33000000000004</v>
      </c>
      <c r="U4" s="281">
        <v>0</v>
      </c>
      <c r="V4" s="281">
        <f t="shared" si="1"/>
        <v>513.33000000000004</v>
      </c>
      <c r="W4" s="283" t="s">
        <v>736</v>
      </c>
      <c r="X4" s="284">
        <v>0</v>
      </c>
      <c r="Y4" s="395">
        <v>0</v>
      </c>
      <c r="Z4" s="395">
        <v>0</v>
      </c>
      <c r="AA4" s="399"/>
      <c r="AB4" s="395">
        <f t="shared" ref="AB4:AB67" si="2">SUM(Z4,V4,S4,P4,M4,J4,I4)</f>
        <v>651.17999999999995</v>
      </c>
      <c r="AC4" s="432"/>
    </row>
    <row r="5" spans="1:29" s="153" customFormat="1" hidden="1">
      <c r="A5" s="391" t="s">
        <v>467</v>
      </c>
      <c r="B5" s="392" t="s">
        <v>468</v>
      </c>
      <c r="C5" s="266" t="s">
        <v>478</v>
      </c>
      <c r="D5" s="267" t="s">
        <v>479</v>
      </c>
      <c r="E5" s="267">
        <v>3</v>
      </c>
      <c r="F5" s="273" t="s">
        <v>711</v>
      </c>
      <c r="G5" s="271" t="s">
        <v>906</v>
      </c>
      <c r="H5" s="271"/>
      <c r="I5" s="394" t="s">
        <v>932</v>
      </c>
      <c r="J5" s="394"/>
      <c r="K5" s="281">
        <v>157.16999999999999</v>
      </c>
      <c r="L5" s="282">
        <v>67.75</v>
      </c>
      <c r="M5" s="281">
        <f>K5-L5</f>
        <v>89.419999999999987</v>
      </c>
      <c r="N5" s="281">
        <v>2.68</v>
      </c>
      <c r="O5" s="281">
        <v>0</v>
      </c>
      <c r="P5" s="281">
        <f t="shared" si="0"/>
        <v>2.68</v>
      </c>
      <c r="Q5" s="395">
        <v>0</v>
      </c>
      <c r="R5" s="395">
        <v>0</v>
      </c>
      <c r="S5" s="395">
        <v>0</v>
      </c>
      <c r="T5" s="281">
        <v>0</v>
      </c>
      <c r="U5" s="281">
        <v>0</v>
      </c>
      <c r="V5" s="281">
        <f t="shared" si="1"/>
        <v>0</v>
      </c>
      <c r="W5" s="283"/>
      <c r="X5" s="284">
        <v>790.44</v>
      </c>
      <c r="Y5" s="395">
        <v>0</v>
      </c>
      <c r="Z5" s="395">
        <v>0</v>
      </c>
      <c r="AA5" s="399"/>
      <c r="AB5" s="395">
        <f t="shared" si="2"/>
        <v>92.1</v>
      </c>
      <c r="AC5" s="432"/>
    </row>
    <row r="6" spans="1:29" s="154" customFormat="1">
      <c r="A6" s="391" t="s">
        <v>467</v>
      </c>
      <c r="B6" s="392" t="s">
        <v>468</v>
      </c>
      <c r="C6" s="266" t="s">
        <v>480</v>
      </c>
      <c r="D6" s="267" t="s">
        <v>481</v>
      </c>
      <c r="E6" s="267">
        <v>2</v>
      </c>
      <c r="F6" s="273" t="s">
        <v>708</v>
      </c>
      <c r="G6" s="271" t="s">
        <v>906</v>
      </c>
      <c r="H6" s="271"/>
      <c r="I6" s="394" t="s">
        <v>933</v>
      </c>
      <c r="J6" s="394"/>
      <c r="K6" s="281">
        <v>157.16999999999999</v>
      </c>
      <c r="L6" s="282">
        <v>25.05</v>
      </c>
      <c r="M6" s="281">
        <f t="shared" ref="M6:M51" si="3">K6-L6</f>
        <v>132.11999999999998</v>
      </c>
      <c r="N6" s="281">
        <v>2.68</v>
      </c>
      <c r="O6" s="281">
        <v>0</v>
      </c>
      <c r="P6" s="281">
        <f t="shared" si="0"/>
        <v>2.68</v>
      </c>
      <c r="Q6" s="395">
        <v>0</v>
      </c>
      <c r="R6" s="395">
        <v>0</v>
      </c>
      <c r="S6" s="395">
        <v>0</v>
      </c>
      <c r="T6" s="281">
        <v>375.76</v>
      </c>
      <c r="U6" s="281">
        <v>0</v>
      </c>
      <c r="V6" s="281">
        <f t="shared" si="1"/>
        <v>375.76</v>
      </c>
      <c r="W6" s="283" t="s">
        <v>736</v>
      </c>
      <c r="X6" s="284">
        <v>0</v>
      </c>
      <c r="Y6" s="395">
        <v>0</v>
      </c>
      <c r="Z6" s="395">
        <v>0</v>
      </c>
      <c r="AA6" s="399"/>
      <c r="AB6" s="395">
        <f t="shared" si="2"/>
        <v>510.55999999999995</v>
      </c>
      <c r="AC6" s="433"/>
    </row>
    <row r="7" spans="1:29" s="154" customFormat="1">
      <c r="A7" s="391" t="s">
        <v>467</v>
      </c>
      <c r="B7" s="392" t="s">
        <v>468</v>
      </c>
      <c r="C7" s="266" t="s">
        <v>482</v>
      </c>
      <c r="D7" s="267" t="s">
        <v>483</v>
      </c>
      <c r="E7" s="267">
        <v>2</v>
      </c>
      <c r="F7" s="273" t="s">
        <v>712</v>
      </c>
      <c r="G7" s="271" t="s">
        <v>906</v>
      </c>
      <c r="H7" s="271"/>
      <c r="I7" s="394" t="s">
        <v>934</v>
      </c>
      <c r="J7" s="394"/>
      <c r="K7" s="281">
        <v>157.16999999999999</v>
      </c>
      <c r="L7" s="282">
        <v>0</v>
      </c>
      <c r="M7" s="281">
        <f t="shared" si="3"/>
        <v>157.16999999999999</v>
      </c>
      <c r="N7" s="281">
        <v>4.3600000000000003</v>
      </c>
      <c r="O7" s="281">
        <v>0</v>
      </c>
      <c r="P7" s="281">
        <f t="shared" si="0"/>
        <v>4.3600000000000003</v>
      </c>
      <c r="Q7" s="395">
        <v>0</v>
      </c>
      <c r="R7" s="395">
        <v>0</v>
      </c>
      <c r="S7" s="395">
        <v>0</v>
      </c>
      <c r="T7" s="281">
        <v>0</v>
      </c>
      <c r="U7" s="281">
        <v>0</v>
      </c>
      <c r="V7" s="281">
        <f t="shared" si="1"/>
        <v>0</v>
      </c>
      <c r="W7" s="283"/>
      <c r="X7" s="284">
        <v>0</v>
      </c>
      <c r="Y7" s="395">
        <v>0</v>
      </c>
      <c r="Z7" s="395">
        <v>0</v>
      </c>
      <c r="AA7" s="399"/>
      <c r="AB7" s="395">
        <f t="shared" si="2"/>
        <v>161.53</v>
      </c>
      <c r="AC7" s="433"/>
    </row>
    <row r="8" spans="1:29" s="154" customFormat="1">
      <c r="A8" s="391" t="s">
        <v>467</v>
      </c>
      <c r="B8" s="392" t="s">
        <v>468</v>
      </c>
      <c r="C8" s="266" t="s">
        <v>484</v>
      </c>
      <c r="D8" s="267" t="s">
        <v>485</v>
      </c>
      <c r="E8" s="267">
        <v>2</v>
      </c>
      <c r="F8" s="273" t="s">
        <v>708</v>
      </c>
      <c r="G8" s="271" t="s">
        <v>906</v>
      </c>
      <c r="H8" s="271"/>
      <c r="I8" s="394" t="s">
        <v>935</v>
      </c>
      <c r="J8" s="394"/>
      <c r="K8" s="281">
        <v>157.16999999999999</v>
      </c>
      <c r="L8" s="282">
        <v>25.05</v>
      </c>
      <c r="M8" s="281">
        <f t="shared" si="3"/>
        <v>132.11999999999998</v>
      </c>
      <c r="N8" s="281">
        <v>2.68</v>
      </c>
      <c r="O8" s="281">
        <v>0</v>
      </c>
      <c r="P8" s="281">
        <f t="shared" si="0"/>
        <v>2.68</v>
      </c>
      <c r="Q8" s="395">
        <v>174</v>
      </c>
      <c r="R8" s="395">
        <v>75.150000000000006</v>
      </c>
      <c r="S8" s="395">
        <v>0</v>
      </c>
      <c r="T8" s="281">
        <v>0</v>
      </c>
      <c r="U8" s="281">
        <v>0</v>
      </c>
      <c r="V8" s="281">
        <f t="shared" si="1"/>
        <v>0</v>
      </c>
      <c r="W8" s="283"/>
      <c r="X8" s="284">
        <v>0</v>
      </c>
      <c r="Y8" s="395">
        <v>0</v>
      </c>
      <c r="Z8" s="395">
        <v>0</v>
      </c>
      <c r="AA8" s="399"/>
      <c r="AB8" s="395">
        <f t="shared" si="2"/>
        <v>134.79999999999998</v>
      </c>
      <c r="AC8" s="433"/>
    </row>
    <row r="9" spans="1:29" s="152" customFormat="1" hidden="1">
      <c r="A9" s="391" t="s">
        <v>467</v>
      </c>
      <c r="B9" s="392" t="s">
        <v>468</v>
      </c>
      <c r="C9" s="266">
        <v>88999882420</v>
      </c>
      <c r="D9" s="267" t="s">
        <v>486</v>
      </c>
      <c r="E9" s="267">
        <v>3</v>
      </c>
      <c r="F9" s="274" t="s">
        <v>710</v>
      </c>
      <c r="G9" s="271" t="s">
        <v>906</v>
      </c>
      <c r="H9" s="271"/>
      <c r="I9" s="394" t="s">
        <v>936</v>
      </c>
      <c r="J9" s="394"/>
      <c r="K9" s="281">
        <v>157.16999999999999</v>
      </c>
      <c r="L9" s="282">
        <v>22</v>
      </c>
      <c r="M9" s="281">
        <f t="shared" si="3"/>
        <v>135.16999999999999</v>
      </c>
      <c r="N9" s="281">
        <v>2.68</v>
      </c>
      <c r="O9" s="281">
        <v>0</v>
      </c>
      <c r="P9" s="281">
        <f t="shared" si="0"/>
        <v>2.68</v>
      </c>
      <c r="Q9" s="395">
        <v>122.25</v>
      </c>
      <c r="R9" s="395">
        <v>66</v>
      </c>
      <c r="S9" s="395">
        <v>0</v>
      </c>
      <c r="T9" s="281">
        <v>0</v>
      </c>
      <c r="U9" s="281">
        <v>0</v>
      </c>
      <c r="V9" s="281">
        <f t="shared" si="1"/>
        <v>0</v>
      </c>
      <c r="W9" s="283"/>
      <c r="X9" s="284">
        <v>0</v>
      </c>
      <c r="Y9" s="395">
        <v>0</v>
      </c>
      <c r="Z9" s="395">
        <v>0</v>
      </c>
      <c r="AA9" s="399"/>
      <c r="AB9" s="395">
        <f t="shared" si="2"/>
        <v>137.85</v>
      </c>
      <c r="AC9" s="431"/>
    </row>
    <row r="10" spans="1:29" s="152" customFormat="1">
      <c r="A10" s="391" t="s">
        <v>467</v>
      </c>
      <c r="B10" s="392" t="s">
        <v>468</v>
      </c>
      <c r="C10" s="266" t="s">
        <v>487</v>
      </c>
      <c r="D10" s="267" t="s">
        <v>488</v>
      </c>
      <c r="E10" s="267">
        <v>2</v>
      </c>
      <c r="F10" s="273" t="s">
        <v>708</v>
      </c>
      <c r="G10" s="271" t="s">
        <v>906</v>
      </c>
      <c r="H10" s="271"/>
      <c r="I10" s="394" t="s">
        <v>935</v>
      </c>
      <c r="J10" s="394"/>
      <c r="K10" s="281">
        <v>157.16999999999999</v>
      </c>
      <c r="L10" s="282">
        <v>25.05</v>
      </c>
      <c r="M10" s="281">
        <f t="shared" si="3"/>
        <v>132.11999999999998</v>
      </c>
      <c r="N10" s="281">
        <v>2.68</v>
      </c>
      <c r="O10" s="281">
        <v>0</v>
      </c>
      <c r="P10" s="281">
        <f t="shared" si="0"/>
        <v>2.68</v>
      </c>
      <c r="Q10" s="395">
        <v>188</v>
      </c>
      <c r="R10" s="395">
        <v>75.150000000000006</v>
      </c>
      <c r="S10" s="395">
        <v>0</v>
      </c>
      <c r="T10" s="281">
        <v>0</v>
      </c>
      <c r="U10" s="281">
        <v>0</v>
      </c>
      <c r="V10" s="281">
        <f t="shared" si="1"/>
        <v>0</v>
      </c>
      <c r="W10" s="283"/>
      <c r="X10" s="284">
        <v>0</v>
      </c>
      <c r="Y10" s="395">
        <v>0</v>
      </c>
      <c r="Z10" s="395">
        <v>0</v>
      </c>
      <c r="AA10" s="399"/>
      <c r="AB10" s="395">
        <f t="shared" si="2"/>
        <v>134.79999999999998</v>
      </c>
      <c r="AC10" s="431"/>
    </row>
    <row r="11" spans="1:29" s="154" customFormat="1">
      <c r="A11" s="391" t="s">
        <v>467</v>
      </c>
      <c r="B11" s="392" t="s">
        <v>468</v>
      </c>
      <c r="C11" s="266" t="s">
        <v>489</v>
      </c>
      <c r="D11" s="267" t="s">
        <v>490</v>
      </c>
      <c r="E11" s="267">
        <v>2</v>
      </c>
      <c r="F11" s="273" t="s">
        <v>708</v>
      </c>
      <c r="G11" s="271" t="s">
        <v>906</v>
      </c>
      <c r="H11" s="271"/>
      <c r="I11" s="394" t="s">
        <v>935</v>
      </c>
      <c r="J11" s="394"/>
      <c r="K11" s="281">
        <v>157.16999999999999</v>
      </c>
      <c r="L11" s="282">
        <v>25.05</v>
      </c>
      <c r="M11" s="281">
        <f t="shared" si="3"/>
        <v>132.11999999999998</v>
      </c>
      <c r="N11" s="281">
        <v>2.68</v>
      </c>
      <c r="O11" s="281">
        <v>0</v>
      </c>
      <c r="P11" s="281">
        <f t="shared" si="0"/>
        <v>2.68</v>
      </c>
      <c r="Q11" s="395">
        <v>81.5</v>
      </c>
      <c r="R11" s="395">
        <v>75.150000000000006</v>
      </c>
      <c r="S11" s="395">
        <v>0</v>
      </c>
      <c r="T11" s="281">
        <v>0</v>
      </c>
      <c r="U11" s="281">
        <v>0</v>
      </c>
      <c r="V11" s="281">
        <f t="shared" si="1"/>
        <v>0</v>
      </c>
      <c r="W11" s="283"/>
      <c r="X11" s="284">
        <v>0</v>
      </c>
      <c r="Y11" s="395">
        <v>0</v>
      </c>
      <c r="Z11" s="395">
        <v>0</v>
      </c>
      <c r="AA11" s="399"/>
      <c r="AB11" s="395">
        <f t="shared" si="2"/>
        <v>134.79999999999998</v>
      </c>
      <c r="AC11" s="433"/>
    </row>
    <row r="12" spans="1:29" s="154" customFormat="1">
      <c r="A12" s="391" t="s">
        <v>467</v>
      </c>
      <c r="B12" s="392" t="s">
        <v>468</v>
      </c>
      <c r="C12" s="266" t="s">
        <v>491</v>
      </c>
      <c r="D12" s="267" t="s">
        <v>492</v>
      </c>
      <c r="E12" s="267">
        <v>2</v>
      </c>
      <c r="F12" s="273" t="s">
        <v>712</v>
      </c>
      <c r="G12" s="271" t="s">
        <v>906</v>
      </c>
      <c r="H12" s="271"/>
      <c r="I12" s="394" t="s">
        <v>934</v>
      </c>
      <c r="J12" s="394"/>
      <c r="K12" s="281">
        <v>157.16999999999999</v>
      </c>
      <c r="L12" s="282">
        <v>0</v>
      </c>
      <c r="M12" s="281">
        <f t="shared" si="3"/>
        <v>157.16999999999999</v>
      </c>
      <c r="N12" s="281">
        <v>4.3600000000000003</v>
      </c>
      <c r="O12" s="281">
        <v>0</v>
      </c>
      <c r="P12" s="281">
        <f t="shared" si="0"/>
        <v>4.3600000000000003</v>
      </c>
      <c r="Q12" s="395">
        <v>0</v>
      </c>
      <c r="R12" s="395">
        <v>0</v>
      </c>
      <c r="S12" s="395">
        <v>0</v>
      </c>
      <c r="T12" s="281">
        <v>0</v>
      </c>
      <c r="U12" s="281">
        <v>0</v>
      </c>
      <c r="V12" s="281">
        <f t="shared" si="1"/>
        <v>0</v>
      </c>
      <c r="W12" s="283"/>
      <c r="X12" s="284">
        <v>0</v>
      </c>
      <c r="Y12" s="395">
        <v>0</v>
      </c>
      <c r="Z12" s="395">
        <v>0</v>
      </c>
      <c r="AA12" s="399"/>
      <c r="AB12" s="395">
        <f t="shared" si="2"/>
        <v>161.53</v>
      </c>
      <c r="AC12" s="433"/>
    </row>
    <row r="13" spans="1:29" s="154" customFormat="1">
      <c r="A13" s="391" t="s">
        <v>467</v>
      </c>
      <c r="B13" s="392" t="s">
        <v>468</v>
      </c>
      <c r="C13" s="266" t="s">
        <v>493</v>
      </c>
      <c r="D13" s="267" t="s">
        <v>494</v>
      </c>
      <c r="E13" s="267">
        <v>2</v>
      </c>
      <c r="F13" s="273" t="s">
        <v>713</v>
      </c>
      <c r="G13" s="271" t="s">
        <v>906</v>
      </c>
      <c r="H13" s="271"/>
      <c r="I13" s="394" t="s">
        <v>937</v>
      </c>
      <c r="J13" s="394"/>
      <c r="K13" s="281">
        <v>157.16999999999999</v>
      </c>
      <c r="L13" s="282">
        <v>0</v>
      </c>
      <c r="M13" s="281">
        <f t="shared" si="3"/>
        <v>157.16999999999999</v>
      </c>
      <c r="N13" s="284">
        <v>5.36</v>
      </c>
      <c r="O13" s="284">
        <v>0</v>
      </c>
      <c r="P13" s="281">
        <f t="shared" si="0"/>
        <v>5.36</v>
      </c>
      <c r="Q13" s="395">
        <v>0</v>
      </c>
      <c r="R13" s="395">
        <v>0</v>
      </c>
      <c r="S13" s="395">
        <v>0</v>
      </c>
      <c r="T13" s="284">
        <v>205.59</v>
      </c>
      <c r="U13" s="284">
        <v>0</v>
      </c>
      <c r="V13" s="281">
        <f t="shared" si="1"/>
        <v>205.59</v>
      </c>
      <c r="W13" s="283" t="s">
        <v>736</v>
      </c>
      <c r="X13" s="284">
        <v>0</v>
      </c>
      <c r="Y13" s="395">
        <v>0</v>
      </c>
      <c r="Z13" s="395">
        <v>0</v>
      </c>
      <c r="AA13" s="399"/>
      <c r="AB13" s="395">
        <f t="shared" si="2"/>
        <v>368.12</v>
      </c>
      <c r="AC13" s="433"/>
    </row>
    <row r="14" spans="1:29" s="154" customFormat="1">
      <c r="A14" s="391" t="s">
        <v>467</v>
      </c>
      <c r="B14" s="392" t="s">
        <v>468</v>
      </c>
      <c r="C14" s="266" t="s">
        <v>495</v>
      </c>
      <c r="D14" s="267" t="s">
        <v>496</v>
      </c>
      <c r="E14" s="267">
        <v>2</v>
      </c>
      <c r="F14" s="275" t="s">
        <v>714</v>
      </c>
      <c r="G14" s="271" t="s">
        <v>906</v>
      </c>
      <c r="H14" s="271"/>
      <c r="I14" s="394" t="s">
        <v>938</v>
      </c>
      <c r="J14" s="394"/>
      <c r="K14" s="281">
        <v>157.16999999999999</v>
      </c>
      <c r="L14" s="282">
        <v>0</v>
      </c>
      <c r="M14" s="281">
        <f t="shared" si="3"/>
        <v>157.16999999999999</v>
      </c>
      <c r="N14" s="284">
        <v>18.690000000000001</v>
      </c>
      <c r="O14" s="284">
        <v>0</v>
      </c>
      <c r="P14" s="281">
        <f t="shared" si="0"/>
        <v>18.690000000000001</v>
      </c>
      <c r="Q14" s="395">
        <v>0</v>
      </c>
      <c r="R14" s="395">
        <v>0</v>
      </c>
      <c r="S14" s="395">
        <v>0</v>
      </c>
      <c r="T14" s="284">
        <v>0</v>
      </c>
      <c r="U14" s="284">
        <v>0</v>
      </c>
      <c r="V14" s="281">
        <f t="shared" si="1"/>
        <v>0</v>
      </c>
      <c r="W14" s="283"/>
      <c r="X14" s="284">
        <v>0</v>
      </c>
      <c r="Y14" s="395">
        <v>0</v>
      </c>
      <c r="Z14" s="395">
        <v>0</v>
      </c>
      <c r="AA14" s="399"/>
      <c r="AB14" s="395">
        <f t="shared" si="2"/>
        <v>175.85999999999999</v>
      </c>
      <c r="AC14" s="433"/>
    </row>
    <row r="15" spans="1:29" s="154" customFormat="1">
      <c r="A15" s="391" t="s">
        <v>467</v>
      </c>
      <c r="B15" s="392" t="s">
        <v>468</v>
      </c>
      <c r="C15" s="266">
        <v>10283186429</v>
      </c>
      <c r="D15" s="267" t="s">
        <v>497</v>
      </c>
      <c r="E15" s="267">
        <v>2</v>
      </c>
      <c r="F15" s="274" t="s">
        <v>715</v>
      </c>
      <c r="G15" s="271" t="s">
        <v>906</v>
      </c>
      <c r="H15" s="271"/>
      <c r="I15" s="394" t="s">
        <v>939</v>
      </c>
      <c r="J15" s="394"/>
      <c r="K15" s="281">
        <v>157.16999999999999</v>
      </c>
      <c r="L15" s="282">
        <v>24.18</v>
      </c>
      <c r="M15" s="281">
        <f t="shared" si="3"/>
        <v>132.98999999999998</v>
      </c>
      <c r="N15" s="284">
        <v>2.68</v>
      </c>
      <c r="O15" s="284">
        <v>0</v>
      </c>
      <c r="P15" s="281">
        <f t="shared" si="0"/>
        <v>2.68</v>
      </c>
      <c r="Q15" s="395">
        <v>150.4</v>
      </c>
      <c r="R15" s="395">
        <v>72.53</v>
      </c>
      <c r="S15" s="395">
        <v>0</v>
      </c>
      <c r="T15" s="284">
        <v>0</v>
      </c>
      <c r="U15" s="284">
        <v>0</v>
      </c>
      <c r="V15" s="281">
        <f t="shared" si="1"/>
        <v>0</v>
      </c>
      <c r="W15" s="283"/>
      <c r="X15" s="284">
        <v>0</v>
      </c>
      <c r="Y15" s="395">
        <v>0</v>
      </c>
      <c r="Z15" s="395">
        <v>0</v>
      </c>
      <c r="AA15" s="399"/>
      <c r="AB15" s="395">
        <f t="shared" si="2"/>
        <v>135.66999999999999</v>
      </c>
      <c r="AC15" s="433"/>
    </row>
    <row r="16" spans="1:29" s="154" customFormat="1">
      <c r="A16" s="391" t="s">
        <v>467</v>
      </c>
      <c r="B16" s="392" t="s">
        <v>468</v>
      </c>
      <c r="C16" s="266" t="s">
        <v>498</v>
      </c>
      <c r="D16" s="268" t="s">
        <v>499</v>
      </c>
      <c r="E16" s="267">
        <v>2</v>
      </c>
      <c r="F16" s="274" t="s">
        <v>715</v>
      </c>
      <c r="G16" s="271" t="s">
        <v>906</v>
      </c>
      <c r="H16" s="271"/>
      <c r="I16" s="394" t="s">
        <v>940</v>
      </c>
      <c r="J16" s="394"/>
      <c r="K16" s="281">
        <v>157.16999999999999</v>
      </c>
      <c r="L16" s="282">
        <v>24.18</v>
      </c>
      <c r="M16" s="281">
        <f t="shared" si="3"/>
        <v>132.98999999999998</v>
      </c>
      <c r="N16" s="284">
        <v>2.68</v>
      </c>
      <c r="O16" s="284">
        <v>0</v>
      </c>
      <c r="P16" s="281">
        <f t="shared" si="0"/>
        <v>2.68</v>
      </c>
      <c r="Q16" s="395">
        <v>207</v>
      </c>
      <c r="R16" s="395">
        <v>72.53</v>
      </c>
      <c r="S16" s="395">
        <v>0</v>
      </c>
      <c r="T16" s="284">
        <v>40.29</v>
      </c>
      <c r="U16" s="284">
        <v>0</v>
      </c>
      <c r="V16" s="281">
        <f t="shared" si="1"/>
        <v>40.29</v>
      </c>
      <c r="W16" s="283" t="s">
        <v>736</v>
      </c>
      <c r="X16" s="284">
        <v>0</v>
      </c>
      <c r="Y16" s="395">
        <v>0</v>
      </c>
      <c r="Z16" s="395">
        <v>0</v>
      </c>
      <c r="AA16" s="399"/>
      <c r="AB16" s="395">
        <f t="shared" si="2"/>
        <v>175.95999999999998</v>
      </c>
      <c r="AC16" s="433"/>
    </row>
    <row r="17" spans="1:29" s="154" customFormat="1" hidden="1">
      <c r="A17" s="391" t="s">
        <v>467</v>
      </c>
      <c r="B17" s="392" t="s">
        <v>468</v>
      </c>
      <c r="C17" s="266" t="s">
        <v>500</v>
      </c>
      <c r="D17" s="267" t="s">
        <v>501</v>
      </c>
      <c r="E17" s="267">
        <v>3</v>
      </c>
      <c r="F17" s="276" t="s">
        <v>716</v>
      </c>
      <c r="G17" s="271" t="s">
        <v>906</v>
      </c>
      <c r="H17" s="271"/>
      <c r="I17" s="394" t="s">
        <v>941</v>
      </c>
      <c r="J17" s="394"/>
      <c r="K17" s="281">
        <v>157.16999999999999</v>
      </c>
      <c r="L17" s="282">
        <v>22</v>
      </c>
      <c r="M17" s="281">
        <f t="shared" si="3"/>
        <v>135.16999999999999</v>
      </c>
      <c r="N17" s="281">
        <v>2.68</v>
      </c>
      <c r="O17" s="281">
        <v>0</v>
      </c>
      <c r="P17" s="281">
        <f t="shared" si="0"/>
        <v>2.68</v>
      </c>
      <c r="Q17" s="395">
        <v>0</v>
      </c>
      <c r="R17" s="395">
        <v>0</v>
      </c>
      <c r="S17" s="395">
        <v>0</v>
      </c>
      <c r="T17" s="281">
        <v>0</v>
      </c>
      <c r="U17" s="281">
        <v>0</v>
      </c>
      <c r="V17" s="281">
        <f t="shared" si="1"/>
        <v>0</v>
      </c>
      <c r="W17" s="283"/>
      <c r="X17" s="284">
        <v>0</v>
      </c>
      <c r="Y17" s="395">
        <v>0</v>
      </c>
      <c r="Z17" s="395">
        <v>0</v>
      </c>
      <c r="AA17" s="399"/>
      <c r="AB17" s="395">
        <f t="shared" si="2"/>
        <v>137.85</v>
      </c>
      <c r="AC17" s="433"/>
    </row>
    <row r="18" spans="1:29" s="154" customFormat="1" hidden="1">
      <c r="A18" s="391" t="s">
        <v>467</v>
      </c>
      <c r="B18" s="392" t="s">
        <v>468</v>
      </c>
      <c r="C18" s="266">
        <v>70178717401</v>
      </c>
      <c r="D18" s="267" t="s">
        <v>502</v>
      </c>
      <c r="E18" s="267">
        <v>3</v>
      </c>
      <c r="F18" s="276" t="s">
        <v>716</v>
      </c>
      <c r="G18" s="271" t="s">
        <v>906</v>
      </c>
      <c r="H18" s="271"/>
      <c r="I18" s="394" t="s">
        <v>936</v>
      </c>
      <c r="J18" s="394"/>
      <c r="K18" s="281">
        <v>157.16999999999999</v>
      </c>
      <c r="L18" s="282">
        <v>22</v>
      </c>
      <c r="M18" s="281">
        <f t="shared" si="3"/>
        <v>135.16999999999999</v>
      </c>
      <c r="N18" s="281">
        <v>2.68</v>
      </c>
      <c r="O18" s="281">
        <v>0</v>
      </c>
      <c r="P18" s="281">
        <f t="shared" si="0"/>
        <v>2.68</v>
      </c>
      <c r="Q18" s="395">
        <v>141</v>
      </c>
      <c r="R18" s="395">
        <v>66</v>
      </c>
      <c r="S18" s="395">
        <v>0</v>
      </c>
      <c r="T18" s="281">
        <v>64</v>
      </c>
      <c r="U18" s="281">
        <v>0</v>
      </c>
      <c r="V18" s="281">
        <f t="shared" si="1"/>
        <v>64</v>
      </c>
      <c r="W18" s="283" t="s">
        <v>735</v>
      </c>
      <c r="X18" s="284">
        <v>48.62</v>
      </c>
      <c r="Y18" s="395">
        <v>0</v>
      </c>
      <c r="Z18" s="395">
        <v>0</v>
      </c>
      <c r="AA18" s="399"/>
      <c r="AB18" s="395">
        <f t="shared" si="2"/>
        <v>201.85</v>
      </c>
      <c r="AC18" s="433"/>
    </row>
    <row r="19" spans="1:29" s="154" customFormat="1" hidden="1">
      <c r="A19" s="391" t="s">
        <v>467</v>
      </c>
      <c r="B19" s="392" t="s">
        <v>468</v>
      </c>
      <c r="C19" s="266">
        <v>76801144472</v>
      </c>
      <c r="D19" s="267" t="s">
        <v>503</v>
      </c>
      <c r="E19" s="267">
        <v>3</v>
      </c>
      <c r="F19" s="273" t="s">
        <v>717</v>
      </c>
      <c r="G19" s="271" t="s">
        <v>906</v>
      </c>
      <c r="H19" s="271"/>
      <c r="I19" s="394" t="s">
        <v>942</v>
      </c>
      <c r="J19" s="394"/>
      <c r="K19" s="281">
        <v>157.16999999999999</v>
      </c>
      <c r="L19" s="282">
        <v>22</v>
      </c>
      <c r="M19" s="281">
        <f t="shared" si="3"/>
        <v>135.16999999999999</v>
      </c>
      <c r="N19" s="281">
        <v>2.68</v>
      </c>
      <c r="O19" s="281">
        <v>0</v>
      </c>
      <c r="P19" s="281">
        <f t="shared" si="0"/>
        <v>2.68</v>
      </c>
      <c r="Q19" s="395">
        <v>220.8</v>
      </c>
      <c r="R19" s="395">
        <v>66</v>
      </c>
      <c r="S19" s="395">
        <v>0</v>
      </c>
      <c r="T19" s="281">
        <v>0</v>
      </c>
      <c r="U19" s="281">
        <v>0</v>
      </c>
      <c r="V19" s="281">
        <f t="shared" si="1"/>
        <v>0</v>
      </c>
      <c r="W19" s="283"/>
      <c r="X19" s="284">
        <v>0</v>
      </c>
      <c r="Y19" s="395">
        <v>0</v>
      </c>
      <c r="Z19" s="395">
        <v>0</v>
      </c>
      <c r="AA19" s="399"/>
      <c r="AB19" s="395">
        <f t="shared" si="2"/>
        <v>137.85</v>
      </c>
      <c r="AC19" s="433"/>
    </row>
    <row r="20" spans="1:29" s="154" customFormat="1">
      <c r="A20" s="391" t="s">
        <v>467</v>
      </c>
      <c r="B20" s="392" t="s">
        <v>468</v>
      </c>
      <c r="C20" s="266" t="s">
        <v>504</v>
      </c>
      <c r="D20" s="268" t="s">
        <v>505</v>
      </c>
      <c r="E20" s="267">
        <v>2</v>
      </c>
      <c r="F20" s="273" t="s">
        <v>708</v>
      </c>
      <c r="G20" s="271" t="s">
        <v>906</v>
      </c>
      <c r="H20" s="271"/>
      <c r="I20" s="394" t="s">
        <v>935</v>
      </c>
      <c r="J20" s="394"/>
      <c r="K20" s="281">
        <v>157.16999999999999</v>
      </c>
      <c r="L20" s="282">
        <v>25.05</v>
      </c>
      <c r="M20" s="281">
        <f t="shared" si="3"/>
        <v>132.11999999999998</v>
      </c>
      <c r="N20" s="281">
        <v>2.68</v>
      </c>
      <c r="O20" s="281">
        <v>0</v>
      </c>
      <c r="P20" s="281">
        <f t="shared" si="0"/>
        <v>2.68</v>
      </c>
      <c r="Q20" s="395">
        <v>326</v>
      </c>
      <c r="R20" s="395">
        <v>75.150000000000006</v>
      </c>
      <c r="S20" s="395">
        <v>0</v>
      </c>
      <c r="T20" s="281">
        <v>0</v>
      </c>
      <c r="U20" s="281">
        <v>0</v>
      </c>
      <c r="V20" s="281">
        <f t="shared" si="1"/>
        <v>0</v>
      </c>
      <c r="W20" s="283"/>
      <c r="X20" s="284">
        <v>0</v>
      </c>
      <c r="Y20" s="395">
        <v>0</v>
      </c>
      <c r="Z20" s="395">
        <v>0</v>
      </c>
      <c r="AA20" s="399"/>
      <c r="AB20" s="395">
        <f t="shared" si="2"/>
        <v>134.79999999999998</v>
      </c>
      <c r="AC20" s="433"/>
    </row>
    <row r="21" spans="1:29" s="154" customFormat="1" hidden="1">
      <c r="A21" s="391" t="s">
        <v>467</v>
      </c>
      <c r="B21" s="392" t="s">
        <v>468</v>
      </c>
      <c r="C21" s="266" t="s">
        <v>506</v>
      </c>
      <c r="D21" s="267" t="s">
        <v>507</v>
      </c>
      <c r="E21" s="267">
        <v>3</v>
      </c>
      <c r="F21" s="274" t="s">
        <v>718</v>
      </c>
      <c r="G21" s="271" t="s">
        <v>906</v>
      </c>
      <c r="H21" s="271"/>
      <c r="I21" s="394" t="s">
        <v>943</v>
      </c>
      <c r="J21" s="394"/>
      <c r="K21" s="281">
        <v>157.16999999999999</v>
      </c>
      <c r="L21" s="282">
        <v>25.09</v>
      </c>
      <c r="M21" s="281">
        <f t="shared" si="3"/>
        <v>132.07999999999998</v>
      </c>
      <c r="N21" s="281">
        <v>2.68</v>
      </c>
      <c r="O21" s="281">
        <v>0</v>
      </c>
      <c r="P21" s="281">
        <f t="shared" si="0"/>
        <v>2.68</v>
      </c>
      <c r="Q21" s="395">
        <v>0</v>
      </c>
      <c r="R21" s="395">
        <v>0</v>
      </c>
      <c r="S21" s="395">
        <v>0</v>
      </c>
      <c r="T21" s="281">
        <v>0</v>
      </c>
      <c r="U21" s="281">
        <v>0</v>
      </c>
      <c r="V21" s="281">
        <f t="shared" si="1"/>
        <v>0</v>
      </c>
      <c r="W21" s="283"/>
      <c r="X21" s="284">
        <v>0</v>
      </c>
      <c r="Y21" s="395">
        <v>0</v>
      </c>
      <c r="Z21" s="395">
        <v>0</v>
      </c>
      <c r="AA21" s="399"/>
      <c r="AB21" s="395">
        <f t="shared" si="2"/>
        <v>134.76</v>
      </c>
      <c r="AC21" s="433"/>
    </row>
    <row r="22" spans="1:29" s="154" customFormat="1">
      <c r="A22" s="391" t="s">
        <v>467</v>
      </c>
      <c r="B22" s="392" t="s">
        <v>468</v>
      </c>
      <c r="C22" s="266" t="s">
        <v>508</v>
      </c>
      <c r="D22" s="267" t="s">
        <v>509</v>
      </c>
      <c r="E22" s="267">
        <v>2</v>
      </c>
      <c r="F22" s="274" t="s">
        <v>719</v>
      </c>
      <c r="G22" s="271" t="s">
        <v>906</v>
      </c>
      <c r="H22" s="271"/>
      <c r="I22" s="394" t="s">
        <v>938</v>
      </c>
      <c r="J22" s="394"/>
      <c r="K22" s="281">
        <v>157.16999999999999</v>
      </c>
      <c r="L22" s="282">
        <v>0</v>
      </c>
      <c r="M22" s="281">
        <f t="shared" si="3"/>
        <v>157.16999999999999</v>
      </c>
      <c r="N22" s="281">
        <v>18.690000000000001</v>
      </c>
      <c r="O22" s="281">
        <v>0</v>
      </c>
      <c r="P22" s="281">
        <v>0</v>
      </c>
      <c r="Q22" s="395">
        <v>0</v>
      </c>
      <c r="R22" s="395">
        <v>0</v>
      </c>
      <c r="S22" s="395">
        <v>0</v>
      </c>
      <c r="T22" s="281">
        <v>0</v>
      </c>
      <c r="U22" s="281">
        <v>0</v>
      </c>
      <c r="V22" s="281">
        <v>0</v>
      </c>
      <c r="W22" s="283"/>
      <c r="X22" s="284">
        <v>0</v>
      </c>
      <c r="Y22" s="395">
        <v>0</v>
      </c>
      <c r="Z22" s="395">
        <v>0</v>
      </c>
      <c r="AA22" s="399"/>
      <c r="AB22" s="395">
        <f t="shared" si="2"/>
        <v>157.16999999999999</v>
      </c>
      <c r="AC22" s="433"/>
    </row>
    <row r="23" spans="1:29" s="154" customFormat="1" hidden="1">
      <c r="A23" s="391" t="s">
        <v>467</v>
      </c>
      <c r="B23" s="392" t="s">
        <v>468</v>
      </c>
      <c r="C23" s="266" t="s">
        <v>510</v>
      </c>
      <c r="D23" s="267" t="s">
        <v>511</v>
      </c>
      <c r="E23" s="267">
        <v>3</v>
      </c>
      <c r="F23" s="274" t="s">
        <v>720</v>
      </c>
      <c r="G23" s="271" t="s">
        <v>906</v>
      </c>
      <c r="H23" s="271"/>
      <c r="I23" s="394" t="s">
        <v>944</v>
      </c>
      <c r="J23" s="394"/>
      <c r="K23" s="281">
        <v>157.16999999999999</v>
      </c>
      <c r="L23" s="282">
        <v>0</v>
      </c>
      <c r="M23" s="281">
        <f t="shared" si="3"/>
        <v>157.16999999999999</v>
      </c>
      <c r="N23" s="281">
        <v>2.68</v>
      </c>
      <c r="O23" s="281">
        <v>0</v>
      </c>
      <c r="P23" s="281">
        <f t="shared" si="0"/>
        <v>2.68</v>
      </c>
      <c r="Q23" s="395">
        <v>276</v>
      </c>
      <c r="R23" s="395">
        <v>180</v>
      </c>
      <c r="S23" s="395">
        <v>0</v>
      </c>
      <c r="T23" s="281">
        <v>0</v>
      </c>
      <c r="U23" s="281">
        <v>0</v>
      </c>
      <c r="V23" s="281">
        <f t="shared" si="1"/>
        <v>0</v>
      </c>
      <c r="W23" s="283"/>
      <c r="X23" s="284">
        <v>0</v>
      </c>
      <c r="Y23" s="395">
        <v>0</v>
      </c>
      <c r="Z23" s="395">
        <v>0</v>
      </c>
      <c r="AA23" s="399"/>
      <c r="AB23" s="395">
        <f t="shared" si="2"/>
        <v>159.85</v>
      </c>
      <c r="AC23" s="433"/>
    </row>
    <row r="24" spans="1:29" s="154" customFormat="1">
      <c r="A24" s="391" t="s">
        <v>467</v>
      </c>
      <c r="B24" s="392" t="s">
        <v>468</v>
      </c>
      <c r="C24" s="266" t="s">
        <v>512</v>
      </c>
      <c r="D24" s="267" t="s">
        <v>513</v>
      </c>
      <c r="E24" s="267">
        <v>2</v>
      </c>
      <c r="F24" s="273" t="s">
        <v>708</v>
      </c>
      <c r="G24" s="271" t="s">
        <v>906</v>
      </c>
      <c r="H24" s="271"/>
      <c r="I24" s="394" t="s">
        <v>935</v>
      </c>
      <c r="J24" s="394"/>
      <c r="K24" s="281">
        <v>157.16999999999999</v>
      </c>
      <c r="L24" s="282">
        <v>25.05</v>
      </c>
      <c r="M24" s="281">
        <f t="shared" si="3"/>
        <v>132.11999999999998</v>
      </c>
      <c r="N24" s="281">
        <v>2.68</v>
      </c>
      <c r="O24" s="281">
        <v>0</v>
      </c>
      <c r="P24" s="281">
        <f t="shared" si="0"/>
        <v>2.68</v>
      </c>
      <c r="Q24" s="395">
        <v>179.3</v>
      </c>
      <c r="R24" s="395">
        <v>75.150000000000006</v>
      </c>
      <c r="S24" s="395">
        <v>0</v>
      </c>
      <c r="T24" s="281">
        <v>64</v>
      </c>
      <c r="U24" s="281">
        <v>0</v>
      </c>
      <c r="V24" s="281">
        <f t="shared" si="1"/>
        <v>64</v>
      </c>
      <c r="W24" s="283" t="s">
        <v>735</v>
      </c>
      <c r="X24" s="284">
        <v>63.21</v>
      </c>
      <c r="Y24" s="395">
        <v>0</v>
      </c>
      <c r="Z24" s="395">
        <v>0</v>
      </c>
      <c r="AA24" s="399"/>
      <c r="AB24" s="395">
        <f t="shared" si="2"/>
        <v>198.79999999999998</v>
      </c>
      <c r="AC24" s="433"/>
    </row>
    <row r="25" spans="1:29" s="154" customFormat="1" hidden="1">
      <c r="A25" s="391" t="s">
        <v>467</v>
      </c>
      <c r="B25" s="392" t="s">
        <v>468</v>
      </c>
      <c r="C25" s="266">
        <v>78272203472</v>
      </c>
      <c r="D25" s="267" t="s">
        <v>514</v>
      </c>
      <c r="E25" s="267">
        <v>3</v>
      </c>
      <c r="F25" s="274" t="s">
        <v>718</v>
      </c>
      <c r="G25" s="271" t="s">
        <v>906</v>
      </c>
      <c r="H25" s="271"/>
      <c r="I25" s="394" t="s">
        <v>945</v>
      </c>
      <c r="J25" s="394"/>
      <c r="K25" s="281">
        <v>157.16999999999999</v>
      </c>
      <c r="L25" s="282">
        <v>25.09</v>
      </c>
      <c r="M25" s="281">
        <f t="shared" si="3"/>
        <v>132.07999999999998</v>
      </c>
      <c r="N25" s="281">
        <v>2.68</v>
      </c>
      <c r="O25" s="281">
        <v>0</v>
      </c>
      <c r="P25" s="281">
        <f t="shared" si="0"/>
        <v>2.68</v>
      </c>
      <c r="Q25" s="395">
        <v>0</v>
      </c>
      <c r="R25" s="395">
        <v>0</v>
      </c>
      <c r="S25" s="395">
        <v>0</v>
      </c>
      <c r="T25" s="281">
        <v>0</v>
      </c>
      <c r="U25" s="281">
        <v>0</v>
      </c>
      <c r="V25" s="281">
        <f t="shared" si="1"/>
        <v>0</v>
      </c>
      <c r="W25" s="283"/>
      <c r="X25" s="284">
        <v>0</v>
      </c>
      <c r="Y25" s="395">
        <v>0</v>
      </c>
      <c r="Z25" s="395">
        <v>0</v>
      </c>
      <c r="AA25" s="399"/>
      <c r="AB25" s="395">
        <f t="shared" si="2"/>
        <v>134.76</v>
      </c>
      <c r="AC25" s="433"/>
    </row>
    <row r="26" spans="1:29" s="154" customFormat="1">
      <c r="A26" s="391" t="s">
        <v>467</v>
      </c>
      <c r="B26" s="392" t="s">
        <v>468</v>
      </c>
      <c r="C26" s="266">
        <v>65002938434</v>
      </c>
      <c r="D26" s="267" t="s">
        <v>515</v>
      </c>
      <c r="E26" s="267">
        <v>2</v>
      </c>
      <c r="F26" s="274" t="s">
        <v>721</v>
      </c>
      <c r="G26" s="271" t="s">
        <v>906</v>
      </c>
      <c r="H26" s="271"/>
      <c r="I26" s="394" t="s">
        <v>946</v>
      </c>
      <c r="J26" s="394"/>
      <c r="K26" s="281">
        <v>157.16999999999999</v>
      </c>
      <c r="L26" s="282">
        <v>16.05</v>
      </c>
      <c r="M26" s="281">
        <f t="shared" si="3"/>
        <v>141.11999999999998</v>
      </c>
      <c r="N26" s="281">
        <v>2.68</v>
      </c>
      <c r="O26" s="281">
        <v>0</v>
      </c>
      <c r="P26" s="281">
        <f t="shared" si="0"/>
        <v>2.68</v>
      </c>
      <c r="Q26" s="395">
        <v>0</v>
      </c>
      <c r="R26" s="395">
        <v>0</v>
      </c>
      <c r="S26" s="395">
        <v>0</v>
      </c>
      <c r="T26" s="281">
        <v>0</v>
      </c>
      <c r="U26" s="281">
        <v>0</v>
      </c>
      <c r="V26" s="281">
        <f t="shared" si="1"/>
        <v>0</v>
      </c>
      <c r="W26" s="283"/>
      <c r="X26" s="284">
        <v>0</v>
      </c>
      <c r="Y26" s="395">
        <v>0</v>
      </c>
      <c r="Z26" s="395">
        <v>0</v>
      </c>
      <c r="AA26" s="399"/>
      <c r="AB26" s="395">
        <f t="shared" si="2"/>
        <v>143.79999999999998</v>
      </c>
      <c r="AC26" s="433"/>
    </row>
    <row r="27" spans="1:29" s="154" customFormat="1">
      <c r="A27" s="391" t="s">
        <v>467</v>
      </c>
      <c r="B27" s="392" t="s">
        <v>468</v>
      </c>
      <c r="C27" s="266" t="s">
        <v>516</v>
      </c>
      <c r="D27" s="267" t="s">
        <v>517</v>
      </c>
      <c r="E27" s="267">
        <v>2</v>
      </c>
      <c r="F27" s="273" t="s">
        <v>713</v>
      </c>
      <c r="G27" s="271" t="s">
        <v>906</v>
      </c>
      <c r="H27" s="271"/>
      <c r="I27" s="394" t="s">
        <v>947</v>
      </c>
      <c r="J27" s="394"/>
      <c r="K27" s="281">
        <v>157.16999999999999</v>
      </c>
      <c r="L27" s="282">
        <v>2.4300000000000002</v>
      </c>
      <c r="M27" s="281">
        <f t="shared" si="3"/>
        <v>154.73999999999998</v>
      </c>
      <c r="N27" s="281">
        <v>5.36</v>
      </c>
      <c r="O27" s="281">
        <v>0</v>
      </c>
      <c r="P27" s="281">
        <f t="shared" si="0"/>
        <v>5.36</v>
      </c>
      <c r="Q27" s="395">
        <v>0</v>
      </c>
      <c r="R27" s="395">
        <v>0</v>
      </c>
      <c r="S27" s="395">
        <v>0</v>
      </c>
      <c r="T27" s="281">
        <v>0</v>
      </c>
      <c r="U27" s="281">
        <v>0</v>
      </c>
      <c r="V27" s="281">
        <f t="shared" si="1"/>
        <v>0</v>
      </c>
      <c r="W27" s="283"/>
      <c r="X27" s="284">
        <v>0</v>
      </c>
      <c r="Y27" s="395">
        <v>0</v>
      </c>
      <c r="Z27" s="395">
        <v>0</v>
      </c>
      <c r="AA27" s="399"/>
      <c r="AB27" s="395">
        <f t="shared" si="2"/>
        <v>160.1</v>
      </c>
      <c r="AC27" s="433"/>
    </row>
    <row r="28" spans="1:29" s="154" customFormat="1" hidden="1">
      <c r="A28" s="391" t="s">
        <v>467</v>
      </c>
      <c r="B28" s="392" t="s">
        <v>468</v>
      </c>
      <c r="C28" s="266">
        <v>84767812453</v>
      </c>
      <c r="D28" s="268" t="s">
        <v>518</v>
      </c>
      <c r="E28" s="267">
        <v>3</v>
      </c>
      <c r="F28" s="274" t="s">
        <v>722</v>
      </c>
      <c r="G28" s="271" t="s">
        <v>906</v>
      </c>
      <c r="H28" s="271"/>
      <c r="I28" s="394" t="s">
        <v>948</v>
      </c>
      <c r="J28" s="394"/>
      <c r="K28" s="281">
        <v>157.16999999999999</v>
      </c>
      <c r="L28" s="282">
        <v>37.840000000000003</v>
      </c>
      <c r="M28" s="281">
        <f t="shared" si="3"/>
        <v>119.32999999999998</v>
      </c>
      <c r="N28" s="281">
        <v>2.68</v>
      </c>
      <c r="O28" s="281">
        <v>0</v>
      </c>
      <c r="P28" s="281">
        <f t="shared" si="0"/>
        <v>2.68</v>
      </c>
      <c r="Q28" s="395">
        <v>0</v>
      </c>
      <c r="R28" s="395">
        <v>0</v>
      </c>
      <c r="S28" s="395">
        <v>0</v>
      </c>
      <c r="T28" s="281">
        <v>630.69000000000005</v>
      </c>
      <c r="U28" s="281">
        <v>0</v>
      </c>
      <c r="V28" s="281">
        <f t="shared" si="1"/>
        <v>630.69000000000005</v>
      </c>
      <c r="W28" s="283" t="s">
        <v>736</v>
      </c>
      <c r="X28" s="284">
        <v>0</v>
      </c>
      <c r="Y28" s="395">
        <v>0</v>
      </c>
      <c r="Z28" s="395">
        <v>0</v>
      </c>
      <c r="AA28" s="399"/>
      <c r="AB28" s="395">
        <f t="shared" si="2"/>
        <v>752.7</v>
      </c>
      <c r="AC28" s="433"/>
    </row>
    <row r="29" spans="1:29" s="154" customFormat="1">
      <c r="A29" s="391" t="s">
        <v>467</v>
      </c>
      <c r="B29" s="392" t="s">
        <v>468</v>
      </c>
      <c r="C29" s="266">
        <v>77118162434</v>
      </c>
      <c r="D29" s="267" t="s">
        <v>519</v>
      </c>
      <c r="E29" s="267">
        <v>2</v>
      </c>
      <c r="F29" s="273" t="s">
        <v>713</v>
      </c>
      <c r="G29" s="271" t="s">
        <v>906</v>
      </c>
      <c r="H29" s="271"/>
      <c r="I29" s="394" t="s">
        <v>949</v>
      </c>
      <c r="J29" s="394"/>
      <c r="K29" s="281">
        <v>157.16999999999999</v>
      </c>
      <c r="L29" s="282">
        <v>2.4300000000000002</v>
      </c>
      <c r="M29" s="281">
        <f t="shared" si="3"/>
        <v>154.73999999999998</v>
      </c>
      <c r="N29" s="281">
        <v>5.36</v>
      </c>
      <c r="O29" s="281">
        <v>0</v>
      </c>
      <c r="P29" s="281">
        <f t="shared" si="0"/>
        <v>5.36</v>
      </c>
      <c r="Q29" s="395">
        <v>0</v>
      </c>
      <c r="R29" s="395">
        <v>0</v>
      </c>
      <c r="S29" s="395">
        <v>0</v>
      </c>
      <c r="T29" s="281">
        <v>0</v>
      </c>
      <c r="U29" s="281">
        <v>0</v>
      </c>
      <c r="V29" s="281">
        <f t="shared" si="1"/>
        <v>0</v>
      </c>
      <c r="W29" s="283"/>
      <c r="X29" s="284">
        <v>97.45</v>
      </c>
      <c r="Y29" s="395">
        <v>0</v>
      </c>
      <c r="Z29" s="395">
        <v>0</v>
      </c>
      <c r="AA29" s="399"/>
      <c r="AB29" s="395">
        <f t="shared" si="2"/>
        <v>160.1</v>
      </c>
      <c r="AC29" s="433"/>
    </row>
    <row r="30" spans="1:29" s="434" customFormat="1" hidden="1">
      <c r="A30" s="438" t="s">
        <v>467</v>
      </c>
      <c r="B30" s="331" t="s">
        <v>468</v>
      </c>
      <c r="C30" s="272" t="s">
        <v>520</v>
      </c>
      <c r="D30" s="439" t="s">
        <v>521</v>
      </c>
      <c r="E30" s="439">
        <v>3</v>
      </c>
      <c r="F30" s="440" t="s">
        <v>718</v>
      </c>
      <c r="G30" s="397" t="s">
        <v>906</v>
      </c>
      <c r="H30" s="397"/>
      <c r="I30" s="397" t="s">
        <v>950</v>
      </c>
      <c r="J30" s="397" t="s">
        <v>951</v>
      </c>
      <c r="K30" s="284">
        <v>157.16999999999999</v>
      </c>
      <c r="L30" s="284">
        <v>0</v>
      </c>
      <c r="M30" s="284">
        <f t="shared" si="3"/>
        <v>157.16999999999999</v>
      </c>
      <c r="N30" s="284">
        <v>0</v>
      </c>
      <c r="O30" s="284">
        <v>0</v>
      </c>
      <c r="P30" s="284">
        <f t="shared" si="0"/>
        <v>0</v>
      </c>
      <c r="Q30" s="398">
        <v>0</v>
      </c>
      <c r="R30" s="398">
        <v>0</v>
      </c>
      <c r="S30" s="398">
        <v>0</v>
      </c>
      <c r="T30" s="284">
        <v>0</v>
      </c>
      <c r="U30" s="284">
        <v>0</v>
      </c>
      <c r="V30" s="284">
        <f t="shared" si="1"/>
        <v>0</v>
      </c>
      <c r="W30" s="283"/>
      <c r="X30" s="284">
        <v>0</v>
      </c>
      <c r="Y30" s="398">
        <v>0</v>
      </c>
      <c r="Z30" s="398">
        <v>0</v>
      </c>
      <c r="AA30" s="400"/>
      <c r="AB30" s="398">
        <f t="shared" si="2"/>
        <v>157.16999999999999</v>
      </c>
    </row>
    <row r="31" spans="1:29" s="154" customFormat="1" hidden="1">
      <c r="A31" s="391" t="s">
        <v>467</v>
      </c>
      <c r="B31" s="392" t="s">
        <v>468</v>
      </c>
      <c r="C31" s="266">
        <v>62012720463</v>
      </c>
      <c r="D31" s="267" t="s">
        <v>522</v>
      </c>
      <c r="E31" s="267">
        <v>3</v>
      </c>
      <c r="F31" s="274" t="s">
        <v>722</v>
      </c>
      <c r="G31" s="271" t="s">
        <v>906</v>
      </c>
      <c r="H31" s="271"/>
      <c r="I31" s="394" t="s">
        <v>952</v>
      </c>
      <c r="J31" s="394"/>
      <c r="K31" s="281">
        <v>157.16999999999999</v>
      </c>
      <c r="L31" s="282">
        <v>37.840000000000003</v>
      </c>
      <c r="M31" s="281">
        <f t="shared" si="3"/>
        <v>119.32999999999998</v>
      </c>
      <c r="N31" s="281">
        <v>2.68</v>
      </c>
      <c r="O31" s="281">
        <v>0</v>
      </c>
      <c r="P31" s="281">
        <f t="shared" si="0"/>
        <v>2.68</v>
      </c>
      <c r="Q31" s="395">
        <v>0</v>
      </c>
      <c r="R31" s="395">
        <v>0</v>
      </c>
      <c r="S31" s="395">
        <v>0</v>
      </c>
      <c r="T31" s="281">
        <v>0</v>
      </c>
      <c r="U31" s="281">
        <v>0</v>
      </c>
      <c r="V31" s="281">
        <f t="shared" si="1"/>
        <v>0</v>
      </c>
      <c r="W31" s="283"/>
      <c r="X31" s="284">
        <v>0</v>
      </c>
      <c r="Y31" s="395">
        <v>0</v>
      </c>
      <c r="Z31" s="395">
        <v>0</v>
      </c>
      <c r="AA31" s="399"/>
      <c r="AB31" s="395">
        <f t="shared" si="2"/>
        <v>122.00999999999999</v>
      </c>
      <c r="AC31" s="433"/>
    </row>
    <row r="32" spans="1:29" s="154" customFormat="1" hidden="1">
      <c r="A32" s="391" t="s">
        <v>467</v>
      </c>
      <c r="B32" s="392" t="s">
        <v>468</v>
      </c>
      <c r="C32" s="266" t="s">
        <v>523</v>
      </c>
      <c r="D32" s="268" t="s">
        <v>524</v>
      </c>
      <c r="E32" s="267">
        <v>3</v>
      </c>
      <c r="F32" s="277" t="s">
        <v>723</v>
      </c>
      <c r="G32" s="271" t="s">
        <v>906</v>
      </c>
      <c r="H32" s="271"/>
      <c r="I32" s="394" t="s">
        <v>953</v>
      </c>
      <c r="J32" s="394"/>
      <c r="K32" s="281">
        <v>157.16999999999999</v>
      </c>
      <c r="L32" s="282">
        <v>25.26</v>
      </c>
      <c r="M32" s="281">
        <f t="shared" si="3"/>
        <v>131.91</v>
      </c>
      <c r="N32" s="281">
        <v>2.68</v>
      </c>
      <c r="O32" s="281">
        <v>0</v>
      </c>
      <c r="P32" s="281">
        <f t="shared" si="0"/>
        <v>2.68</v>
      </c>
      <c r="Q32" s="395">
        <v>0</v>
      </c>
      <c r="R32" s="395">
        <v>0</v>
      </c>
      <c r="S32" s="395">
        <v>0</v>
      </c>
      <c r="T32" s="281">
        <v>0</v>
      </c>
      <c r="U32" s="281">
        <v>0</v>
      </c>
      <c r="V32" s="281">
        <v>0</v>
      </c>
      <c r="W32" s="283"/>
      <c r="X32" s="284">
        <v>294.68</v>
      </c>
      <c r="Y32" s="395">
        <v>0</v>
      </c>
      <c r="Z32" s="395">
        <v>0</v>
      </c>
      <c r="AA32" s="399"/>
      <c r="AB32" s="395">
        <f t="shared" si="2"/>
        <v>134.59</v>
      </c>
      <c r="AC32" s="433"/>
    </row>
    <row r="33" spans="1:29" s="154" customFormat="1">
      <c r="A33" s="391" t="s">
        <v>467</v>
      </c>
      <c r="B33" s="392" t="s">
        <v>468</v>
      </c>
      <c r="C33" s="266" t="s">
        <v>525</v>
      </c>
      <c r="D33" s="267" t="s">
        <v>526</v>
      </c>
      <c r="E33" s="267">
        <v>2</v>
      </c>
      <c r="F33" s="273" t="s">
        <v>708</v>
      </c>
      <c r="G33" s="271" t="s">
        <v>906</v>
      </c>
      <c r="H33" s="271"/>
      <c r="I33" s="394" t="s">
        <v>954</v>
      </c>
      <c r="J33" s="394"/>
      <c r="K33" s="281">
        <v>157.16999999999999</v>
      </c>
      <c r="L33" s="282">
        <v>25.05</v>
      </c>
      <c r="M33" s="281">
        <f t="shared" si="3"/>
        <v>132.11999999999998</v>
      </c>
      <c r="N33" s="281">
        <v>2.68</v>
      </c>
      <c r="O33" s="281">
        <v>0</v>
      </c>
      <c r="P33" s="281">
        <f t="shared" si="0"/>
        <v>2.68</v>
      </c>
      <c r="Q33" s="395">
        <v>192.75</v>
      </c>
      <c r="R33" s="395">
        <v>75.150000000000006</v>
      </c>
      <c r="S33" s="395">
        <v>0</v>
      </c>
      <c r="T33" s="281">
        <f>64+125.25</f>
        <v>189.25</v>
      </c>
      <c r="U33" s="281">
        <v>0</v>
      </c>
      <c r="V33" s="281">
        <f t="shared" si="1"/>
        <v>189.25</v>
      </c>
      <c r="W33" s="283" t="s">
        <v>955</v>
      </c>
      <c r="X33" s="284">
        <v>0</v>
      </c>
      <c r="Y33" s="395">
        <v>0</v>
      </c>
      <c r="Z33" s="395">
        <v>0</v>
      </c>
      <c r="AA33" s="399"/>
      <c r="AB33" s="395">
        <f t="shared" si="2"/>
        <v>324.04999999999995</v>
      </c>
      <c r="AC33" s="433"/>
    </row>
    <row r="34" spans="1:29" s="154" customFormat="1">
      <c r="A34" s="391" t="s">
        <v>467</v>
      </c>
      <c r="B34" s="392" t="s">
        <v>468</v>
      </c>
      <c r="C34" s="266" t="s">
        <v>527</v>
      </c>
      <c r="D34" s="267" t="s">
        <v>528</v>
      </c>
      <c r="E34" s="267">
        <v>2</v>
      </c>
      <c r="F34" s="273" t="s">
        <v>708</v>
      </c>
      <c r="G34" s="271" t="s">
        <v>906</v>
      </c>
      <c r="H34" s="271"/>
      <c r="I34" s="394" t="s">
        <v>956</v>
      </c>
      <c r="J34" s="394"/>
      <c r="K34" s="281">
        <v>157.16999999999999</v>
      </c>
      <c r="L34" s="282">
        <v>25.05</v>
      </c>
      <c r="M34" s="281">
        <f t="shared" si="3"/>
        <v>132.11999999999998</v>
      </c>
      <c r="N34" s="281">
        <v>2.68</v>
      </c>
      <c r="O34" s="281">
        <v>0</v>
      </c>
      <c r="P34" s="281">
        <f t="shared" si="0"/>
        <v>2.68</v>
      </c>
      <c r="Q34" s="395">
        <v>0</v>
      </c>
      <c r="R34" s="395">
        <v>0</v>
      </c>
      <c r="S34" s="395">
        <v>0</v>
      </c>
      <c r="T34" s="281">
        <v>0</v>
      </c>
      <c r="U34" s="281">
        <v>0</v>
      </c>
      <c r="V34" s="281">
        <f t="shared" si="1"/>
        <v>0</v>
      </c>
      <c r="W34" s="283"/>
      <c r="X34" s="284">
        <v>282.89</v>
      </c>
      <c r="Y34" s="395">
        <v>0</v>
      </c>
      <c r="Z34" s="395">
        <v>0</v>
      </c>
      <c r="AA34" s="399"/>
      <c r="AB34" s="395">
        <f t="shared" si="2"/>
        <v>134.79999999999998</v>
      </c>
      <c r="AC34" s="433"/>
    </row>
    <row r="35" spans="1:29" s="154" customFormat="1" hidden="1">
      <c r="A35" s="391" t="s">
        <v>467</v>
      </c>
      <c r="B35" s="392" t="s">
        <v>468</v>
      </c>
      <c r="C35" s="269" t="s">
        <v>529</v>
      </c>
      <c r="D35" s="268" t="s">
        <v>530</v>
      </c>
      <c r="E35" s="267">
        <v>3</v>
      </c>
      <c r="F35" s="273" t="s">
        <v>717</v>
      </c>
      <c r="G35" s="271" t="s">
        <v>906</v>
      </c>
      <c r="H35" s="271"/>
      <c r="I35" s="394" t="s">
        <v>936</v>
      </c>
      <c r="J35" s="394"/>
      <c r="K35" s="281">
        <v>157.16999999999999</v>
      </c>
      <c r="L35" s="282">
        <v>22</v>
      </c>
      <c r="M35" s="281">
        <f t="shared" si="3"/>
        <v>135.16999999999999</v>
      </c>
      <c r="N35" s="281">
        <v>2.68</v>
      </c>
      <c r="O35" s="281">
        <v>0</v>
      </c>
      <c r="P35" s="281">
        <f t="shared" si="0"/>
        <v>2.68</v>
      </c>
      <c r="Q35" s="395">
        <v>0</v>
      </c>
      <c r="R35" s="395">
        <v>0</v>
      </c>
      <c r="S35" s="395">
        <v>0</v>
      </c>
      <c r="T35" s="281">
        <v>0</v>
      </c>
      <c r="U35" s="281">
        <v>0</v>
      </c>
      <c r="V35" s="281">
        <f t="shared" si="1"/>
        <v>0</v>
      </c>
      <c r="W35" s="283"/>
      <c r="X35" s="284">
        <v>0</v>
      </c>
      <c r="Y35" s="395">
        <v>0</v>
      </c>
      <c r="Z35" s="395">
        <v>0</v>
      </c>
      <c r="AA35" s="399"/>
      <c r="AB35" s="395">
        <f t="shared" si="2"/>
        <v>137.85</v>
      </c>
      <c r="AC35" s="433"/>
    </row>
    <row r="36" spans="1:29" s="154" customFormat="1">
      <c r="A36" s="391" t="s">
        <v>467</v>
      </c>
      <c r="B36" s="392" t="s">
        <v>468</v>
      </c>
      <c r="C36" s="269" t="s">
        <v>531</v>
      </c>
      <c r="D36" s="267" t="s">
        <v>532</v>
      </c>
      <c r="E36" s="267">
        <v>2</v>
      </c>
      <c r="F36" s="273" t="s">
        <v>708</v>
      </c>
      <c r="G36" s="271" t="s">
        <v>906</v>
      </c>
      <c r="H36" s="271"/>
      <c r="I36" s="394" t="s">
        <v>957</v>
      </c>
      <c r="J36" s="394"/>
      <c r="K36" s="281">
        <v>157.16999999999999</v>
      </c>
      <c r="L36" s="282">
        <v>25.05</v>
      </c>
      <c r="M36" s="281">
        <f t="shared" si="3"/>
        <v>132.11999999999998</v>
      </c>
      <c r="N36" s="281">
        <v>2.68</v>
      </c>
      <c r="O36" s="281">
        <v>0</v>
      </c>
      <c r="P36" s="281">
        <f t="shared" si="0"/>
        <v>2.68</v>
      </c>
      <c r="Q36" s="395">
        <v>150.4</v>
      </c>
      <c r="R36" s="395">
        <v>75.150000000000006</v>
      </c>
      <c r="S36" s="395">
        <v>0</v>
      </c>
      <c r="T36" s="281">
        <v>0</v>
      </c>
      <c r="U36" s="281">
        <v>0</v>
      </c>
      <c r="V36" s="281">
        <f t="shared" si="1"/>
        <v>0</v>
      </c>
      <c r="W36" s="283"/>
      <c r="X36" s="284">
        <v>323.31</v>
      </c>
      <c r="Y36" s="395">
        <v>0</v>
      </c>
      <c r="Z36" s="395">
        <v>0</v>
      </c>
      <c r="AA36" s="399"/>
      <c r="AB36" s="395">
        <f t="shared" si="2"/>
        <v>134.79999999999998</v>
      </c>
      <c r="AC36" s="433"/>
    </row>
    <row r="37" spans="1:29" s="154" customFormat="1">
      <c r="A37" s="391" t="s">
        <v>467</v>
      </c>
      <c r="B37" s="392" t="s">
        <v>468</v>
      </c>
      <c r="C37" s="269" t="s">
        <v>533</v>
      </c>
      <c r="D37" s="267" t="s">
        <v>534</v>
      </c>
      <c r="E37" s="267">
        <v>2</v>
      </c>
      <c r="F37" s="273" t="s">
        <v>708</v>
      </c>
      <c r="G37" s="271" t="s">
        <v>906</v>
      </c>
      <c r="H37" s="271"/>
      <c r="I37" s="394" t="s">
        <v>958</v>
      </c>
      <c r="J37" s="394"/>
      <c r="K37" s="281">
        <v>157.16999999999999</v>
      </c>
      <c r="L37" s="282">
        <v>25.05</v>
      </c>
      <c r="M37" s="281">
        <f t="shared" si="3"/>
        <v>132.11999999999998</v>
      </c>
      <c r="N37" s="281">
        <v>2.68</v>
      </c>
      <c r="O37" s="281">
        <v>0</v>
      </c>
      <c r="P37" s="281">
        <f t="shared" si="0"/>
        <v>2.68</v>
      </c>
      <c r="Q37" s="395">
        <v>110.4</v>
      </c>
      <c r="R37" s="395">
        <v>75.150000000000006</v>
      </c>
      <c r="S37" s="395">
        <v>0</v>
      </c>
      <c r="T37" s="281">
        <v>0</v>
      </c>
      <c r="U37" s="281">
        <v>0</v>
      </c>
      <c r="V37" s="281">
        <f t="shared" si="1"/>
        <v>0</v>
      </c>
      <c r="W37" s="283"/>
      <c r="X37" s="284">
        <v>0</v>
      </c>
      <c r="Y37" s="395">
        <v>0</v>
      </c>
      <c r="Z37" s="395">
        <v>0</v>
      </c>
      <c r="AA37" s="399"/>
      <c r="AB37" s="395">
        <f t="shared" si="2"/>
        <v>134.79999999999998</v>
      </c>
      <c r="AC37" s="433"/>
    </row>
    <row r="38" spans="1:29" s="154" customFormat="1" hidden="1">
      <c r="A38" s="391" t="s">
        <v>467</v>
      </c>
      <c r="B38" s="392" t="s">
        <v>468</v>
      </c>
      <c r="C38" s="269" t="s">
        <v>535</v>
      </c>
      <c r="D38" s="267" t="s">
        <v>536</v>
      </c>
      <c r="E38" s="267">
        <v>3</v>
      </c>
      <c r="F38" s="274" t="s">
        <v>724</v>
      </c>
      <c r="G38" s="271" t="s">
        <v>906</v>
      </c>
      <c r="H38" s="271"/>
      <c r="I38" s="394" t="s">
        <v>959</v>
      </c>
      <c r="J38" s="394"/>
      <c r="K38" s="281">
        <v>157.16999999999999</v>
      </c>
      <c r="L38" s="282">
        <v>22</v>
      </c>
      <c r="M38" s="281">
        <f t="shared" si="3"/>
        <v>135.16999999999999</v>
      </c>
      <c r="N38" s="281">
        <v>2.68</v>
      </c>
      <c r="O38" s="281">
        <v>0</v>
      </c>
      <c r="P38" s="281">
        <f t="shared" si="0"/>
        <v>2.68</v>
      </c>
      <c r="Q38" s="395">
        <v>0</v>
      </c>
      <c r="R38" s="395">
        <v>0</v>
      </c>
      <c r="S38" s="395">
        <v>0</v>
      </c>
      <c r="T38" s="281">
        <v>64</v>
      </c>
      <c r="U38" s="281">
        <v>0</v>
      </c>
      <c r="V38" s="281">
        <v>64</v>
      </c>
      <c r="W38" s="283" t="s">
        <v>735</v>
      </c>
      <c r="X38" s="284">
        <v>48.62</v>
      </c>
      <c r="Y38" s="395">
        <v>0</v>
      </c>
      <c r="Z38" s="395">
        <v>0</v>
      </c>
      <c r="AA38" s="399"/>
      <c r="AB38" s="395">
        <f t="shared" si="2"/>
        <v>201.85</v>
      </c>
      <c r="AC38" s="433"/>
    </row>
    <row r="39" spans="1:29" s="154" customFormat="1" hidden="1">
      <c r="A39" s="391" t="s">
        <v>467</v>
      </c>
      <c r="B39" s="392" t="s">
        <v>468</v>
      </c>
      <c r="C39" s="269" t="s">
        <v>537</v>
      </c>
      <c r="D39" s="267" t="s">
        <v>538</v>
      </c>
      <c r="E39" s="267">
        <v>3</v>
      </c>
      <c r="F39" s="276" t="s">
        <v>724</v>
      </c>
      <c r="G39" s="271" t="s">
        <v>906</v>
      </c>
      <c r="H39" s="271"/>
      <c r="I39" s="394" t="s">
        <v>960</v>
      </c>
      <c r="J39" s="394"/>
      <c r="K39" s="281">
        <v>157.16999999999999</v>
      </c>
      <c r="L39" s="282">
        <v>22</v>
      </c>
      <c r="M39" s="281">
        <f t="shared" si="3"/>
        <v>135.16999999999999</v>
      </c>
      <c r="N39" s="281">
        <v>2.68</v>
      </c>
      <c r="O39" s="281">
        <v>0</v>
      </c>
      <c r="P39" s="281">
        <f t="shared" si="0"/>
        <v>2.68</v>
      </c>
      <c r="Q39" s="395">
        <v>276</v>
      </c>
      <c r="R39" s="395">
        <v>66</v>
      </c>
      <c r="S39" s="395">
        <v>0</v>
      </c>
      <c r="T39" s="281">
        <v>64</v>
      </c>
      <c r="U39" s="281">
        <v>0</v>
      </c>
      <c r="V39" s="281">
        <v>64</v>
      </c>
      <c r="W39" s="283" t="s">
        <v>735</v>
      </c>
      <c r="X39" s="284">
        <v>48.62</v>
      </c>
      <c r="Y39" s="395">
        <v>0</v>
      </c>
      <c r="Z39" s="395">
        <v>0</v>
      </c>
      <c r="AA39" s="399"/>
      <c r="AB39" s="395">
        <f t="shared" si="2"/>
        <v>201.85</v>
      </c>
      <c r="AC39" s="433"/>
    </row>
    <row r="40" spans="1:29" s="154" customFormat="1" hidden="1">
      <c r="A40" s="391" t="s">
        <v>467</v>
      </c>
      <c r="B40" s="392" t="s">
        <v>468</v>
      </c>
      <c r="C40" s="269" t="s">
        <v>539</v>
      </c>
      <c r="D40" s="267" t="s">
        <v>540</v>
      </c>
      <c r="E40" s="267">
        <v>3</v>
      </c>
      <c r="F40" s="274" t="s">
        <v>724</v>
      </c>
      <c r="G40" s="271" t="s">
        <v>906</v>
      </c>
      <c r="H40" s="271"/>
      <c r="I40" s="394" t="s">
        <v>961</v>
      </c>
      <c r="J40" s="394"/>
      <c r="K40" s="281">
        <v>157.16999999999999</v>
      </c>
      <c r="L40" s="282">
        <v>22</v>
      </c>
      <c r="M40" s="281">
        <f t="shared" si="3"/>
        <v>135.16999999999999</v>
      </c>
      <c r="N40" s="281">
        <v>2.68</v>
      </c>
      <c r="O40" s="281">
        <v>0</v>
      </c>
      <c r="P40" s="281">
        <f t="shared" si="0"/>
        <v>2.68</v>
      </c>
      <c r="Q40" s="395">
        <v>150.4</v>
      </c>
      <c r="R40" s="395">
        <v>66</v>
      </c>
      <c r="S40" s="395">
        <v>0</v>
      </c>
      <c r="T40" s="281">
        <v>256.67</v>
      </c>
      <c r="U40" s="281">
        <v>0</v>
      </c>
      <c r="V40" s="281">
        <f t="shared" si="1"/>
        <v>256.67</v>
      </c>
      <c r="W40" s="283" t="s">
        <v>736</v>
      </c>
      <c r="X40" s="284">
        <v>0</v>
      </c>
      <c r="Y40" s="395">
        <v>0</v>
      </c>
      <c r="Z40" s="395">
        <v>0</v>
      </c>
      <c r="AA40" s="399"/>
      <c r="AB40" s="395">
        <f t="shared" si="2"/>
        <v>394.52</v>
      </c>
      <c r="AC40" s="433"/>
    </row>
    <row r="41" spans="1:29" s="154" customFormat="1">
      <c r="A41" s="391" t="s">
        <v>467</v>
      </c>
      <c r="B41" s="392" t="s">
        <v>468</v>
      </c>
      <c r="C41" s="269" t="s">
        <v>541</v>
      </c>
      <c r="D41" s="267" t="s">
        <v>542</v>
      </c>
      <c r="E41" s="267">
        <v>2</v>
      </c>
      <c r="F41" s="273" t="s">
        <v>713</v>
      </c>
      <c r="G41" s="271" t="s">
        <v>906</v>
      </c>
      <c r="H41" s="271"/>
      <c r="I41" s="394" t="s">
        <v>962</v>
      </c>
      <c r="J41" s="394"/>
      <c r="K41" s="281">
        <v>157.16999999999999</v>
      </c>
      <c r="L41" s="282">
        <v>2.4300000000000002</v>
      </c>
      <c r="M41" s="281">
        <f t="shared" si="3"/>
        <v>154.73999999999998</v>
      </c>
      <c r="N41" s="281">
        <v>5.36</v>
      </c>
      <c r="O41" s="281">
        <v>0</v>
      </c>
      <c r="P41" s="281">
        <f t="shared" si="0"/>
        <v>5.36</v>
      </c>
      <c r="Q41" s="395">
        <v>0</v>
      </c>
      <c r="R41" s="395">
        <v>0</v>
      </c>
      <c r="S41" s="395">
        <v>0</v>
      </c>
      <c r="T41" s="281">
        <f>103.28+64</f>
        <v>167.28</v>
      </c>
      <c r="U41" s="281">
        <v>0</v>
      </c>
      <c r="V41" s="281">
        <v>0</v>
      </c>
      <c r="W41" s="283" t="s">
        <v>735</v>
      </c>
      <c r="X41" s="284">
        <v>113.08</v>
      </c>
      <c r="Y41" s="395">
        <v>0</v>
      </c>
      <c r="Z41" s="395">
        <v>0</v>
      </c>
      <c r="AA41" s="399"/>
      <c r="AB41" s="395">
        <f t="shared" si="2"/>
        <v>160.1</v>
      </c>
      <c r="AC41" s="433"/>
    </row>
    <row r="42" spans="1:29" s="154" customFormat="1">
      <c r="A42" s="391" t="s">
        <v>467</v>
      </c>
      <c r="B42" s="392" t="s">
        <v>468</v>
      </c>
      <c r="C42" s="269">
        <v>86643770491</v>
      </c>
      <c r="D42" s="267" t="s">
        <v>543</v>
      </c>
      <c r="E42" s="267">
        <v>2</v>
      </c>
      <c r="F42" s="273" t="s">
        <v>713</v>
      </c>
      <c r="G42" s="271" t="s">
        <v>906</v>
      </c>
      <c r="H42" s="271"/>
      <c r="I42" s="394" t="s">
        <v>963</v>
      </c>
      <c r="J42" s="394"/>
      <c r="K42" s="281">
        <v>157.16999999999999</v>
      </c>
      <c r="L42" s="282">
        <v>2.4300000000000002</v>
      </c>
      <c r="M42" s="281">
        <f t="shared" si="3"/>
        <v>154.73999999999998</v>
      </c>
      <c r="N42" s="281">
        <v>5.36</v>
      </c>
      <c r="O42" s="281">
        <v>0</v>
      </c>
      <c r="P42" s="281">
        <f t="shared" si="0"/>
        <v>5.36</v>
      </c>
      <c r="Q42" s="395">
        <v>0</v>
      </c>
      <c r="R42" s="395">
        <v>0</v>
      </c>
      <c r="S42" s="395">
        <v>0</v>
      </c>
      <c r="T42" s="281">
        <v>137.06</v>
      </c>
      <c r="U42" s="281">
        <v>0</v>
      </c>
      <c r="V42" s="281">
        <f t="shared" si="1"/>
        <v>137.06</v>
      </c>
      <c r="W42" s="283"/>
      <c r="X42" s="284">
        <v>113.08</v>
      </c>
      <c r="Y42" s="395">
        <v>0</v>
      </c>
      <c r="Z42" s="395">
        <v>0</v>
      </c>
      <c r="AA42" s="399"/>
      <c r="AB42" s="395">
        <f t="shared" si="2"/>
        <v>297.15999999999997</v>
      </c>
      <c r="AC42" s="433"/>
    </row>
    <row r="43" spans="1:29" s="154" customFormat="1" hidden="1">
      <c r="A43" s="391" t="s">
        <v>467</v>
      </c>
      <c r="B43" s="392" t="s">
        <v>468</v>
      </c>
      <c r="C43" s="269" t="s">
        <v>544</v>
      </c>
      <c r="D43" s="267" t="s">
        <v>545</v>
      </c>
      <c r="E43" s="267">
        <v>3</v>
      </c>
      <c r="F43" s="278" t="s">
        <v>725</v>
      </c>
      <c r="G43" s="271" t="s">
        <v>906</v>
      </c>
      <c r="H43" s="271"/>
      <c r="I43" s="394" t="s">
        <v>964</v>
      </c>
      <c r="J43" s="394"/>
      <c r="K43" s="281">
        <v>157.16999999999999</v>
      </c>
      <c r="L43" s="282">
        <v>25.23</v>
      </c>
      <c r="M43" s="281">
        <f t="shared" si="3"/>
        <v>131.94</v>
      </c>
      <c r="N43" s="281">
        <v>2.68</v>
      </c>
      <c r="O43" s="281">
        <v>0</v>
      </c>
      <c r="P43" s="281">
        <f t="shared" si="0"/>
        <v>2.68</v>
      </c>
      <c r="Q43" s="395">
        <v>260.8</v>
      </c>
      <c r="R43" s="395">
        <v>75.680000000000007</v>
      </c>
      <c r="S43" s="395">
        <v>0</v>
      </c>
      <c r="T43" s="281">
        <v>0</v>
      </c>
      <c r="U43" s="281">
        <v>0</v>
      </c>
      <c r="V43" s="281">
        <f t="shared" si="1"/>
        <v>0</v>
      </c>
      <c r="W43" s="283" t="s">
        <v>736</v>
      </c>
      <c r="X43" s="284">
        <v>0</v>
      </c>
      <c r="Y43" s="395">
        <v>0</v>
      </c>
      <c r="Z43" s="395">
        <v>0</v>
      </c>
      <c r="AA43" s="399"/>
      <c r="AB43" s="395">
        <f t="shared" si="2"/>
        <v>134.62</v>
      </c>
      <c r="AC43" s="433"/>
    </row>
    <row r="44" spans="1:29" s="154" customFormat="1" hidden="1">
      <c r="A44" s="391" t="s">
        <v>467</v>
      </c>
      <c r="B44" s="392" t="s">
        <v>468</v>
      </c>
      <c r="C44" s="269" t="s">
        <v>546</v>
      </c>
      <c r="D44" s="267" t="s">
        <v>547</v>
      </c>
      <c r="E44" s="267">
        <v>3</v>
      </c>
      <c r="F44" s="273" t="s">
        <v>709</v>
      </c>
      <c r="G44" s="271" t="s">
        <v>906</v>
      </c>
      <c r="H44" s="271"/>
      <c r="I44" s="394" t="s">
        <v>942</v>
      </c>
      <c r="J44" s="394"/>
      <c r="K44" s="281">
        <v>157.16999999999999</v>
      </c>
      <c r="L44" s="282">
        <v>22</v>
      </c>
      <c r="M44" s="281">
        <f t="shared" si="3"/>
        <v>135.16999999999999</v>
      </c>
      <c r="N44" s="281">
        <v>2.68</v>
      </c>
      <c r="O44" s="281">
        <v>0</v>
      </c>
      <c r="P44" s="281">
        <f t="shared" si="0"/>
        <v>2.68</v>
      </c>
      <c r="Q44" s="395">
        <v>141</v>
      </c>
      <c r="R44" s="395">
        <v>66</v>
      </c>
      <c r="S44" s="395">
        <v>0</v>
      </c>
      <c r="T44" s="281">
        <v>0</v>
      </c>
      <c r="U44" s="281">
        <v>0</v>
      </c>
      <c r="V44" s="281">
        <f t="shared" si="1"/>
        <v>0</v>
      </c>
      <c r="W44" s="283"/>
      <c r="X44" s="284">
        <v>0</v>
      </c>
      <c r="Y44" s="395">
        <v>0</v>
      </c>
      <c r="Z44" s="395">
        <v>0</v>
      </c>
      <c r="AA44" s="399"/>
      <c r="AB44" s="395">
        <f t="shared" si="2"/>
        <v>137.85</v>
      </c>
      <c r="AC44" s="433"/>
    </row>
    <row r="45" spans="1:29" s="154" customFormat="1">
      <c r="A45" s="391" t="s">
        <v>467</v>
      </c>
      <c r="B45" s="392" t="s">
        <v>468</v>
      </c>
      <c r="C45" s="269" t="s">
        <v>548</v>
      </c>
      <c r="D45" s="268" t="s">
        <v>549</v>
      </c>
      <c r="E45" s="267">
        <v>2</v>
      </c>
      <c r="F45" s="279" t="s">
        <v>721</v>
      </c>
      <c r="G45" s="271" t="s">
        <v>906</v>
      </c>
      <c r="H45" s="271"/>
      <c r="I45" s="394" t="s">
        <v>965</v>
      </c>
      <c r="J45" s="394"/>
      <c r="K45" s="281">
        <v>157.16999999999999</v>
      </c>
      <c r="L45" s="282">
        <v>16.05</v>
      </c>
      <c r="M45" s="281">
        <f t="shared" si="3"/>
        <v>141.11999999999998</v>
      </c>
      <c r="N45" s="281">
        <v>2.68</v>
      </c>
      <c r="O45" s="281">
        <v>0</v>
      </c>
      <c r="P45" s="281">
        <f t="shared" si="0"/>
        <v>2.68</v>
      </c>
      <c r="Q45" s="395">
        <v>0</v>
      </c>
      <c r="R45" s="395">
        <v>0</v>
      </c>
      <c r="S45" s="395">
        <v>0</v>
      </c>
      <c r="T45" s="281">
        <v>0</v>
      </c>
      <c r="U45" s="281">
        <v>0</v>
      </c>
      <c r="V45" s="281">
        <f t="shared" si="1"/>
        <v>0</v>
      </c>
      <c r="W45" s="283"/>
      <c r="X45" s="284">
        <v>0</v>
      </c>
      <c r="Y45" s="395">
        <v>0</v>
      </c>
      <c r="Z45" s="395">
        <v>0</v>
      </c>
      <c r="AA45" s="399"/>
      <c r="AB45" s="395">
        <f t="shared" si="2"/>
        <v>143.79999999999998</v>
      </c>
      <c r="AC45" s="433"/>
    </row>
    <row r="46" spans="1:29" s="154" customFormat="1">
      <c r="A46" s="391" t="s">
        <v>467</v>
      </c>
      <c r="B46" s="392" t="s">
        <v>468</v>
      </c>
      <c r="C46" s="269" t="s">
        <v>550</v>
      </c>
      <c r="D46" s="267" t="s">
        <v>551</v>
      </c>
      <c r="E46" s="267">
        <v>2</v>
      </c>
      <c r="F46" s="273" t="s">
        <v>708</v>
      </c>
      <c r="G46" s="271" t="s">
        <v>906</v>
      </c>
      <c r="H46" s="271"/>
      <c r="I46" s="394" t="s">
        <v>966</v>
      </c>
      <c r="J46" s="394"/>
      <c r="K46" s="281">
        <v>157.16999999999999</v>
      </c>
      <c r="L46" s="282">
        <v>25.05</v>
      </c>
      <c r="M46" s="281">
        <f t="shared" si="3"/>
        <v>132.11999999999998</v>
      </c>
      <c r="N46" s="281">
        <v>2.68</v>
      </c>
      <c r="O46" s="281">
        <v>0</v>
      </c>
      <c r="P46" s="281">
        <f t="shared" si="0"/>
        <v>2.68</v>
      </c>
      <c r="Q46" s="395">
        <v>207</v>
      </c>
      <c r="R46" s="395">
        <v>75.150000000000006</v>
      </c>
      <c r="S46" s="395">
        <v>0</v>
      </c>
      <c r="T46" s="281">
        <f>64+167</f>
        <v>231</v>
      </c>
      <c r="U46" s="281">
        <v>0</v>
      </c>
      <c r="V46" s="281">
        <f t="shared" si="1"/>
        <v>231</v>
      </c>
      <c r="W46" s="283" t="s">
        <v>967</v>
      </c>
      <c r="X46" s="284">
        <v>0</v>
      </c>
      <c r="Y46" s="395">
        <v>0</v>
      </c>
      <c r="Z46" s="395">
        <v>0</v>
      </c>
      <c r="AA46" s="399"/>
      <c r="AB46" s="395">
        <f t="shared" si="2"/>
        <v>365.79999999999995</v>
      </c>
      <c r="AC46" s="433"/>
    </row>
    <row r="47" spans="1:29" s="155" customFormat="1" hidden="1">
      <c r="A47" s="391" t="s">
        <v>467</v>
      </c>
      <c r="B47" s="392" t="s">
        <v>468</v>
      </c>
      <c r="C47" s="269" t="s">
        <v>552</v>
      </c>
      <c r="D47" s="267" t="s">
        <v>553</v>
      </c>
      <c r="E47" s="267">
        <v>3</v>
      </c>
      <c r="F47" s="273" t="s">
        <v>709</v>
      </c>
      <c r="G47" s="271" t="s">
        <v>906</v>
      </c>
      <c r="H47" s="271"/>
      <c r="I47" s="394" t="s">
        <v>960</v>
      </c>
      <c r="J47" s="394"/>
      <c r="K47" s="281">
        <v>157.16999999999999</v>
      </c>
      <c r="L47" s="282">
        <v>22</v>
      </c>
      <c r="M47" s="281">
        <f t="shared" si="3"/>
        <v>135.16999999999999</v>
      </c>
      <c r="N47" s="281">
        <v>2.68</v>
      </c>
      <c r="O47" s="281">
        <v>0</v>
      </c>
      <c r="P47" s="281">
        <v>2.68</v>
      </c>
      <c r="Q47" s="395">
        <v>276</v>
      </c>
      <c r="R47" s="395">
        <v>66</v>
      </c>
      <c r="S47" s="395">
        <v>0</v>
      </c>
      <c r="T47" s="281">
        <v>0</v>
      </c>
      <c r="U47" s="281">
        <v>0</v>
      </c>
      <c r="V47" s="281">
        <f t="shared" si="1"/>
        <v>0</v>
      </c>
      <c r="W47" s="283"/>
      <c r="X47" s="284">
        <v>0</v>
      </c>
      <c r="Y47" s="395">
        <v>0</v>
      </c>
      <c r="Z47" s="395">
        <v>0</v>
      </c>
      <c r="AA47" s="399"/>
      <c r="AB47" s="395">
        <f t="shared" si="2"/>
        <v>137.85</v>
      </c>
      <c r="AC47" s="435"/>
    </row>
    <row r="48" spans="1:29" s="156" customFormat="1">
      <c r="A48" s="391" t="s">
        <v>467</v>
      </c>
      <c r="B48" s="392" t="s">
        <v>468</v>
      </c>
      <c r="C48" s="269" t="s">
        <v>554</v>
      </c>
      <c r="D48" s="267" t="s">
        <v>555</v>
      </c>
      <c r="E48" s="267">
        <v>2</v>
      </c>
      <c r="F48" s="276" t="s">
        <v>713</v>
      </c>
      <c r="G48" s="271" t="s">
        <v>906</v>
      </c>
      <c r="H48" s="271"/>
      <c r="I48" s="394" t="s">
        <v>968</v>
      </c>
      <c r="J48" s="394"/>
      <c r="K48" s="281">
        <v>157.16999999999999</v>
      </c>
      <c r="L48" s="282">
        <v>2.4300000000000002</v>
      </c>
      <c r="M48" s="281">
        <f t="shared" si="3"/>
        <v>154.73999999999998</v>
      </c>
      <c r="N48" s="281">
        <v>5.36</v>
      </c>
      <c r="O48" s="281">
        <v>0</v>
      </c>
      <c r="P48" s="281">
        <f t="shared" si="0"/>
        <v>5.36</v>
      </c>
      <c r="Q48" s="395">
        <v>0</v>
      </c>
      <c r="R48" s="395">
        <v>0</v>
      </c>
      <c r="S48" s="395">
        <v>0</v>
      </c>
      <c r="T48" s="281">
        <v>295.29000000000002</v>
      </c>
      <c r="U48" s="281">
        <v>0</v>
      </c>
      <c r="V48" s="281">
        <f t="shared" si="1"/>
        <v>295.29000000000002</v>
      </c>
      <c r="W48" s="283" t="s">
        <v>736</v>
      </c>
      <c r="X48" s="284">
        <v>0</v>
      </c>
      <c r="Y48" s="395">
        <v>0</v>
      </c>
      <c r="Z48" s="395">
        <v>0</v>
      </c>
      <c r="AA48" s="399"/>
      <c r="AB48" s="395">
        <f t="shared" si="2"/>
        <v>455.39</v>
      </c>
      <c r="AC48" s="436"/>
    </row>
    <row r="49" spans="1:29" s="156" customFormat="1">
      <c r="A49" s="391" t="s">
        <v>467</v>
      </c>
      <c r="B49" s="392" t="s">
        <v>468</v>
      </c>
      <c r="C49" s="269" t="s">
        <v>556</v>
      </c>
      <c r="D49" s="267" t="s">
        <v>557</v>
      </c>
      <c r="E49" s="267">
        <v>2</v>
      </c>
      <c r="F49" s="273" t="s">
        <v>712</v>
      </c>
      <c r="G49" s="271" t="s">
        <v>906</v>
      </c>
      <c r="H49" s="271"/>
      <c r="I49" s="394" t="s">
        <v>969</v>
      </c>
      <c r="J49" s="394"/>
      <c r="K49" s="281">
        <v>157.16999999999999</v>
      </c>
      <c r="L49" s="282">
        <v>0</v>
      </c>
      <c r="M49" s="281">
        <f t="shared" si="3"/>
        <v>157.16999999999999</v>
      </c>
      <c r="N49" s="281">
        <v>4.3600000000000003</v>
      </c>
      <c r="O49" s="281">
        <v>0</v>
      </c>
      <c r="P49" s="281">
        <f t="shared" si="0"/>
        <v>4.3600000000000003</v>
      </c>
      <c r="Q49" s="395">
        <v>0</v>
      </c>
      <c r="R49" s="395">
        <v>0</v>
      </c>
      <c r="S49" s="395">
        <v>0</v>
      </c>
      <c r="T49" s="281">
        <v>0</v>
      </c>
      <c r="U49" s="281">
        <v>0</v>
      </c>
      <c r="V49" s="281">
        <f t="shared" si="1"/>
        <v>0</v>
      </c>
      <c r="W49" s="283"/>
      <c r="X49" s="284">
        <v>0</v>
      </c>
      <c r="Y49" s="395">
        <v>0</v>
      </c>
      <c r="Z49" s="395">
        <v>0</v>
      </c>
      <c r="AA49" s="399"/>
      <c r="AB49" s="395">
        <f t="shared" si="2"/>
        <v>161.53</v>
      </c>
      <c r="AC49" s="436"/>
    </row>
    <row r="50" spans="1:29" s="156" customFormat="1" hidden="1">
      <c r="A50" s="391" t="s">
        <v>467</v>
      </c>
      <c r="B50" s="392" t="s">
        <v>468</v>
      </c>
      <c r="C50" s="269" t="s">
        <v>558</v>
      </c>
      <c r="D50" s="267" t="s">
        <v>559</v>
      </c>
      <c r="E50" s="267">
        <v>3</v>
      </c>
      <c r="F50" s="273" t="s">
        <v>726</v>
      </c>
      <c r="G50" s="271" t="s">
        <v>906</v>
      </c>
      <c r="H50" s="271"/>
      <c r="I50" s="394" t="s">
        <v>970</v>
      </c>
      <c r="J50" s="394"/>
      <c r="K50" s="281">
        <v>157.16999999999999</v>
      </c>
      <c r="L50" s="282">
        <v>0</v>
      </c>
      <c r="M50" s="281">
        <f t="shared" si="3"/>
        <v>157.16999999999999</v>
      </c>
      <c r="N50" s="281">
        <v>2.68</v>
      </c>
      <c r="O50" s="281">
        <v>0</v>
      </c>
      <c r="P50" s="281">
        <f t="shared" si="0"/>
        <v>2.68</v>
      </c>
      <c r="Q50" s="395">
        <v>0</v>
      </c>
      <c r="R50" s="395">
        <v>0</v>
      </c>
      <c r="S50" s="395">
        <v>0</v>
      </c>
      <c r="T50" s="281">
        <v>0</v>
      </c>
      <c r="U50" s="281">
        <v>0</v>
      </c>
      <c r="V50" s="281">
        <f t="shared" si="1"/>
        <v>0</v>
      </c>
      <c r="W50" s="283"/>
      <c r="X50" s="284">
        <v>0</v>
      </c>
      <c r="Y50" s="395">
        <v>0</v>
      </c>
      <c r="Z50" s="395">
        <v>0</v>
      </c>
      <c r="AA50" s="399"/>
      <c r="AB50" s="395">
        <f t="shared" si="2"/>
        <v>159.85</v>
      </c>
      <c r="AC50" s="436"/>
    </row>
    <row r="51" spans="1:29" s="156" customFormat="1" hidden="1">
      <c r="A51" s="391" t="s">
        <v>467</v>
      </c>
      <c r="B51" s="392" t="s">
        <v>468</v>
      </c>
      <c r="C51" s="269" t="s">
        <v>560</v>
      </c>
      <c r="D51" s="267" t="s">
        <v>561</v>
      </c>
      <c r="E51" s="267">
        <v>3</v>
      </c>
      <c r="F51" s="273" t="s">
        <v>710</v>
      </c>
      <c r="G51" s="271" t="s">
        <v>906</v>
      </c>
      <c r="H51" s="271"/>
      <c r="I51" s="394" t="s">
        <v>971</v>
      </c>
      <c r="J51" s="394"/>
      <c r="K51" s="281">
        <v>157.16999999999999</v>
      </c>
      <c r="L51" s="282">
        <v>25.23</v>
      </c>
      <c r="M51" s="281">
        <f t="shared" si="3"/>
        <v>131.94</v>
      </c>
      <c r="N51" s="281">
        <v>2.68</v>
      </c>
      <c r="O51" s="281">
        <v>0</v>
      </c>
      <c r="P51" s="281">
        <f t="shared" si="0"/>
        <v>2.68</v>
      </c>
      <c r="Q51" s="395">
        <v>0</v>
      </c>
      <c r="R51" s="395">
        <v>0</v>
      </c>
      <c r="S51" s="395">
        <v>0</v>
      </c>
      <c r="T51" s="281">
        <f>64+220</f>
        <v>284</v>
      </c>
      <c r="U51" s="281">
        <v>0</v>
      </c>
      <c r="V51" s="281">
        <f t="shared" si="1"/>
        <v>284</v>
      </c>
      <c r="W51" s="283" t="s">
        <v>955</v>
      </c>
      <c r="X51" s="284">
        <v>48.62</v>
      </c>
      <c r="Y51" s="395">
        <v>0</v>
      </c>
      <c r="Z51" s="395">
        <v>0</v>
      </c>
      <c r="AA51" s="399"/>
      <c r="AB51" s="395">
        <f t="shared" si="2"/>
        <v>418.62</v>
      </c>
      <c r="AC51" s="436"/>
    </row>
    <row r="52" spans="1:29" s="156" customFormat="1" hidden="1">
      <c r="A52" s="391" t="s">
        <v>467</v>
      </c>
      <c r="B52" s="392" t="s">
        <v>468</v>
      </c>
      <c r="C52" s="269" t="s">
        <v>562</v>
      </c>
      <c r="D52" s="268" t="s">
        <v>563</v>
      </c>
      <c r="E52" s="267">
        <v>3</v>
      </c>
      <c r="F52" s="278" t="s">
        <v>725</v>
      </c>
      <c r="G52" s="271" t="s">
        <v>906</v>
      </c>
      <c r="H52" s="271"/>
      <c r="I52" s="394" t="s">
        <v>972</v>
      </c>
      <c r="J52" s="394"/>
      <c r="K52" s="281">
        <v>157.16999999999999</v>
      </c>
      <c r="L52" s="282">
        <v>25.23</v>
      </c>
      <c r="M52" s="281">
        <f>K52-L52</f>
        <v>131.94</v>
      </c>
      <c r="N52" s="281">
        <v>2.68</v>
      </c>
      <c r="O52" s="281">
        <v>0</v>
      </c>
      <c r="P52" s="281">
        <f t="shared" si="0"/>
        <v>2.68</v>
      </c>
      <c r="Q52" s="395">
        <v>141</v>
      </c>
      <c r="R52" s="395">
        <v>75.680000000000007</v>
      </c>
      <c r="S52" s="395">
        <v>0</v>
      </c>
      <c r="T52" s="281">
        <v>64</v>
      </c>
      <c r="U52" s="281">
        <v>0</v>
      </c>
      <c r="V52" s="281">
        <f t="shared" si="1"/>
        <v>64</v>
      </c>
      <c r="W52" s="283" t="s">
        <v>735</v>
      </c>
      <c r="X52" s="284">
        <v>168.18</v>
      </c>
      <c r="Y52" s="395">
        <v>0</v>
      </c>
      <c r="Z52" s="395">
        <v>0</v>
      </c>
      <c r="AA52" s="399"/>
      <c r="AB52" s="395">
        <f t="shared" si="2"/>
        <v>198.62</v>
      </c>
      <c r="AC52" s="436"/>
    </row>
    <row r="53" spans="1:29" s="156" customFormat="1">
      <c r="A53" s="391" t="s">
        <v>467</v>
      </c>
      <c r="B53" s="392" t="s">
        <v>468</v>
      </c>
      <c r="C53" s="269">
        <v>39960544400</v>
      </c>
      <c r="D53" s="267" t="s">
        <v>564</v>
      </c>
      <c r="E53" s="267">
        <v>2</v>
      </c>
      <c r="F53" s="273" t="s">
        <v>712</v>
      </c>
      <c r="G53" s="271" t="s">
        <v>906</v>
      </c>
      <c r="H53" s="271"/>
      <c r="I53" s="394" t="s">
        <v>934</v>
      </c>
      <c r="J53" s="394"/>
      <c r="K53" s="281">
        <v>157.16999999999999</v>
      </c>
      <c r="L53" s="282">
        <v>0</v>
      </c>
      <c r="M53" s="281">
        <f t="shared" ref="M53:M116" si="4">K53-L53</f>
        <v>157.16999999999999</v>
      </c>
      <c r="N53" s="281">
        <v>4.3600000000000003</v>
      </c>
      <c r="O53" s="281">
        <v>0</v>
      </c>
      <c r="P53" s="281">
        <f t="shared" si="0"/>
        <v>4.3600000000000003</v>
      </c>
      <c r="Q53" s="395">
        <v>0</v>
      </c>
      <c r="R53" s="395">
        <v>0</v>
      </c>
      <c r="S53" s="395">
        <v>0</v>
      </c>
      <c r="T53" s="281">
        <v>0</v>
      </c>
      <c r="U53" s="281">
        <v>0</v>
      </c>
      <c r="V53" s="281">
        <f t="shared" si="1"/>
        <v>0</v>
      </c>
      <c r="W53" s="283"/>
      <c r="X53" s="284">
        <v>0</v>
      </c>
      <c r="Y53" s="395">
        <v>0</v>
      </c>
      <c r="Z53" s="395">
        <v>0</v>
      </c>
      <c r="AA53" s="399"/>
      <c r="AB53" s="395">
        <f t="shared" si="2"/>
        <v>161.53</v>
      </c>
      <c r="AC53" s="436"/>
    </row>
    <row r="54" spans="1:29" s="156" customFormat="1">
      <c r="A54" s="391" t="s">
        <v>467</v>
      </c>
      <c r="B54" s="392" t="s">
        <v>468</v>
      </c>
      <c r="C54" s="269" t="s">
        <v>565</v>
      </c>
      <c r="D54" s="267" t="s">
        <v>566</v>
      </c>
      <c r="E54" s="267">
        <v>2</v>
      </c>
      <c r="F54" s="273" t="s">
        <v>708</v>
      </c>
      <c r="G54" s="271" t="s">
        <v>906</v>
      </c>
      <c r="H54" s="271"/>
      <c r="I54" s="394" t="s">
        <v>973</v>
      </c>
      <c r="J54" s="394"/>
      <c r="K54" s="281">
        <v>157.16999999999999</v>
      </c>
      <c r="L54" s="282">
        <v>25.05</v>
      </c>
      <c r="M54" s="281">
        <f t="shared" si="4"/>
        <v>132.11999999999998</v>
      </c>
      <c r="N54" s="281">
        <v>2.68</v>
      </c>
      <c r="O54" s="281">
        <v>0</v>
      </c>
      <c r="P54" s="281">
        <f t="shared" si="0"/>
        <v>2.68</v>
      </c>
      <c r="Q54" s="395">
        <v>0</v>
      </c>
      <c r="R54" s="395">
        <v>0</v>
      </c>
      <c r="S54" s="395">
        <v>0</v>
      </c>
      <c r="T54" s="281">
        <v>0</v>
      </c>
      <c r="U54" s="281">
        <v>0</v>
      </c>
      <c r="V54" s="281">
        <f t="shared" si="1"/>
        <v>0</v>
      </c>
      <c r="W54" s="283" t="s">
        <v>736</v>
      </c>
      <c r="X54" s="284">
        <v>282.89</v>
      </c>
      <c r="Y54" s="395">
        <v>0</v>
      </c>
      <c r="Z54" s="395">
        <v>0</v>
      </c>
      <c r="AA54" s="399"/>
      <c r="AB54" s="395">
        <f t="shared" si="2"/>
        <v>134.79999999999998</v>
      </c>
      <c r="AC54" s="436"/>
    </row>
    <row r="55" spans="1:29" s="155" customFormat="1" hidden="1">
      <c r="A55" s="391" t="s">
        <v>467</v>
      </c>
      <c r="B55" s="414" t="s">
        <v>468</v>
      </c>
      <c r="C55" s="272" t="s">
        <v>567</v>
      </c>
      <c r="D55" s="268" t="s">
        <v>568</v>
      </c>
      <c r="E55" s="268">
        <v>3</v>
      </c>
      <c r="F55" s="273" t="s">
        <v>709</v>
      </c>
      <c r="G55" s="396" t="s">
        <v>906</v>
      </c>
      <c r="H55" s="396"/>
      <c r="I55" s="397" t="s">
        <v>950</v>
      </c>
      <c r="J55" s="397" t="s">
        <v>974</v>
      </c>
      <c r="K55" s="284">
        <v>157.16999999999999</v>
      </c>
      <c r="L55" s="284">
        <v>22</v>
      </c>
      <c r="M55" s="284">
        <f t="shared" si="4"/>
        <v>135.16999999999999</v>
      </c>
      <c r="N55" s="284">
        <v>0</v>
      </c>
      <c r="O55" s="284">
        <v>0</v>
      </c>
      <c r="P55" s="284">
        <v>0</v>
      </c>
      <c r="Q55" s="398">
        <v>0</v>
      </c>
      <c r="R55" s="398">
        <v>0</v>
      </c>
      <c r="S55" s="398">
        <v>0</v>
      </c>
      <c r="T55" s="284">
        <v>243.83</v>
      </c>
      <c r="U55" s="284">
        <v>0</v>
      </c>
      <c r="V55" s="284">
        <f t="shared" si="1"/>
        <v>243.83</v>
      </c>
      <c r="W55" s="283" t="s">
        <v>734</v>
      </c>
      <c r="X55" s="284">
        <v>0</v>
      </c>
      <c r="Y55" s="398">
        <v>0</v>
      </c>
      <c r="Z55" s="398">
        <v>0</v>
      </c>
      <c r="AA55" s="400"/>
      <c r="AB55" s="398">
        <f t="shared" si="2"/>
        <v>379</v>
      </c>
      <c r="AC55" s="435"/>
    </row>
    <row r="56" spans="1:29" s="156" customFormat="1" hidden="1">
      <c r="A56" s="391" t="s">
        <v>467</v>
      </c>
      <c r="B56" s="392" t="s">
        <v>468</v>
      </c>
      <c r="C56" s="266" t="s">
        <v>569</v>
      </c>
      <c r="D56" s="267" t="s">
        <v>570</v>
      </c>
      <c r="E56" s="267">
        <v>3</v>
      </c>
      <c r="F56" s="273" t="s">
        <v>716</v>
      </c>
      <c r="G56" s="271" t="s">
        <v>906</v>
      </c>
      <c r="H56" s="271"/>
      <c r="I56" s="394" t="s">
        <v>975</v>
      </c>
      <c r="J56" s="394"/>
      <c r="K56" s="281">
        <v>157.16999999999999</v>
      </c>
      <c r="L56" s="282">
        <v>22</v>
      </c>
      <c r="M56" s="281">
        <f t="shared" si="4"/>
        <v>135.16999999999999</v>
      </c>
      <c r="N56" s="281">
        <v>2.68</v>
      </c>
      <c r="O56" s="281">
        <v>0</v>
      </c>
      <c r="P56" s="281">
        <v>2.68</v>
      </c>
      <c r="Q56" s="395">
        <v>260.8</v>
      </c>
      <c r="R56" s="395">
        <v>66</v>
      </c>
      <c r="S56" s="395">
        <v>0</v>
      </c>
      <c r="T56" s="281">
        <v>513.33000000000004</v>
      </c>
      <c r="U56" s="281">
        <v>0</v>
      </c>
      <c r="V56" s="281">
        <v>0</v>
      </c>
      <c r="W56" s="283" t="s">
        <v>736</v>
      </c>
      <c r="X56" s="284">
        <v>0</v>
      </c>
      <c r="Y56" s="395">
        <v>0</v>
      </c>
      <c r="Z56" s="395">
        <v>0</v>
      </c>
      <c r="AA56" s="399"/>
      <c r="AB56" s="395">
        <f t="shared" si="2"/>
        <v>137.85</v>
      </c>
      <c r="AC56" s="436"/>
    </row>
    <row r="57" spans="1:29" s="156" customFormat="1">
      <c r="A57" s="391" t="s">
        <v>467</v>
      </c>
      <c r="B57" s="392" t="s">
        <v>468</v>
      </c>
      <c r="C57" s="269" t="s">
        <v>571</v>
      </c>
      <c r="D57" s="267" t="s">
        <v>572</v>
      </c>
      <c r="E57" s="267">
        <v>2</v>
      </c>
      <c r="F57" s="274" t="s">
        <v>721</v>
      </c>
      <c r="G57" s="271" t="s">
        <v>906</v>
      </c>
      <c r="H57" s="271"/>
      <c r="I57" s="394" t="s">
        <v>976</v>
      </c>
      <c r="J57" s="394"/>
      <c r="K57" s="281">
        <v>157.16999999999999</v>
      </c>
      <c r="L57" s="282">
        <v>16.05</v>
      </c>
      <c r="M57" s="281">
        <f t="shared" si="4"/>
        <v>141.11999999999998</v>
      </c>
      <c r="N57" s="281">
        <v>2.68</v>
      </c>
      <c r="O57" s="281">
        <v>0</v>
      </c>
      <c r="P57" s="281">
        <f t="shared" si="0"/>
        <v>2.68</v>
      </c>
      <c r="Q57" s="395">
        <v>0</v>
      </c>
      <c r="R57" s="395">
        <v>0</v>
      </c>
      <c r="S57" s="395">
        <v>0</v>
      </c>
      <c r="T57" s="281">
        <v>0</v>
      </c>
      <c r="U57" s="281">
        <v>0</v>
      </c>
      <c r="V57" s="281">
        <f t="shared" si="1"/>
        <v>0</v>
      </c>
      <c r="W57" s="283"/>
      <c r="X57" s="284">
        <v>0</v>
      </c>
      <c r="Y57" s="395">
        <v>0</v>
      </c>
      <c r="Z57" s="395">
        <v>0</v>
      </c>
      <c r="AA57" s="399"/>
      <c r="AB57" s="395">
        <f t="shared" si="2"/>
        <v>143.79999999999998</v>
      </c>
      <c r="AC57" s="436"/>
    </row>
    <row r="58" spans="1:29" s="156" customFormat="1" hidden="1">
      <c r="A58" s="391" t="s">
        <v>467</v>
      </c>
      <c r="B58" s="392" t="s">
        <v>468</v>
      </c>
      <c r="C58" s="269" t="s">
        <v>573</v>
      </c>
      <c r="D58" s="267" t="s">
        <v>574</v>
      </c>
      <c r="E58" s="267">
        <v>3</v>
      </c>
      <c r="F58" s="274" t="s">
        <v>727</v>
      </c>
      <c r="G58" s="271" t="s">
        <v>906</v>
      </c>
      <c r="H58" s="271"/>
      <c r="I58" s="394" t="s">
        <v>977</v>
      </c>
      <c r="J58" s="394"/>
      <c r="K58" s="281">
        <v>157.16999999999999</v>
      </c>
      <c r="L58" s="282">
        <v>31.05</v>
      </c>
      <c r="M58" s="281">
        <f t="shared" si="4"/>
        <v>126.11999999999999</v>
      </c>
      <c r="N58" s="281">
        <v>2.68</v>
      </c>
      <c r="O58" s="281">
        <v>0</v>
      </c>
      <c r="P58" s="281">
        <f t="shared" si="0"/>
        <v>2.68</v>
      </c>
      <c r="Q58" s="395">
        <v>0</v>
      </c>
      <c r="R58" s="395">
        <v>0</v>
      </c>
      <c r="S58" s="395">
        <v>0</v>
      </c>
      <c r="T58" s="281">
        <v>128</v>
      </c>
      <c r="U58" s="281">
        <v>0</v>
      </c>
      <c r="V58" s="281">
        <f t="shared" si="1"/>
        <v>128</v>
      </c>
      <c r="W58" s="283" t="s">
        <v>735</v>
      </c>
      <c r="X58" s="284">
        <v>517.5</v>
      </c>
      <c r="Y58" s="395">
        <v>0</v>
      </c>
      <c r="Z58" s="395">
        <v>0</v>
      </c>
      <c r="AA58" s="399"/>
      <c r="AB58" s="395">
        <f t="shared" si="2"/>
        <v>256.8</v>
      </c>
      <c r="AC58" s="436"/>
    </row>
    <row r="59" spans="1:29" s="156" customFormat="1" hidden="1">
      <c r="A59" s="391" t="s">
        <v>467</v>
      </c>
      <c r="B59" s="392" t="s">
        <v>468</v>
      </c>
      <c r="C59" s="269" t="s">
        <v>575</v>
      </c>
      <c r="D59" s="267" t="s">
        <v>576</v>
      </c>
      <c r="E59" s="267">
        <v>3</v>
      </c>
      <c r="F59" s="274" t="s">
        <v>722</v>
      </c>
      <c r="G59" s="271" t="s">
        <v>906</v>
      </c>
      <c r="H59" s="271"/>
      <c r="I59" s="394" t="s">
        <v>952</v>
      </c>
      <c r="J59" s="394"/>
      <c r="K59" s="281">
        <v>157.16999999999999</v>
      </c>
      <c r="L59" s="282">
        <v>37.840000000000003</v>
      </c>
      <c r="M59" s="281">
        <f t="shared" si="4"/>
        <v>119.32999999999998</v>
      </c>
      <c r="N59" s="281">
        <v>2.68</v>
      </c>
      <c r="O59" s="281">
        <v>0</v>
      </c>
      <c r="P59" s="281">
        <f t="shared" si="0"/>
        <v>2.68</v>
      </c>
      <c r="Q59" s="395">
        <v>0</v>
      </c>
      <c r="R59" s="395">
        <v>0</v>
      </c>
      <c r="S59" s="395">
        <v>0</v>
      </c>
      <c r="T59" s="281">
        <v>64</v>
      </c>
      <c r="U59" s="281">
        <v>0</v>
      </c>
      <c r="V59" s="281">
        <f t="shared" si="1"/>
        <v>64</v>
      </c>
      <c r="W59" s="283"/>
      <c r="X59" s="284">
        <v>0</v>
      </c>
      <c r="Y59" s="395">
        <v>0</v>
      </c>
      <c r="Z59" s="395">
        <v>0</v>
      </c>
      <c r="AA59" s="399"/>
      <c r="AB59" s="395">
        <f t="shared" si="2"/>
        <v>186.01</v>
      </c>
      <c r="AC59" s="436"/>
    </row>
    <row r="60" spans="1:29" s="155" customFormat="1" hidden="1">
      <c r="A60" s="391" t="s">
        <v>467</v>
      </c>
      <c r="B60" s="392" t="s">
        <v>468</v>
      </c>
      <c r="C60" s="269">
        <v>11293575461</v>
      </c>
      <c r="D60" s="267" t="s">
        <v>577</v>
      </c>
      <c r="E60" s="267">
        <v>3</v>
      </c>
      <c r="F60" s="273" t="s">
        <v>717</v>
      </c>
      <c r="G60" s="271" t="s">
        <v>906</v>
      </c>
      <c r="H60" s="271"/>
      <c r="I60" s="394" t="s">
        <v>978</v>
      </c>
      <c r="J60" s="394"/>
      <c r="K60" s="281">
        <v>157.16999999999999</v>
      </c>
      <c r="L60" s="282">
        <v>22</v>
      </c>
      <c r="M60" s="281">
        <f t="shared" si="4"/>
        <v>135.16999999999999</v>
      </c>
      <c r="N60" s="281">
        <v>2.68</v>
      </c>
      <c r="O60" s="281">
        <v>0</v>
      </c>
      <c r="P60" s="281">
        <f t="shared" si="0"/>
        <v>2.68</v>
      </c>
      <c r="Q60" s="395">
        <v>0</v>
      </c>
      <c r="R60" s="395">
        <v>0</v>
      </c>
      <c r="S60" s="395">
        <v>0</v>
      </c>
      <c r="T60" s="281">
        <f>256.67+64</f>
        <v>320.67</v>
      </c>
      <c r="U60" s="281">
        <v>0</v>
      </c>
      <c r="V60" s="281">
        <f t="shared" si="1"/>
        <v>320.67</v>
      </c>
      <c r="W60" s="283" t="s">
        <v>979</v>
      </c>
      <c r="X60" s="284">
        <v>48.62</v>
      </c>
      <c r="Y60" s="395">
        <v>0</v>
      </c>
      <c r="Z60" s="395">
        <v>0</v>
      </c>
      <c r="AA60" s="399"/>
      <c r="AB60" s="395">
        <f t="shared" si="2"/>
        <v>458.52</v>
      </c>
      <c r="AC60" s="435"/>
    </row>
    <row r="61" spans="1:29" s="156" customFormat="1" hidden="1">
      <c r="A61" s="391" t="s">
        <v>467</v>
      </c>
      <c r="B61" s="392" t="s">
        <v>468</v>
      </c>
      <c r="C61" s="269">
        <v>28651282885</v>
      </c>
      <c r="D61" s="267" t="s">
        <v>578</v>
      </c>
      <c r="E61" s="267">
        <v>3</v>
      </c>
      <c r="F61" s="274" t="s">
        <v>717</v>
      </c>
      <c r="G61" s="271" t="s">
        <v>906</v>
      </c>
      <c r="H61" s="271"/>
      <c r="I61" s="394" t="s">
        <v>960</v>
      </c>
      <c r="J61" s="394"/>
      <c r="K61" s="281">
        <v>157.16999999999999</v>
      </c>
      <c r="L61" s="282">
        <v>22</v>
      </c>
      <c r="M61" s="281">
        <f t="shared" si="4"/>
        <v>135.16999999999999</v>
      </c>
      <c r="N61" s="281">
        <v>2.68</v>
      </c>
      <c r="O61" s="281">
        <v>0</v>
      </c>
      <c r="P61" s="281">
        <f t="shared" si="0"/>
        <v>2.68</v>
      </c>
      <c r="Q61" s="395">
        <v>141</v>
      </c>
      <c r="R61" s="395">
        <v>66</v>
      </c>
      <c r="S61" s="395">
        <v>0</v>
      </c>
      <c r="T61" s="281">
        <v>104.5</v>
      </c>
      <c r="U61" s="281">
        <v>0</v>
      </c>
      <c r="V61" s="281">
        <f t="shared" si="1"/>
        <v>104.5</v>
      </c>
      <c r="W61" s="283"/>
      <c r="X61" s="284">
        <v>0</v>
      </c>
      <c r="Y61" s="395">
        <v>0</v>
      </c>
      <c r="Z61" s="395">
        <v>0</v>
      </c>
      <c r="AA61" s="399"/>
      <c r="AB61" s="395">
        <f t="shared" si="2"/>
        <v>242.35</v>
      </c>
      <c r="AC61" s="436"/>
    </row>
    <row r="62" spans="1:29" s="153" customFormat="1">
      <c r="A62" s="391" t="s">
        <v>467</v>
      </c>
      <c r="B62" s="392" t="s">
        <v>468</v>
      </c>
      <c r="C62" s="269">
        <v>92120482420</v>
      </c>
      <c r="D62" s="267" t="s">
        <v>579</v>
      </c>
      <c r="E62" s="267">
        <v>2</v>
      </c>
      <c r="F62" s="273" t="s">
        <v>708</v>
      </c>
      <c r="G62" s="271" t="s">
        <v>906</v>
      </c>
      <c r="H62" s="271"/>
      <c r="I62" s="394" t="s">
        <v>950</v>
      </c>
      <c r="J62" s="394"/>
      <c r="K62" s="281">
        <v>157.16999999999999</v>
      </c>
      <c r="L62" s="282">
        <v>0</v>
      </c>
      <c r="M62" s="281">
        <f t="shared" si="4"/>
        <v>157.16999999999999</v>
      </c>
      <c r="N62" s="281">
        <v>2.68</v>
      </c>
      <c r="O62" s="281">
        <v>0</v>
      </c>
      <c r="P62" s="281">
        <f t="shared" si="0"/>
        <v>2.68</v>
      </c>
      <c r="Q62" s="395">
        <v>0</v>
      </c>
      <c r="R62" s="395">
        <v>0</v>
      </c>
      <c r="S62" s="395">
        <v>0</v>
      </c>
      <c r="T62" s="281">
        <v>0</v>
      </c>
      <c r="U62" s="281">
        <v>0</v>
      </c>
      <c r="V62" s="281">
        <f t="shared" si="1"/>
        <v>0</v>
      </c>
      <c r="W62" s="283"/>
      <c r="X62" s="284">
        <v>0</v>
      </c>
      <c r="Y62" s="395">
        <v>0</v>
      </c>
      <c r="Z62" s="395">
        <v>0</v>
      </c>
      <c r="AA62" s="399"/>
      <c r="AB62" s="395">
        <f t="shared" si="2"/>
        <v>159.85</v>
      </c>
      <c r="AC62" s="432"/>
    </row>
    <row r="63" spans="1:29" s="153" customFormat="1">
      <c r="A63" s="391" t="s">
        <v>467</v>
      </c>
      <c r="B63" s="392" t="s">
        <v>468</v>
      </c>
      <c r="C63" s="269" t="s">
        <v>580</v>
      </c>
      <c r="D63" s="267" t="s">
        <v>581</v>
      </c>
      <c r="E63" s="267">
        <v>2</v>
      </c>
      <c r="F63" s="273" t="s">
        <v>708</v>
      </c>
      <c r="G63" s="271" t="s">
        <v>906</v>
      </c>
      <c r="H63" s="271"/>
      <c r="I63" s="394" t="s">
        <v>935</v>
      </c>
      <c r="J63" s="394"/>
      <c r="K63" s="281">
        <v>157.16999999999999</v>
      </c>
      <c r="L63" s="282">
        <v>25.05</v>
      </c>
      <c r="M63" s="281">
        <f t="shared" si="4"/>
        <v>132.11999999999998</v>
      </c>
      <c r="N63" s="281">
        <v>2.68</v>
      </c>
      <c r="O63" s="281">
        <v>0</v>
      </c>
      <c r="P63" s="281">
        <f t="shared" si="0"/>
        <v>2.68</v>
      </c>
      <c r="Q63" s="395">
        <v>138</v>
      </c>
      <c r="R63" s="395">
        <v>75.150000000000006</v>
      </c>
      <c r="S63" s="395">
        <v>0</v>
      </c>
      <c r="T63" s="281">
        <v>0</v>
      </c>
      <c r="U63" s="281">
        <v>0</v>
      </c>
      <c r="V63" s="281">
        <f t="shared" si="1"/>
        <v>0</v>
      </c>
      <c r="W63" s="283"/>
      <c r="X63" s="284">
        <v>282.89</v>
      </c>
      <c r="Y63" s="395">
        <v>0</v>
      </c>
      <c r="Z63" s="395">
        <v>0</v>
      </c>
      <c r="AA63" s="399"/>
      <c r="AB63" s="395">
        <f t="shared" si="2"/>
        <v>134.79999999999998</v>
      </c>
      <c r="AC63" s="432"/>
    </row>
    <row r="64" spans="1:29" s="153" customFormat="1">
      <c r="A64" s="391" t="s">
        <v>467</v>
      </c>
      <c r="B64" s="392" t="s">
        <v>468</v>
      </c>
      <c r="C64" s="269" t="s">
        <v>582</v>
      </c>
      <c r="D64" s="267" t="s">
        <v>583</v>
      </c>
      <c r="E64" s="267">
        <v>2</v>
      </c>
      <c r="F64" s="274" t="s">
        <v>715</v>
      </c>
      <c r="G64" s="271" t="s">
        <v>906</v>
      </c>
      <c r="H64" s="271"/>
      <c r="I64" s="394" t="s">
        <v>980</v>
      </c>
      <c r="J64" s="394"/>
      <c r="K64" s="281">
        <v>157.16999999999999</v>
      </c>
      <c r="L64" s="282">
        <v>24.18</v>
      </c>
      <c r="M64" s="281">
        <f t="shared" si="4"/>
        <v>132.98999999999998</v>
      </c>
      <c r="N64" s="281">
        <v>2.68</v>
      </c>
      <c r="O64" s="281">
        <v>0</v>
      </c>
      <c r="P64" s="281">
        <f t="shared" si="0"/>
        <v>2.68</v>
      </c>
      <c r="Q64" s="395">
        <v>0</v>
      </c>
      <c r="R64" s="395">
        <v>0</v>
      </c>
      <c r="S64" s="395">
        <v>0</v>
      </c>
      <c r="T64" s="281">
        <v>0</v>
      </c>
      <c r="U64" s="281">
        <v>0</v>
      </c>
      <c r="V64" s="281">
        <f t="shared" si="1"/>
        <v>0</v>
      </c>
      <c r="W64" s="283"/>
      <c r="X64" s="284">
        <v>0</v>
      </c>
      <c r="Y64" s="395">
        <v>0</v>
      </c>
      <c r="Z64" s="395">
        <v>0</v>
      </c>
      <c r="AA64" s="399"/>
      <c r="AB64" s="395">
        <f t="shared" si="2"/>
        <v>135.66999999999999</v>
      </c>
      <c r="AC64" s="432"/>
    </row>
    <row r="65" spans="1:29" s="153" customFormat="1">
      <c r="A65" s="391" t="s">
        <v>467</v>
      </c>
      <c r="B65" s="392" t="s">
        <v>468</v>
      </c>
      <c r="C65" s="269" t="s">
        <v>584</v>
      </c>
      <c r="D65" s="267" t="s">
        <v>585</v>
      </c>
      <c r="E65" s="267">
        <v>2</v>
      </c>
      <c r="F65" s="274" t="s">
        <v>721</v>
      </c>
      <c r="G65" s="271" t="s">
        <v>906</v>
      </c>
      <c r="H65" s="271"/>
      <c r="I65" s="394" t="s">
        <v>981</v>
      </c>
      <c r="J65" s="394"/>
      <c r="K65" s="281">
        <v>157.16999999999999</v>
      </c>
      <c r="L65" s="282">
        <v>16.05</v>
      </c>
      <c r="M65" s="281">
        <f t="shared" si="4"/>
        <v>141.11999999999998</v>
      </c>
      <c r="N65" s="281">
        <v>2.68</v>
      </c>
      <c r="O65" s="281">
        <v>0</v>
      </c>
      <c r="P65" s="281">
        <f t="shared" si="0"/>
        <v>2.68</v>
      </c>
      <c r="Q65" s="395">
        <v>0</v>
      </c>
      <c r="R65" s="395">
        <v>0</v>
      </c>
      <c r="S65" s="395">
        <v>0</v>
      </c>
      <c r="T65" s="281">
        <v>0</v>
      </c>
      <c r="U65" s="281">
        <v>0</v>
      </c>
      <c r="V65" s="281">
        <f t="shared" si="1"/>
        <v>0</v>
      </c>
      <c r="W65" s="283"/>
      <c r="X65" s="284">
        <v>0</v>
      </c>
      <c r="Y65" s="395">
        <v>0</v>
      </c>
      <c r="Z65" s="395">
        <v>0</v>
      </c>
      <c r="AA65" s="399"/>
      <c r="AB65" s="395">
        <f t="shared" si="2"/>
        <v>143.79999999999998</v>
      </c>
      <c r="AC65" s="432"/>
    </row>
    <row r="66" spans="1:29" s="153" customFormat="1">
      <c r="A66" s="391" t="s">
        <v>467</v>
      </c>
      <c r="B66" s="392" t="s">
        <v>468</v>
      </c>
      <c r="C66" s="269" t="s">
        <v>586</v>
      </c>
      <c r="D66" s="267" t="s">
        <v>587</v>
      </c>
      <c r="E66" s="267">
        <v>2</v>
      </c>
      <c r="F66" s="273" t="s">
        <v>713</v>
      </c>
      <c r="G66" s="271" t="s">
        <v>906</v>
      </c>
      <c r="H66" s="271"/>
      <c r="I66" s="394" t="s">
        <v>982</v>
      </c>
      <c r="J66" s="394"/>
      <c r="K66" s="281">
        <v>157.16999999999999</v>
      </c>
      <c r="L66" s="282">
        <v>2.4300000000000002</v>
      </c>
      <c r="M66" s="281">
        <f t="shared" si="4"/>
        <v>154.73999999999998</v>
      </c>
      <c r="N66" s="281">
        <v>5.36</v>
      </c>
      <c r="O66" s="281">
        <v>0</v>
      </c>
      <c r="P66" s="281">
        <f t="shared" si="0"/>
        <v>5.36</v>
      </c>
      <c r="Q66" s="395">
        <v>0</v>
      </c>
      <c r="R66" s="395">
        <v>0</v>
      </c>
      <c r="S66" s="395">
        <v>0</v>
      </c>
      <c r="T66" s="281">
        <v>0</v>
      </c>
      <c r="U66" s="281">
        <v>0</v>
      </c>
      <c r="V66" s="281">
        <f t="shared" si="1"/>
        <v>0</v>
      </c>
      <c r="W66" s="283"/>
      <c r="X66" s="284">
        <v>0</v>
      </c>
      <c r="Y66" s="395">
        <v>0</v>
      </c>
      <c r="Z66" s="395">
        <v>0</v>
      </c>
      <c r="AA66" s="399"/>
      <c r="AB66" s="395">
        <f t="shared" si="2"/>
        <v>160.1</v>
      </c>
      <c r="AC66" s="432"/>
    </row>
    <row r="67" spans="1:29" s="156" customFormat="1" hidden="1">
      <c r="A67" s="391" t="s">
        <v>467</v>
      </c>
      <c r="B67" s="392" t="s">
        <v>468</v>
      </c>
      <c r="C67" s="269" t="s">
        <v>588</v>
      </c>
      <c r="D67" s="267" t="s">
        <v>589</v>
      </c>
      <c r="E67" s="267">
        <v>3</v>
      </c>
      <c r="F67" s="276" t="s">
        <v>716</v>
      </c>
      <c r="G67" s="271" t="s">
        <v>906</v>
      </c>
      <c r="H67" s="271"/>
      <c r="I67" s="394" t="s">
        <v>983</v>
      </c>
      <c r="J67" s="394"/>
      <c r="K67" s="281">
        <v>157.16999999999999</v>
      </c>
      <c r="L67" s="282">
        <v>22</v>
      </c>
      <c r="M67" s="281">
        <f t="shared" si="4"/>
        <v>135.16999999999999</v>
      </c>
      <c r="N67" s="281">
        <v>5.36</v>
      </c>
      <c r="O67" s="281">
        <v>0</v>
      </c>
      <c r="P67" s="281">
        <f t="shared" ref="P67:P122" si="5">N67-O67</f>
        <v>5.36</v>
      </c>
      <c r="Q67" s="395">
        <v>244.5</v>
      </c>
      <c r="R67" s="395">
        <v>66</v>
      </c>
      <c r="S67" s="395">
        <v>0</v>
      </c>
      <c r="T67" s="281">
        <v>0</v>
      </c>
      <c r="U67" s="281">
        <v>0</v>
      </c>
      <c r="V67" s="281">
        <f t="shared" ref="V67" si="6">T67-U67</f>
        <v>0</v>
      </c>
      <c r="W67" s="283"/>
      <c r="X67" s="284">
        <v>48.62</v>
      </c>
      <c r="Y67" s="395">
        <v>0</v>
      </c>
      <c r="Z67" s="395">
        <v>0</v>
      </c>
      <c r="AA67" s="399"/>
      <c r="AB67" s="395">
        <f t="shared" si="2"/>
        <v>140.53</v>
      </c>
      <c r="AC67" s="436"/>
    </row>
    <row r="68" spans="1:29" s="156" customFormat="1">
      <c r="A68" s="391" t="s">
        <v>467</v>
      </c>
      <c r="B68" s="392" t="s">
        <v>468</v>
      </c>
      <c r="C68" s="269">
        <v>10505042401</v>
      </c>
      <c r="D68" s="267" t="s">
        <v>590</v>
      </c>
      <c r="E68" s="267">
        <v>2</v>
      </c>
      <c r="F68" s="273" t="s">
        <v>708</v>
      </c>
      <c r="G68" s="271" t="s">
        <v>906</v>
      </c>
      <c r="H68" s="271"/>
      <c r="I68" s="394" t="s">
        <v>984</v>
      </c>
      <c r="J68" s="394"/>
      <c r="K68" s="281">
        <v>157.16999999999999</v>
      </c>
      <c r="L68" s="282">
        <v>25.05</v>
      </c>
      <c r="M68" s="281">
        <f t="shared" si="4"/>
        <v>132.11999999999998</v>
      </c>
      <c r="N68" s="281">
        <v>2.68</v>
      </c>
      <c r="O68" s="281">
        <v>0</v>
      </c>
      <c r="P68" s="281">
        <f t="shared" si="5"/>
        <v>2.68</v>
      </c>
      <c r="Q68" s="395">
        <v>141</v>
      </c>
      <c r="R68" s="395">
        <v>75.150000000000006</v>
      </c>
      <c r="S68" s="395">
        <v>0</v>
      </c>
      <c r="T68" s="281">
        <v>64</v>
      </c>
      <c r="U68" s="281">
        <v>0</v>
      </c>
      <c r="V68" s="281">
        <v>64</v>
      </c>
      <c r="W68" s="283" t="s">
        <v>735</v>
      </c>
      <c r="X68" s="284">
        <v>0</v>
      </c>
      <c r="Y68" s="395">
        <v>0</v>
      </c>
      <c r="Z68" s="395">
        <v>0</v>
      </c>
      <c r="AA68" s="399"/>
      <c r="AB68" s="395">
        <f t="shared" ref="AB68:AB131" si="7">SUM(Z68,V68,S68,P68,M68,J68,I68)</f>
        <v>198.79999999999998</v>
      </c>
      <c r="AC68" s="436"/>
    </row>
    <row r="69" spans="1:29" s="156" customFormat="1">
      <c r="A69" s="391" t="s">
        <v>467</v>
      </c>
      <c r="B69" s="392" t="s">
        <v>468</v>
      </c>
      <c r="C69" s="269" t="s">
        <v>591</v>
      </c>
      <c r="D69" s="268" t="s">
        <v>592</v>
      </c>
      <c r="E69" s="267">
        <v>2</v>
      </c>
      <c r="F69" s="273" t="s">
        <v>708</v>
      </c>
      <c r="G69" s="271" t="s">
        <v>906</v>
      </c>
      <c r="H69" s="271"/>
      <c r="I69" s="394" t="s">
        <v>985</v>
      </c>
      <c r="J69" s="394"/>
      <c r="K69" s="281">
        <v>157.16999999999999</v>
      </c>
      <c r="L69" s="282">
        <v>25.05</v>
      </c>
      <c r="M69" s="281">
        <f t="shared" si="4"/>
        <v>132.11999999999998</v>
      </c>
      <c r="N69" s="281">
        <v>2.68</v>
      </c>
      <c r="O69" s="281">
        <v>0</v>
      </c>
      <c r="P69" s="281">
        <f t="shared" si="5"/>
        <v>2.68</v>
      </c>
      <c r="Q69" s="395">
        <v>244.5</v>
      </c>
      <c r="R69" s="395">
        <v>6</v>
      </c>
      <c r="S69" s="395">
        <v>0</v>
      </c>
      <c r="T69" s="281">
        <v>0</v>
      </c>
      <c r="U69" s="281">
        <v>0</v>
      </c>
      <c r="V69" s="281">
        <f t="shared" ref="V69:V132" si="8">T69-U69</f>
        <v>0</v>
      </c>
      <c r="W69" s="283"/>
      <c r="X69" s="284">
        <v>0</v>
      </c>
      <c r="Y69" s="395">
        <v>0</v>
      </c>
      <c r="Z69" s="395">
        <v>0</v>
      </c>
      <c r="AA69" s="399"/>
      <c r="AB69" s="395">
        <f t="shared" si="7"/>
        <v>134.79999999999998</v>
      </c>
      <c r="AC69" s="436"/>
    </row>
    <row r="70" spans="1:29" s="156" customFormat="1" hidden="1">
      <c r="A70" s="391" t="s">
        <v>467</v>
      </c>
      <c r="B70" s="392" t="s">
        <v>468</v>
      </c>
      <c r="C70" s="269">
        <v>77307950430</v>
      </c>
      <c r="D70" s="267" t="s">
        <v>593</v>
      </c>
      <c r="E70" s="267">
        <v>3</v>
      </c>
      <c r="F70" s="276" t="s">
        <v>716</v>
      </c>
      <c r="G70" s="271" t="s">
        <v>906</v>
      </c>
      <c r="H70" s="271"/>
      <c r="I70" s="394" t="s">
        <v>960</v>
      </c>
      <c r="J70" s="394"/>
      <c r="K70" s="281">
        <v>157.16999999999999</v>
      </c>
      <c r="L70" s="282">
        <v>22</v>
      </c>
      <c r="M70" s="281">
        <f t="shared" si="4"/>
        <v>135.16999999999999</v>
      </c>
      <c r="N70" s="281">
        <v>2.68</v>
      </c>
      <c r="O70" s="281">
        <v>0</v>
      </c>
      <c r="P70" s="281">
        <f t="shared" si="5"/>
        <v>2.68</v>
      </c>
      <c r="Q70" s="395">
        <v>276</v>
      </c>
      <c r="R70" s="395">
        <v>66</v>
      </c>
      <c r="S70" s="395">
        <v>0</v>
      </c>
      <c r="T70" s="281">
        <v>0</v>
      </c>
      <c r="U70" s="281">
        <v>0</v>
      </c>
      <c r="V70" s="281">
        <f t="shared" si="8"/>
        <v>0</v>
      </c>
      <c r="W70" s="283"/>
      <c r="X70" s="284">
        <v>0</v>
      </c>
      <c r="Y70" s="395">
        <v>0</v>
      </c>
      <c r="Z70" s="395">
        <v>0</v>
      </c>
      <c r="AA70" s="399"/>
      <c r="AB70" s="395">
        <f t="shared" si="7"/>
        <v>137.85</v>
      </c>
      <c r="AC70" s="436"/>
    </row>
    <row r="71" spans="1:29" s="156" customFormat="1">
      <c r="A71" s="391" t="s">
        <v>467</v>
      </c>
      <c r="B71" s="392" t="s">
        <v>468</v>
      </c>
      <c r="C71" s="269" t="s">
        <v>594</v>
      </c>
      <c r="D71" s="267" t="s">
        <v>595</v>
      </c>
      <c r="E71" s="267">
        <v>2</v>
      </c>
      <c r="F71" s="274" t="s">
        <v>721</v>
      </c>
      <c r="G71" s="271" t="s">
        <v>906</v>
      </c>
      <c r="H71" s="271"/>
      <c r="I71" s="394" t="s">
        <v>986</v>
      </c>
      <c r="J71" s="394"/>
      <c r="K71" s="281">
        <v>157.16999999999999</v>
      </c>
      <c r="L71" s="282">
        <v>16.05</v>
      </c>
      <c r="M71" s="281">
        <f t="shared" si="4"/>
        <v>141.11999999999998</v>
      </c>
      <c r="N71" s="281">
        <v>2.68</v>
      </c>
      <c r="O71" s="281">
        <v>0</v>
      </c>
      <c r="P71" s="281">
        <f t="shared" si="5"/>
        <v>2.68</v>
      </c>
      <c r="Q71" s="395">
        <v>0</v>
      </c>
      <c r="R71" s="395">
        <v>0</v>
      </c>
      <c r="S71" s="395">
        <v>0</v>
      </c>
      <c r="T71" s="281">
        <v>0</v>
      </c>
      <c r="U71" s="281">
        <v>0</v>
      </c>
      <c r="V71" s="281">
        <f t="shared" si="8"/>
        <v>0</v>
      </c>
      <c r="W71" s="283"/>
      <c r="X71" s="284">
        <v>0</v>
      </c>
      <c r="Y71" s="395">
        <v>0</v>
      </c>
      <c r="Z71" s="395">
        <v>0</v>
      </c>
      <c r="AA71" s="399"/>
      <c r="AB71" s="395">
        <f t="shared" si="7"/>
        <v>143.79999999999998</v>
      </c>
      <c r="AC71" s="436"/>
    </row>
    <row r="72" spans="1:29" s="156" customFormat="1" hidden="1">
      <c r="A72" s="391" t="s">
        <v>467</v>
      </c>
      <c r="B72" s="392" t="s">
        <v>468</v>
      </c>
      <c r="C72" s="269" t="s">
        <v>596</v>
      </c>
      <c r="D72" s="267" t="s">
        <v>597</v>
      </c>
      <c r="E72" s="267">
        <v>3</v>
      </c>
      <c r="F72" s="278" t="s">
        <v>725</v>
      </c>
      <c r="G72" s="271" t="s">
        <v>906</v>
      </c>
      <c r="H72" s="271"/>
      <c r="I72" s="394" t="s">
        <v>987</v>
      </c>
      <c r="J72" s="394"/>
      <c r="K72" s="281">
        <v>157.16999999999999</v>
      </c>
      <c r="L72" s="282">
        <v>62.1</v>
      </c>
      <c r="M72" s="281">
        <f t="shared" si="4"/>
        <v>95.07</v>
      </c>
      <c r="N72" s="281">
        <v>2.68</v>
      </c>
      <c r="O72" s="281">
        <v>0</v>
      </c>
      <c r="P72" s="281">
        <f t="shared" si="5"/>
        <v>2.68</v>
      </c>
      <c r="Q72" s="395">
        <v>0</v>
      </c>
      <c r="R72" s="395">
        <v>0</v>
      </c>
      <c r="S72" s="395">
        <v>0</v>
      </c>
      <c r="T72" s="281">
        <v>64</v>
      </c>
      <c r="U72" s="281">
        <v>0</v>
      </c>
      <c r="V72" s="281">
        <f t="shared" si="8"/>
        <v>64</v>
      </c>
      <c r="W72" s="283" t="s">
        <v>735</v>
      </c>
      <c r="X72" s="284">
        <v>414</v>
      </c>
      <c r="Y72" s="395">
        <v>0</v>
      </c>
      <c r="Z72" s="395">
        <v>0</v>
      </c>
      <c r="AA72" s="399"/>
      <c r="AB72" s="395">
        <f t="shared" si="7"/>
        <v>161.75</v>
      </c>
      <c r="AC72" s="436"/>
    </row>
    <row r="73" spans="1:29" s="156" customFormat="1" hidden="1">
      <c r="A73" s="391" t="s">
        <v>467</v>
      </c>
      <c r="B73" s="392" t="s">
        <v>468</v>
      </c>
      <c r="C73" s="269">
        <v>10068012438</v>
      </c>
      <c r="D73" s="268" t="s">
        <v>598</v>
      </c>
      <c r="E73" s="267">
        <v>3</v>
      </c>
      <c r="F73" s="274" t="s">
        <v>710</v>
      </c>
      <c r="G73" s="271" t="s">
        <v>906</v>
      </c>
      <c r="H73" s="271"/>
      <c r="I73" s="394" t="s">
        <v>988</v>
      </c>
      <c r="J73" s="394"/>
      <c r="K73" s="281">
        <v>157.16999999999999</v>
      </c>
      <c r="L73" s="282">
        <v>22</v>
      </c>
      <c r="M73" s="281">
        <f t="shared" si="4"/>
        <v>135.16999999999999</v>
      </c>
      <c r="N73" s="281">
        <v>2.68</v>
      </c>
      <c r="O73" s="281">
        <v>0</v>
      </c>
      <c r="P73" s="281">
        <f t="shared" si="5"/>
        <v>2.68</v>
      </c>
      <c r="Q73" s="395">
        <v>282</v>
      </c>
      <c r="R73" s="395">
        <v>66</v>
      </c>
      <c r="S73" s="395">
        <v>0</v>
      </c>
      <c r="T73" s="281">
        <f>128+183.33</f>
        <v>311.33000000000004</v>
      </c>
      <c r="U73" s="281">
        <v>0</v>
      </c>
      <c r="V73" s="281">
        <f t="shared" si="8"/>
        <v>311.33000000000004</v>
      </c>
      <c r="W73" s="283" t="s">
        <v>955</v>
      </c>
      <c r="X73" s="284">
        <v>0</v>
      </c>
      <c r="Y73" s="395">
        <v>0</v>
      </c>
      <c r="Z73" s="395">
        <v>0</v>
      </c>
      <c r="AA73" s="399"/>
      <c r="AB73" s="395">
        <f t="shared" si="7"/>
        <v>449.18000000000006</v>
      </c>
      <c r="AC73" s="436"/>
    </row>
    <row r="74" spans="1:29" s="156" customFormat="1">
      <c r="A74" s="391" t="s">
        <v>467</v>
      </c>
      <c r="B74" s="392" t="s">
        <v>468</v>
      </c>
      <c r="C74" s="269" t="s">
        <v>599</v>
      </c>
      <c r="D74" s="267" t="s">
        <v>600</v>
      </c>
      <c r="E74" s="267">
        <v>2</v>
      </c>
      <c r="F74" s="275" t="s">
        <v>714</v>
      </c>
      <c r="G74" s="271" t="s">
        <v>906</v>
      </c>
      <c r="H74" s="271"/>
      <c r="I74" s="394" t="s">
        <v>938</v>
      </c>
      <c r="J74" s="394"/>
      <c r="K74" s="281">
        <v>157.16999999999999</v>
      </c>
      <c r="L74" s="282">
        <v>0</v>
      </c>
      <c r="M74" s="281">
        <f t="shared" si="4"/>
        <v>157.16999999999999</v>
      </c>
      <c r="N74" s="281">
        <v>18.690000000000001</v>
      </c>
      <c r="O74" s="281">
        <v>0</v>
      </c>
      <c r="P74" s="281">
        <f t="shared" si="5"/>
        <v>18.690000000000001</v>
      </c>
      <c r="Q74" s="395">
        <v>0</v>
      </c>
      <c r="R74" s="395">
        <v>0</v>
      </c>
      <c r="S74" s="395">
        <v>0</v>
      </c>
      <c r="T74" s="281">
        <v>0</v>
      </c>
      <c r="U74" s="281">
        <v>0</v>
      </c>
      <c r="V74" s="281">
        <f t="shared" si="8"/>
        <v>0</v>
      </c>
      <c r="W74" s="283"/>
      <c r="X74" s="284">
        <v>0</v>
      </c>
      <c r="Y74" s="395">
        <v>0</v>
      </c>
      <c r="Z74" s="395">
        <v>0</v>
      </c>
      <c r="AA74" s="399"/>
      <c r="AB74" s="395">
        <f t="shared" si="7"/>
        <v>175.85999999999999</v>
      </c>
      <c r="AC74" s="436"/>
    </row>
    <row r="75" spans="1:29" s="156" customFormat="1" hidden="1">
      <c r="A75" s="391" t="s">
        <v>467</v>
      </c>
      <c r="B75" s="392" t="s">
        <v>468</v>
      </c>
      <c r="C75" s="269" t="s">
        <v>601</v>
      </c>
      <c r="D75" s="267" t="s">
        <v>602</v>
      </c>
      <c r="E75" s="267">
        <v>3</v>
      </c>
      <c r="F75" s="274" t="s">
        <v>710</v>
      </c>
      <c r="G75" s="271" t="s">
        <v>906</v>
      </c>
      <c r="H75" s="271"/>
      <c r="I75" s="394" t="s">
        <v>989</v>
      </c>
      <c r="J75" s="394"/>
      <c r="K75" s="281">
        <v>157.16999999999999</v>
      </c>
      <c r="L75" s="282">
        <v>22</v>
      </c>
      <c r="M75" s="281">
        <f t="shared" si="4"/>
        <v>135.16999999999999</v>
      </c>
      <c r="N75" s="281">
        <v>2.68</v>
      </c>
      <c r="O75" s="281">
        <v>0</v>
      </c>
      <c r="P75" s="281">
        <f t="shared" si="5"/>
        <v>2.68</v>
      </c>
      <c r="Q75" s="395">
        <v>207</v>
      </c>
      <c r="R75" s="395">
        <v>66</v>
      </c>
      <c r="S75" s="395">
        <v>0</v>
      </c>
      <c r="T75" s="281">
        <f>64+146.67</f>
        <v>210.67</v>
      </c>
      <c r="U75" s="281">
        <v>0</v>
      </c>
      <c r="V75" s="281">
        <f t="shared" si="8"/>
        <v>210.67</v>
      </c>
      <c r="W75" s="283" t="s">
        <v>955</v>
      </c>
      <c r="X75" s="284">
        <v>0</v>
      </c>
      <c r="Y75" s="395">
        <v>0</v>
      </c>
      <c r="Z75" s="395">
        <v>0</v>
      </c>
      <c r="AA75" s="399"/>
      <c r="AB75" s="395">
        <f t="shared" si="7"/>
        <v>348.52</v>
      </c>
      <c r="AC75" s="436"/>
    </row>
    <row r="76" spans="1:29" s="156" customFormat="1">
      <c r="A76" s="391" t="s">
        <v>467</v>
      </c>
      <c r="B76" s="392" t="s">
        <v>468</v>
      </c>
      <c r="C76" s="269" t="s">
        <v>603</v>
      </c>
      <c r="D76" s="267" t="s">
        <v>604</v>
      </c>
      <c r="E76" s="267">
        <v>2</v>
      </c>
      <c r="F76" s="273" t="s">
        <v>712</v>
      </c>
      <c r="G76" s="271" t="s">
        <v>906</v>
      </c>
      <c r="H76" s="271"/>
      <c r="I76" s="394" t="s">
        <v>990</v>
      </c>
      <c r="J76" s="394"/>
      <c r="K76" s="281">
        <v>157.16999999999999</v>
      </c>
      <c r="L76" s="282">
        <v>0</v>
      </c>
      <c r="M76" s="281">
        <f t="shared" si="4"/>
        <v>157.16999999999999</v>
      </c>
      <c r="N76" s="281">
        <v>4.3600000000000003</v>
      </c>
      <c r="O76" s="281">
        <v>0</v>
      </c>
      <c r="P76" s="281">
        <f t="shared" si="5"/>
        <v>4.3600000000000003</v>
      </c>
      <c r="Q76" s="395">
        <v>0</v>
      </c>
      <c r="R76" s="395">
        <v>0</v>
      </c>
      <c r="S76" s="395">
        <v>0</v>
      </c>
      <c r="T76" s="281">
        <v>348.36</v>
      </c>
      <c r="U76" s="281">
        <v>0</v>
      </c>
      <c r="V76" s="281">
        <f t="shared" si="8"/>
        <v>348.36</v>
      </c>
      <c r="W76" s="283" t="s">
        <v>979</v>
      </c>
      <c r="X76" s="284">
        <v>0</v>
      </c>
      <c r="Y76" s="395">
        <v>0</v>
      </c>
      <c r="Z76" s="395">
        <v>0</v>
      </c>
      <c r="AA76" s="399"/>
      <c r="AB76" s="395">
        <f t="shared" si="7"/>
        <v>509.89</v>
      </c>
      <c r="AC76" s="436"/>
    </row>
    <row r="77" spans="1:29" s="156" customFormat="1">
      <c r="A77" s="391" t="s">
        <v>467</v>
      </c>
      <c r="B77" s="392" t="s">
        <v>468</v>
      </c>
      <c r="C77" s="269" t="s">
        <v>605</v>
      </c>
      <c r="D77" s="267" t="s">
        <v>606</v>
      </c>
      <c r="E77" s="267">
        <v>2</v>
      </c>
      <c r="F77" s="273" t="s">
        <v>708</v>
      </c>
      <c r="G77" s="271" t="s">
        <v>906</v>
      </c>
      <c r="H77" s="271"/>
      <c r="I77" s="394" t="s">
        <v>991</v>
      </c>
      <c r="J77" s="394"/>
      <c r="K77" s="281">
        <v>157.16999999999999</v>
      </c>
      <c r="L77" s="282">
        <v>25.05</v>
      </c>
      <c r="M77" s="281">
        <f t="shared" si="4"/>
        <v>132.11999999999998</v>
      </c>
      <c r="N77" s="281">
        <v>2.68</v>
      </c>
      <c r="O77" s="281">
        <v>0</v>
      </c>
      <c r="P77" s="281">
        <f t="shared" si="5"/>
        <v>2.68</v>
      </c>
      <c r="Q77" s="395">
        <v>0</v>
      </c>
      <c r="R77" s="395">
        <v>0</v>
      </c>
      <c r="S77" s="395">
        <v>0</v>
      </c>
      <c r="T77" s="281">
        <v>125.25</v>
      </c>
      <c r="U77" s="281">
        <v>0</v>
      </c>
      <c r="V77" s="281">
        <f t="shared" si="8"/>
        <v>125.25</v>
      </c>
      <c r="W77" s="283" t="s">
        <v>979</v>
      </c>
      <c r="X77" s="284">
        <v>48.62</v>
      </c>
      <c r="Y77" s="395">
        <v>0</v>
      </c>
      <c r="Z77" s="395">
        <v>0</v>
      </c>
      <c r="AA77" s="399"/>
      <c r="AB77" s="395">
        <f t="shared" si="7"/>
        <v>260.04999999999995</v>
      </c>
      <c r="AC77" s="436"/>
    </row>
    <row r="78" spans="1:29" s="156" customFormat="1" hidden="1">
      <c r="A78" s="391" t="s">
        <v>467</v>
      </c>
      <c r="B78" s="392" t="s">
        <v>468</v>
      </c>
      <c r="C78" s="269" t="s">
        <v>607</v>
      </c>
      <c r="D78" s="267" t="s">
        <v>608</v>
      </c>
      <c r="E78" s="267">
        <v>3</v>
      </c>
      <c r="F78" s="274" t="s">
        <v>718</v>
      </c>
      <c r="G78" s="271" t="s">
        <v>906</v>
      </c>
      <c r="H78" s="271"/>
      <c r="I78" s="394" t="s">
        <v>992</v>
      </c>
      <c r="J78" s="394"/>
      <c r="K78" s="281">
        <v>157.16999999999999</v>
      </c>
      <c r="L78" s="282">
        <v>25.09</v>
      </c>
      <c r="M78" s="281">
        <f t="shared" si="4"/>
        <v>132.07999999999998</v>
      </c>
      <c r="N78" s="281">
        <v>2.68</v>
      </c>
      <c r="O78" s="281">
        <v>0</v>
      </c>
      <c r="P78" s="281">
        <f t="shared" si="5"/>
        <v>2.68</v>
      </c>
      <c r="Q78" s="395">
        <v>260.8</v>
      </c>
      <c r="R78" s="395">
        <v>75.27</v>
      </c>
      <c r="S78" s="395">
        <v>0</v>
      </c>
      <c r="T78" s="281">
        <f>585.46+64</f>
        <v>649.46</v>
      </c>
      <c r="U78" s="281">
        <v>0</v>
      </c>
      <c r="V78" s="281">
        <f t="shared" si="8"/>
        <v>649.46</v>
      </c>
      <c r="W78" s="283" t="s">
        <v>955</v>
      </c>
      <c r="X78" s="284">
        <v>0</v>
      </c>
      <c r="Y78" s="395">
        <v>0</v>
      </c>
      <c r="Z78" s="395">
        <v>0</v>
      </c>
      <c r="AA78" s="399"/>
      <c r="AB78" s="395">
        <f t="shared" si="7"/>
        <v>784.22</v>
      </c>
      <c r="AC78" s="436"/>
    </row>
    <row r="79" spans="1:29" s="156" customFormat="1" hidden="1">
      <c r="A79" s="391" t="s">
        <v>467</v>
      </c>
      <c r="B79" s="392" t="s">
        <v>468</v>
      </c>
      <c r="C79" s="269">
        <v>89967100400</v>
      </c>
      <c r="D79" s="267" t="s">
        <v>609</v>
      </c>
      <c r="E79" s="267">
        <v>3</v>
      </c>
      <c r="F79" s="273" t="s">
        <v>717</v>
      </c>
      <c r="G79" s="271" t="s">
        <v>906</v>
      </c>
      <c r="H79" s="271"/>
      <c r="I79" s="394" t="s">
        <v>960</v>
      </c>
      <c r="J79" s="394"/>
      <c r="K79" s="281">
        <v>157.16999999999999</v>
      </c>
      <c r="L79" s="282">
        <v>22</v>
      </c>
      <c r="M79" s="281">
        <f t="shared" si="4"/>
        <v>135.16999999999999</v>
      </c>
      <c r="N79" s="281">
        <v>2.68</v>
      </c>
      <c r="O79" s="281">
        <v>0</v>
      </c>
      <c r="P79" s="281">
        <f t="shared" si="5"/>
        <v>2.68</v>
      </c>
      <c r="Q79" s="395">
        <v>0</v>
      </c>
      <c r="R79" s="395">
        <v>0</v>
      </c>
      <c r="S79" s="395">
        <v>0</v>
      </c>
      <c r="T79" s="281">
        <v>64</v>
      </c>
      <c r="U79" s="281">
        <v>0</v>
      </c>
      <c r="V79" s="281">
        <f t="shared" si="8"/>
        <v>64</v>
      </c>
      <c r="W79" s="283" t="s">
        <v>735</v>
      </c>
      <c r="X79" s="284">
        <v>48.62</v>
      </c>
      <c r="Y79" s="395">
        <v>0</v>
      </c>
      <c r="Z79" s="395">
        <v>0</v>
      </c>
      <c r="AA79" s="399"/>
      <c r="AB79" s="395">
        <f t="shared" si="7"/>
        <v>201.85</v>
      </c>
      <c r="AC79" s="436"/>
    </row>
    <row r="80" spans="1:29" s="156" customFormat="1">
      <c r="A80" s="391" t="s">
        <v>467</v>
      </c>
      <c r="B80" s="392" t="s">
        <v>468</v>
      </c>
      <c r="C80" s="269" t="s">
        <v>610</v>
      </c>
      <c r="D80" s="267" t="s">
        <v>611</v>
      </c>
      <c r="E80" s="267">
        <v>2</v>
      </c>
      <c r="F80" s="273" t="s">
        <v>713</v>
      </c>
      <c r="G80" s="271" t="s">
        <v>906</v>
      </c>
      <c r="H80" s="271"/>
      <c r="I80" s="394" t="s">
        <v>993</v>
      </c>
      <c r="J80" s="394"/>
      <c r="K80" s="281">
        <v>157.16999999999999</v>
      </c>
      <c r="L80" s="282">
        <v>2.13</v>
      </c>
      <c r="M80" s="281">
        <f t="shared" si="4"/>
        <v>155.04</v>
      </c>
      <c r="N80" s="281">
        <v>5.36</v>
      </c>
      <c r="O80" s="281">
        <v>0</v>
      </c>
      <c r="P80" s="281">
        <f t="shared" si="5"/>
        <v>5.36</v>
      </c>
      <c r="Q80" s="395">
        <v>0</v>
      </c>
      <c r="R80" s="395">
        <v>0</v>
      </c>
      <c r="S80" s="395">
        <v>0</v>
      </c>
      <c r="T80" s="281">
        <v>0</v>
      </c>
      <c r="U80" s="281">
        <v>0</v>
      </c>
      <c r="V80" s="281">
        <f t="shared" si="8"/>
        <v>0</v>
      </c>
      <c r="W80" s="283"/>
      <c r="X80" s="284">
        <v>97.45</v>
      </c>
      <c r="Y80" s="395">
        <v>0</v>
      </c>
      <c r="Z80" s="395">
        <v>0</v>
      </c>
      <c r="AA80" s="399"/>
      <c r="AB80" s="395">
        <f t="shared" si="7"/>
        <v>160.4</v>
      </c>
      <c r="AC80" s="436"/>
    </row>
    <row r="81" spans="1:29" s="156" customFormat="1" hidden="1">
      <c r="A81" s="391" t="s">
        <v>467</v>
      </c>
      <c r="B81" s="392" t="s">
        <v>468</v>
      </c>
      <c r="C81" s="269" t="s">
        <v>612</v>
      </c>
      <c r="D81" s="267" t="s">
        <v>613</v>
      </c>
      <c r="E81" s="267">
        <v>3</v>
      </c>
      <c r="F81" s="274" t="s">
        <v>727</v>
      </c>
      <c r="G81" s="271" t="s">
        <v>906</v>
      </c>
      <c r="H81" s="271"/>
      <c r="I81" s="394" t="s">
        <v>994</v>
      </c>
      <c r="J81" s="394"/>
      <c r="K81" s="281">
        <v>157.16999999999999</v>
      </c>
      <c r="L81" s="282">
        <v>31.05</v>
      </c>
      <c r="M81" s="281">
        <f t="shared" si="4"/>
        <v>126.11999999999999</v>
      </c>
      <c r="N81" s="281">
        <v>2.68</v>
      </c>
      <c r="O81" s="281">
        <v>0</v>
      </c>
      <c r="P81" s="281">
        <f t="shared" si="5"/>
        <v>2.68</v>
      </c>
      <c r="Q81" s="395">
        <v>276</v>
      </c>
      <c r="R81" s="395">
        <v>93.15</v>
      </c>
      <c r="S81" s="395">
        <v>0</v>
      </c>
      <c r="T81" s="281">
        <v>0</v>
      </c>
      <c r="U81" s="281">
        <v>0</v>
      </c>
      <c r="V81" s="281">
        <f t="shared" si="8"/>
        <v>0</v>
      </c>
      <c r="W81" s="283"/>
      <c r="X81" s="284">
        <v>0</v>
      </c>
      <c r="Y81" s="395">
        <v>0</v>
      </c>
      <c r="Z81" s="395">
        <v>0</v>
      </c>
      <c r="AA81" s="399"/>
      <c r="AB81" s="395">
        <f t="shared" si="7"/>
        <v>128.79999999999998</v>
      </c>
      <c r="AC81" s="436"/>
    </row>
    <row r="82" spans="1:29" s="156" customFormat="1">
      <c r="A82" s="391" t="s">
        <v>467</v>
      </c>
      <c r="B82" s="392" t="s">
        <v>468</v>
      </c>
      <c r="C82" s="269" t="s">
        <v>614</v>
      </c>
      <c r="D82" s="267" t="s">
        <v>615</v>
      </c>
      <c r="E82" s="267">
        <v>2</v>
      </c>
      <c r="F82" s="273" t="s">
        <v>708</v>
      </c>
      <c r="G82" s="271" t="s">
        <v>906</v>
      </c>
      <c r="H82" s="271"/>
      <c r="I82" s="394" t="s">
        <v>995</v>
      </c>
      <c r="J82" s="394"/>
      <c r="K82" s="281">
        <v>157.16999999999999</v>
      </c>
      <c r="L82" s="282">
        <v>25.05</v>
      </c>
      <c r="M82" s="281">
        <f t="shared" si="4"/>
        <v>132.11999999999998</v>
      </c>
      <c r="N82" s="281">
        <v>2.68</v>
      </c>
      <c r="O82" s="281">
        <v>0</v>
      </c>
      <c r="P82" s="281">
        <f t="shared" si="5"/>
        <v>2.68</v>
      </c>
      <c r="Q82" s="395">
        <v>260.8</v>
      </c>
      <c r="R82" s="395">
        <v>75.150000000000006</v>
      </c>
      <c r="S82" s="395">
        <v>0</v>
      </c>
      <c r="T82" s="281">
        <v>208.76</v>
      </c>
      <c r="U82" s="281">
        <v>0</v>
      </c>
      <c r="V82" s="281">
        <f t="shared" si="8"/>
        <v>208.76</v>
      </c>
      <c r="W82" s="283" t="s">
        <v>979</v>
      </c>
      <c r="X82" s="284">
        <v>0</v>
      </c>
      <c r="Y82" s="395">
        <v>0</v>
      </c>
      <c r="Z82" s="395">
        <v>0</v>
      </c>
      <c r="AA82" s="399"/>
      <c r="AB82" s="395">
        <f t="shared" si="7"/>
        <v>343.55999999999995</v>
      </c>
      <c r="AC82" s="436"/>
    </row>
    <row r="83" spans="1:29" s="155" customFormat="1">
      <c r="A83" s="391" t="s">
        <v>467</v>
      </c>
      <c r="B83" s="392" t="s">
        <v>468</v>
      </c>
      <c r="C83" s="269">
        <v>93397941415</v>
      </c>
      <c r="D83" s="267" t="s">
        <v>616</v>
      </c>
      <c r="E83" s="267">
        <v>2</v>
      </c>
      <c r="F83" s="273" t="s">
        <v>708</v>
      </c>
      <c r="G83" s="271" t="s">
        <v>906</v>
      </c>
      <c r="H83" s="271"/>
      <c r="I83" s="394" t="s">
        <v>996</v>
      </c>
      <c r="J83" s="394"/>
      <c r="K83" s="281">
        <v>157.16999999999999</v>
      </c>
      <c r="L83" s="282">
        <v>25.05</v>
      </c>
      <c r="M83" s="281">
        <f t="shared" si="4"/>
        <v>132.11999999999998</v>
      </c>
      <c r="N83" s="281">
        <v>2.68</v>
      </c>
      <c r="O83" s="281">
        <v>0</v>
      </c>
      <c r="P83" s="281">
        <f t="shared" si="5"/>
        <v>2.68</v>
      </c>
      <c r="Q83" s="395">
        <v>0</v>
      </c>
      <c r="R83" s="395">
        <v>0</v>
      </c>
      <c r="S83" s="395">
        <v>0</v>
      </c>
      <c r="T83" s="281">
        <v>220</v>
      </c>
      <c r="U83" s="281">
        <v>0</v>
      </c>
      <c r="V83" s="281">
        <f t="shared" si="8"/>
        <v>220</v>
      </c>
      <c r="W83" s="283" t="s">
        <v>979</v>
      </c>
      <c r="X83" s="284">
        <v>606.20000000000005</v>
      </c>
      <c r="Y83" s="395">
        <v>0</v>
      </c>
      <c r="Z83" s="395">
        <v>0</v>
      </c>
      <c r="AA83" s="399"/>
      <c r="AB83" s="395">
        <f t="shared" si="7"/>
        <v>354.79999999999995</v>
      </c>
      <c r="AC83" s="435"/>
    </row>
    <row r="84" spans="1:29" s="155" customFormat="1" hidden="1">
      <c r="A84" s="391" t="s">
        <v>467</v>
      </c>
      <c r="B84" s="392" t="s">
        <v>468</v>
      </c>
      <c r="C84" s="269" t="s">
        <v>617</v>
      </c>
      <c r="D84" s="267" t="s">
        <v>618</v>
      </c>
      <c r="E84" s="267">
        <v>3</v>
      </c>
      <c r="F84" s="273" t="s">
        <v>728</v>
      </c>
      <c r="G84" s="271" t="s">
        <v>906</v>
      </c>
      <c r="H84" s="271"/>
      <c r="I84" s="394" t="s">
        <v>994</v>
      </c>
      <c r="J84" s="394"/>
      <c r="K84" s="281">
        <v>157.16999999999999</v>
      </c>
      <c r="L84" s="282">
        <v>31.05</v>
      </c>
      <c r="M84" s="281">
        <f t="shared" si="4"/>
        <v>126.11999999999999</v>
      </c>
      <c r="N84" s="281">
        <v>2.68</v>
      </c>
      <c r="O84" s="281">
        <v>0</v>
      </c>
      <c r="P84" s="281">
        <f t="shared" si="5"/>
        <v>2.68</v>
      </c>
      <c r="Q84" s="395">
        <v>0</v>
      </c>
      <c r="R84" s="395">
        <v>0</v>
      </c>
      <c r="S84" s="395">
        <v>0</v>
      </c>
      <c r="T84" s="281">
        <v>0</v>
      </c>
      <c r="U84" s="281">
        <v>0</v>
      </c>
      <c r="V84" s="281">
        <f t="shared" si="8"/>
        <v>0</v>
      </c>
      <c r="W84" s="283"/>
      <c r="X84" s="284">
        <v>0</v>
      </c>
      <c r="Y84" s="395">
        <v>0</v>
      </c>
      <c r="Z84" s="395">
        <v>0</v>
      </c>
      <c r="AA84" s="399"/>
      <c r="AB84" s="395">
        <f t="shared" si="7"/>
        <v>128.79999999999998</v>
      </c>
      <c r="AC84" s="435"/>
    </row>
    <row r="85" spans="1:29" s="155" customFormat="1">
      <c r="A85" s="391" t="s">
        <v>467</v>
      </c>
      <c r="B85" s="392" t="s">
        <v>468</v>
      </c>
      <c r="C85" s="269">
        <v>10560715404</v>
      </c>
      <c r="D85" s="267" t="s">
        <v>619</v>
      </c>
      <c r="E85" s="267">
        <v>2</v>
      </c>
      <c r="F85" s="275" t="s">
        <v>714</v>
      </c>
      <c r="G85" s="271" t="s">
        <v>906</v>
      </c>
      <c r="H85" s="271"/>
      <c r="I85" s="394" t="s">
        <v>938</v>
      </c>
      <c r="J85" s="394"/>
      <c r="K85" s="281">
        <v>157.16999999999999</v>
      </c>
      <c r="L85" s="282">
        <v>0</v>
      </c>
      <c r="M85" s="281">
        <f t="shared" si="4"/>
        <v>157.16999999999999</v>
      </c>
      <c r="N85" s="281">
        <v>18.690000000000001</v>
      </c>
      <c r="O85" s="281">
        <v>0</v>
      </c>
      <c r="P85" s="281">
        <f t="shared" si="5"/>
        <v>18.690000000000001</v>
      </c>
      <c r="Q85" s="395">
        <v>0</v>
      </c>
      <c r="R85" s="395">
        <v>0</v>
      </c>
      <c r="S85" s="395">
        <v>0</v>
      </c>
      <c r="T85" s="281">
        <v>0</v>
      </c>
      <c r="U85" s="281">
        <v>0</v>
      </c>
      <c r="V85" s="281">
        <f t="shared" si="8"/>
        <v>0</v>
      </c>
      <c r="W85" s="283"/>
      <c r="X85" s="284">
        <v>0</v>
      </c>
      <c r="Y85" s="395">
        <v>0</v>
      </c>
      <c r="Z85" s="395">
        <v>0</v>
      </c>
      <c r="AA85" s="399"/>
      <c r="AB85" s="395">
        <f t="shared" si="7"/>
        <v>175.85999999999999</v>
      </c>
      <c r="AC85" s="435"/>
    </row>
    <row r="86" spans="1:29" s="155" customFormat="1">
      <c r="A86" s="391" t="s">
        <v>467</v>
      </c>
      <c r="B86" s="392" t="s">
        <v>468</v>
      </c>
      <c r="C86" s="269">
        <v>70306823438</v>
      </c>
      <c r="D86" s="267" t="s">
        <v>620</v>
      </c>
      <c r="E86" s="267">
        <v>2</v>
      </c>
      <c r="F86" s="275" t="s">
        <v>714</v>
      </c>
      <c r="G86" s="271" t="s">
        <v>906</v>
      </c>
      <c r="H86" s="271"/>
      <c r="I86" s="394" t="s">
        <v>938</v>
      </c>
      <c r="J86" s="394"/>
      <c r="K86" s="281">
        <v>157.16999999999999</v>
      </c>
      <c r="L86" s="282">
        <v>0</v>
      </c>
      <c r="M86" s="281">
        <f t="shared" si="4"/>
        <v>157.16999999999999</v>
      </c>
      <c r="N86" s="281">
        <v>18.690000000000001</v>
      </c>
      <c r="O86" s="281">
        <v>0</v>
      </c>
      <c r="P86" s="281">
        <f t="shared" si="5"/>
        <v>18.690000000000001</v>
      </c>
      <c r="Q86" s="395">
        <v>0</v>
      </c>
      <c r="R86" s="395">
        <v>0</v>
      </c>
      <c r="S86" s="395">
        <v>0</v>
      </c>
      <c r="T86" s="281">
        <v>0</v>
      </c>
      <c r="U86" s="281">
        <v>0</v>
      </c>
      <c r="V86" s="281">
        <f t="shared" si="8"/>
        <v>0</v>
      </c>
      <c r="W86" s="283"/>
      <c r="X86" s="284">
        <v>0</v>
      </c>
      <c r="Y86" s="395">
        <v>0</v>
      </c>
      <c r="Z86" s="395">
        <v>0</v>
      </c>
      <c r="AA86" s="399"/>
      <c r="AB86" s="395">
        <f t="shared" si="7"/>
        <v>175.85999999999999</v>
      </c>
      <c r="AC86" s="435"/>
    </row>
    <row r="87" spans="1:29" s="155" customFormat="1">
      <c r="A87" s="391" t="s">
        <v>467</v>
      </c>
      <c r="B87" s="392" t="s">
        <v>468</v>
      </c>
      <c r="C87" s="269" t="s">
        <v>621</v>
      </c>
      <c r="D87" s="268" t="s">
        <v>622</v>
      </c>
      <c r="E87" s="267">
        <v>2</v>
      </c>
      <c r="F87" s="273" t="s">
        <v>712</v>
      </c>
      <c r="G87" s="271" t="s">
        <v>906</v>
      </c>
      <c r="H87" s="271"/>
      <c r="I87" s="394" t="s">
        <v>934</v>
      </c>
      <c r="J87" s="394"/>
      <c r="K87" s="281">
        <v>157.16999999999999</v>
      </c>
      <c r="L87" s="282">
        <v>0</v>
      </c>
      <c r="M87" s="281">
        <f t="shared" si="4"/>
        <v>157.16999999999999</v>
      </c>
      <c r="N87" s="281">
        <v>4.3600000000000003</v>
      </c>
      <c r="O87" s="281">
        <v>0</v>
      </c>
      <c r="P87" s="281">
        <f t="shared" si="5"/>
        <v>4.3600000000000003</v>
      </c>
      <c r="Q87" s="395">
        <v>0</v>
      </c>
      <c r="R87" s="395">
        <v>0</v>
      </c>
      <c r="S87" s="395">
        <v>0</v>
      </c>
      <c r="T87" s="281">
        <v>0</v>
      </c>
      <c r="U87" s="281">
        <v>0</v>
      </c>
      <c r="V87" s="281">
        <f t="shared" si="8"/>
        <v>0</v>
      </c>
      <c r="W87" s="283"/>
      <c r="X87" s="284">
        <v>0</v>
      </c>
      <c r="Y87" s="395">
        <v>0</v>
      </c>
      <c r="Z87" s="395">
        <v>0</v>
      </c>
      <c r="AA87" s="399"/>
      <c r="AB87" s="395">
        <f t="shared" si="7"/>
        <v>161.53</v>
      </c>
      <c r="AC87" s="435"/>
    </row>
    <row r="88" spans="1:29" s="155" customFormat="1">
      <c r="A88" s="391" t="s">
        <v>467</v>
      </c>
      <c r="B88" s="392" t="s">
        <v>468</v>
      </c>
      <c r="C88" s="266" t="s">
        <v>623</v>
      </c>
      <c r="D88" s="268" t="s">
        <v>624</v>
      </c>
      <c r="E88" s="270">
        <v>2</v>
      </c>
      <c r="F88" s="280" t="s">
        <v>708</v>
      </c>
      <c r="G88" s="271" t="s">
        <v>906</v>
      </c>
      <c r="H88" s="271"/>
      <c r="I88" s="394" t="s">
        <v>935</v>
      </c>
      <c r="J88" s="394"/>
      <c r="K88" s="281">
        <v>157.16999999999999</v>
      </c>
      <c r="L88" s="282">
        <v>25.05</v>
      </c>
      <c r="M88" s="281">
        <f t="shared" si="4"/>
        <v>132.11999999999998</v>
      </c>
      <c r="N88" s="281">
        <v>2.68</v>
      </c>
      <c r="O88" s="281">
        <v>0</v>
      </c>
      <c r="P88" s="281">
        <f t="shared" si="5"/>
        <v>2.68</v>
      </c>
      <c r="Q88" s="395">
        <v>122.25</v>
      </c>
      <c r="R88" s="395">
        <v>31.52</v>
      </c>
      <c r="S88" s="395">
        <v>0</v>
      </c>
      <c r="T88" s="281">
        <v>0</v>
      </c>
      <c r="U88" s="281">
        <v>0</v>
      </c>
      <c r="V88" s="281">
        <f t="shared" si="8"/>
        <v>0</v>
      </c>
      <c r="W88" s="283"/>
      <c r="X88" s="284">
        <v>0</v>
      </c>
      <c r="Y88" s="395">
        <v>0</v>
      </c>
      <c r="Z88" s="395">
        <v>0</v>
      </c>
      <c r="AA88" s="399"/>
      <c r="AB88" s="395">
        <f t="shared" si="7"/>
        <v>134.79999999999998</v>
      </c>
      <c r="AC88" s="435"/>
    </row>
    <row r="89" spans="1:29" s="155" customFormat="1">
      <c r="A89" s="391" t="s">
        <v>467</v>
      </c>
      <c r="B89" s="392" t="s">
        <v>468</v>
      </c>
      <c r="C89" s="269">
        <v>98694910497</v>
      </c>
      <c r="D89" s="267" t="s">
        <v>625</v>
      </c>
      <c r="E89" s="267">
        <v>2</v>
      </c>
      <c r="F89" s="273" t="s">
        <v>708</v>
      </c>
      <c r="G89" s="271" t="s">
        <v>906</v>
      </c>
      <c r="H89" s="271"/>
      <c r="I89" s="394" t="s">
        <v>929</v>
      </c>
      <c r="J89" s="394"/>
      <c r="K89" s="281">
        <v>157.16999999999999</v>
      </c>
      <c r="L89" s="282">
        <v>25.05</v>
      </c>
      <c r="M89" s="281">
        <f t="shared" si="4"/>
        <v>132.11999999999998</v>
      </c>
      <c r="N89" s="281">
        <v>2.68</v>
      </c>
      <c r="O89" s="281">
        <v>0</v>
      </c>
      <c r="P89" s="281">
        <f t="shared" si="5"/>
        <v>2.68</v>
      </c>
      <c r="Q89" s="395">
        <v>141</v>
      </c>
      <c r="R89" s="395">
        <v>75.150000000000006</v>
      </c>
      <c r="S89" s="395">
        <v>0</v>
      </c>
      <c r="T89" s="281">
        <v>0</v>
      </c>
      <c r="U89" s="281">
        <v>0</v>
      </c>
      <c r="V89" s="281">
        <f t="shared" si="8"/>
        <v>0</v>
      </c>
      <c r="W89" s="283"/>
      <c r="X89" s="284">
        <v>0</v>
      </c>
      <c r="Y89" s="395">
        <v>0</v>
      </c>
      <c r="Z89" s="395">
        <v>0</v>
      </c>
      <c r="AA89" s="399"/>
      <c r="AB89" s="395">
        <f t="shared" si="7"/>
        <v>134.79999999999998</v>
      </c>
      <c r="AC89" s="435"/>
    </row>
    <row r="90" spans="1:29" s="155" customFormat="1" hidden="1">
      <c r="A90" s="391" t="s">
        <v>467</v>
      </c>
      <c r="B90" s="392" t="s">
        <v>468</v>
      </c>
      <c r="C90" s="269">
        <v>70315023490</v>
      </c>
      <c r="D90" s="267" t="s">
        <v>626</v>
      </c>
      <c r="E90" s="267">
        <v>3</v>
      </c>
      <c r="F90" s="274" t="s">
        <v>710</v>
      </c>
      <c r="G90" s="271" t="s">
        <v>906</v>
      </c>
      <c r="H90" s="271"/>
      <c r="I90" s="394" t="s">
        <v>997</v>
      </c>
      <c r="J90" s="394"/>
      <c r="K90" s="281">
        <v>157.16999999999999</v>
      </c>
      <c r="L90" s="282">
        <v>22</v>
      </c>
      <c r="M90" s="281">
        <f t="shared" si="4"/>
        <v>135.16999999999999</v>
      </c>
      <c r="N90" s="281">
        <v>2.68</v>
      </c>
      <c r="O90" s="281">
        <v>0</v>
      </c>
      <c r="P90" s="281">
        <f t="shared" si="5"/>
        <v>2.68</v>
      </c>
      <c r="Q90" s="395">
        <v>110.4</v>
      </c>
      <c r="R90" s="395">
        <v>66</v>
      </c>
      <c r="S90" s="395">
        <v>0</v>
      </c>
      <c r="T90" s="281">
        <v>64</v>
      </c>
      <c r="U90" s="281">
        <v>0</v>
      </c>
      <c r="V90" s="281">
        <f t="shared" si="8"/>
        <v>64</v>
      </c>
      <c r="W90" s="283" t="s">
        <v>735</v>
      </c>
      <c r="X90" s="284">
        <v>48.62</v>
      </c>
      <c r="Y90" s="395">
        <v>0</v>
      </c>
      <c r="Z90" s="395">
        <v>0</v>
      </c>
      <c r="AA90" s="399"/>
      <c r="AB90" s="395">
        <f t="shared" si="7"/>
        <v>201.85</v>
      </c>
      <c r="AC90" s="435"/>
    </row>
    <row r="91" spans="1:29" s="155" customFormat="1" hidden="1">
      <c r="A91" s="391" t="s">
        <v>467</v>
      </c>
      <c r="B91" s="392" t="s">
        <v>468</v>
      </c>
      <c r="C91" s="269">
        <v>61442607491</v>
      </c>
      <c r="D91" s="267" t="s">
        <v>627</v>
      </c>
      <c r="E91" s="267">
        <v>3</v>
      </c>
      <c r="F91" s="274" t="s">
        <v>729</v>
      </c>
      <c r="G91" s="271" t="s">
        <v>906</v>
      </c>
      <c r="H91" s="271"/>
      <c r="I91" s="394" t="s">
        <v>998</v>
      </c>
      <c r="J91" s="394"/>
      <c r="K91" s="281">
        <v>157.16999999999999</v>
      </c>
      <c r="L91" s="282">
        <v>0</v>
      </c>
      <c r="M91" s="281">
        <f t="shared" si="4"/>
        <v>157.16999999999999</v>
      </c>
      <c r="N91" s="281">
        <v>2.68</v>
      </c>
      <c r="O91" s="281">
        <v>0</v>
      </c>
      <c r="P91" s="281">
        <f t="shared" si="5"/>
        <v>2.68</v>
      </c>
      <c r="Q91" s="395">
        <v>0</v>
      </c>
      <c r="R91" s="395">
        <v>0</v>
      </c>
      <c r="S91" s="395">
        <v>0</v>
      </c>
      <c r="T91" s="281">
        <v>0</v>
      </c>
      <c r="U91" s="281">
        <v>0</v>
      </c>
      <c r="V91" s="281">
        <f t="shared" si="8"/>
        <v>0</v>
      </c>
      <c r="W91" s="283"/>
      <c r="X91" s="284">
        <v>0</v>
      </c>
      <c r="Y91" s="395">
        <v>0</v>
      </c>
      <c r="Z91" s="395">
        <v>0</v>
      </c>
      <c r="AA91" s="399"/>
      <c r="AB91" s="395">
        <f t="shared" si="7"/>
        <v>159.85</v>
      </c>
      <c r="AC91" s="435"/>
    </row>
    <row r="92" spans="1:29" s="155" customFormat="1">
      <c r="A92" s="391" t="s">
        <v>467</v>
      </c>
      <c r="B92" s="392" t="s">
        <v>468</v>
      </c>
      <c r="C92" s="269" t="s">
        <v>628</v>
      </c>
      <c r="D92" s="267" t="s">
        <v>629</v>
      </c>
      <c r="E92" s="267">
        <v>2</v>
      </c>
      <c r="F92" s="273" t="s">
        <v>713</v>
      </c>
      <c r="G92" s="271" t="s">
        <v>906</v>
      </c>
      <c r="H92" s="271"/>
      <c r="I92" s="394" t="s">
        <v>999</v>
      </c>
      <c r="J92" s="394"/>
      <c r="K92" s="281">
        <v>157.16999999999999</v>
      </c>
      <c r="L92" s="282">
        <v>2.4300000000000002</v>
      </c>
      <c r="M92" s="281">
        <f t="shared" si="4"/>
        <v>154.73999999999998</v>
      </c>
      <c r="N92" s="281">
        <v>5.36</v>
      </c>
      <c r="O92" s="281">
        <v>0</v>
      </c>
      <c r="P92" s="281">
        <f t="shared" si="5"/>
        <v>5.36</v>
      </c>
      <c r="Q92" s="395">
        <v>0</v>
      </c>
      <c r="R92" s="395">
        <v>0</v>
      </c>
      <c r="S92" s="395">
        <v>0</v>
      </c>
      <c r="T92" s="281">
        <v>0</v>
      </c>
      <c r="U92" s="281">
        <v>0</v>
      </c>
      <c r="V92" s="281">
        <f t="shared" si="8"/>
        <v>0</v>
      </c>
      <c r="W92" s="283"/>
      <c r="X92" s="284">
        <v>0</v>
      </c>
      <c r="Y92" s="395">
        <v>0</v>
      </c>
      <c r="Z92" s="395">
        <v>0</v>
      </c>
      <c r="AA92" s="399"/>
      <c r="AB92" s="395">
        <f t="shared" si="7"/>
        <v>160.1</v>
      </c>
      <c r="AC92" s="435"/>
    </row>
    <row r="93" spans="1:29" s="155" customFormat="1" hidden="1">
      <c r="A93" s="391" t="s">
        <v>467</v>
      </c>
      <c r="B93" s="392" t="s">
        <v>468</v>
      </c>
      <c r="C93" s="269" t="s">
        <v>630</v>
      </c>
      <c r="D93" s="267" t="s">
        <v>631</v>
      </c>
      <c r="E93" s="267">
        <v>3</v>
      </c>
      <c r="F93" s="274" t="s">
        <v>718</v>
      </c>
      <c r="G93" s="271" t="s">
        <v>906</v>
      </c>
      <c r="H93" s="271"/>
      <c r="I93" s="394" t="s">
        <v>1000</v>
      </c>
      <c r="J93" s="394"/>
      <c r="K93" s="281">
        <v>157.16999999999999</v>
      </c>
      <c r="L93" s="282">
        <v>25.09</v>
      </c>
      <c r="M93" s="281">
        <f t="shared" si="4"/>
        <v>132.07999999999998</v>
      </c>
      <c r="N93" s="281">
        <v>2.68</v>
      </c>
      <c r="O93" s="281">
        <v>0</v>
      </c>
      <c r="P93" s="281">
        <f t="shared" si="5"/>
        <v>2.68</v>
      </c>
      <c r="Q93" s="395">
        <v>0</v>
      </c>
      <c r="R93" s="395">
        <v>0</v>
      </c>
      <c r="S93" s="395">
        <v>0</v>
      </c>
      <c r="T93" s="281">
        <v>460</v>
      </c>
      <c r="U93" s="281">
        <v>0</v>
      </c>
      <c r="V93" s="281">
        <f t="shared" si="8"/>
        <v>460</v>
      </c>
      <c r="W93" s="283" t="s">
        <v>736</v>
      </c>
      <c r="X93" s="284">
        <v>0</v>
      </c>
      <c r="Y93" s="395">
        <v>0</v>
      </c>
      <c r="Z93" s="395">
        <v>0</v>
      </c>
      <c r="AA93" s="399"/>
      <c r="AB93" s="395">
        <f t="shared" si="7"/>
        <v>594.76</v>
      </c>
      <c r="AC93" s="435"/>
    </row>
    <row r="94" spans="1:29" s="155" customFormat="1" hidden="1">
      <c r="A94" s="391" t="s">
        <v>467</v>
      </c>
      <c r="B94" s="392" t="s">
        <v>468</v>
      </c>
      <c r="C94" s="269" t="s">
        <v>632</v>
      </c>
      <c r="D94" s="267" t="s">
        <v>633</v>
      </c>
      <c r="E94" s="267">
        <v>3</v>
      </c>
      <c r="F94" s="274" t="s">
        <v>710</v>
      </c>
      <c r="G94" s="271" t="s">
        <v>906</v>
      </c>
      <c r="H94" s="271"/>
      <c r="I94" s="394" t="s">
        <v>941</v>
      </c>
      <c r="J94" s="394"/>
      <c r="K94" s="281">
        <v>157.16999999999999</v>
      </c>
      <c r="L94" s="282">
        <v>22</v>
      </c>
      <c r="M94" s="281">
        <f t="shared" si="4"/>
        <v>135.16999999999999</v>
      </c>
      <c r="N94" s="281">
        <v>2.68</v>
      </c>
      <c r="O94" s="281">
        <v>0</v>
      </c>
      <c r="P94" s="281">
        <f t="shared" si="5"/>
        <v>2.68</v>
      </c>
      <c r="Q94" s="395">
        <v>0</v>
      </c>
      <c r="R94" s="395">
        <v>0</v>
      </c>
      <c r="S94" s="395">
        <v>0</v>
      </c>
      <c r="T94" s="281">
        <v>128</v>
      </c>
      <c r="U94" s="281">
        <v>0</v>
      </c>
      <c r="V94" s="281">
        <f t="shared" si="8"/>
        <v>128</v>
      </c>
      <c r="W94" s="283" t="s">
        <v>735</v>
      </c>
      <c r="X94" s="284">
        <v>246.38</v>
      </c>
      <c r="Y94" s="395">
        <v>0</v>
      </c>
      <c r="Z94" s="395">
        <v>0</v>
      </c>
      <c r="AA94" s="399"/>
      <c r="AB94" s="395">
        <f t="shared" si="7"/>
        <v>265.85000000000002</v>
      </c>
      <c r="AC94" s="435"/>
    </row>
    <row r="95" spans="1:29" s="155" customFormat="1" hidden="1">
      <c r="A95" s="391" t="s">
        <v>467</v>
      </c>
      <c r="B95" s="392" t="s">
        <v>468</v>
      </c>
      <c r="C95" s="269">
        <v>76656071449</v>
      </c>
      <c r="D95" s="267" t="s">
        <v>634</v>
      </c>
      <c r="E95" s="267">
        <v>3</v>
      </c>
      <c r="F95" s="276" t="s">
        <v>716</v>
      </c>
      <c r="G95" s="271" t="s">
        <v>906</v>
      </c>
      <c r="H95" s="271"/>
      <c r="I95" s="394" t="s">
        <v>960</v>
      </c>
      <c r="J95" s="394"/>
      <c r="K95" s="281">
        <v>157.16999999999999</v>
      </c>
      <c r="L95" s="282">
        <v>22</v>
      </c>
      <c r="M95" s="281">
        <f t="shared" si="4"/>
        <v>135.16999999999999</v>
      </c>
      <c r="N95" s="281">
        <v>2.68</v>
      </c>
      <c r="O95" s="281">
        <v>0</v>
      </c>
      <c r="P95" s="281">
        <f t="shared" si="5"/>
        <v>2.68</v>
      </c>
      <c r="Q95" s="395">
        <v>244.5</v>
      </c>
      <c r="R95" s="395">
        <v>66</v>
      </c>
      <c r="S95" s="395">
        <v>0</v>
      </c>
      <c r="T95" s="281">
        <v>0</v>
      </c>
      <c r="U95" s="281">
        <v>0</v>
      </c>
      <c r="V95" s="281">
        <f t="shared" si="8"/>
        <v>0</v>
      </c>
      <c r="W95" s="283"/>
      <c r="X95" s="284">
        <v>0</v>
      </c>
      <c r="Y95" s="395">
        <v>0</v>
      </c>
      <c r="Z95" s="395">
        <v>0</v>
      </c>
      <c r="AA95" s="399"/>
      <c r="AB95" s="395">
        <f t="shared" si="7"/>
        <v>137.85</v>
      </c>
      <c r="AC95" s="435"/>
    </row>
    <row r="96" spans="1:29" s="155" customFormat="1">
      <c r="A96" s="391" t="s">
        <v>467</v>
      </c>
      <c r="B96" s="392" t="s">
        <v>468</v>
      </c>
      <c r="C96" s="269" t="s">
        <v>635</v>
      </c>
      <c r="D96" s="267" t="s">
        <v>636</v>
      </c>
      <c r="E96" s="267">
        <v>2</v>
      </c>
      <c r="F96" s="273" t="s">
        <v>708</v>
      </c>
      <c r="G96" s="271" t="s">
        <v>906</v>
      </c>
      <c r="H96" s="271"/>
      <c r="I96" s="394" t="s">
        <v>985</v>
      </c>
      <c r="J96" s="394"/>
      <c r="K96" s="281">
        <v>157.16999999999999</v>
      </c>
      <c r="L96" s="282">
        <v>25.05</v>
      </c>
      <c r="M96" s="281">
        <f t="shared" si="4"/>
        <v>132.11999999999998</v>
      </c>
      <c r="N96" s="281">
        <v>2.68</v>
      </c>
      <c r="O96" s="281">
        <v>0</v>
      </c>
      <c r="P96" s="281">
        <f t="shared" si="5"/>
        <v>2.68</v>
      </c>
      <c r="Q96" s="395">
        <v>122.25</v>
      </c>
      <c r="R96" s="395">
        <v>75.150000000000006</v>
      </c>
      <c r="S96" s="395">
        <v>0</v>
      </c>
      <c r="T96" s="281">
        <v>64</v>
      </c>
      <c r="U96" s="281">
        <v>0</v>
      </c>
      <c r="V96" s="281">
        <f t="shared" si="8"/>
        <v>64</v>
      </c>
      <c r="W96" s="283" t="s">
        <v>735</v>
      </c>
      <c r="X96" s="284">
        <v>0</v>
      </c>
      <c r="Y96" s="395">
        <v>0</v>
      </c>
      <c r="Z96" s="395">
        <v>0</v>
      </c>
      <c r="AA96" s="399"/>
      <c r="AB96" s="395">
        <f t="shared" si="7"/>
        <v>198.79999999999998</v>
      </c>
      <c r="AC96" s="435"/>
    </row>
    <row r="97" spans="1:239" s="155" customFormat="1">
      <c r="A97" s="391" t="s">
        <v>467</v>
      </c>
      <c r="B97" s="392" t="s">
        <v>468</v>
      </c>
      <c r="C97" s="269">
        <v>73554553468</v>
      </c>
      <c r="D97" s="267" t="s">
        <v>637</v>
      </c>
      <c r="E97" s="267">
        <v>2</v>
      </c>
      <c r="F97" s="273" t="s">
        <v>708</v>
      </c>
      <c r="G97" s="271" t="s">
        <v>906</v>
      </c>
      <c r="H97" s="271"/>
      <c r="I97" s="394" t="s">
        <v>1001</v>
      </c>
      <c r="J97" s="394"/>
      <c r="K97" s="281">
        <v>157.16999999999999</v>
      </c>
      <c r="L97" s="282">
        <v>25.05</v>
      </c>
      <c r="M97" s="281">
        <f t="shared" si="4"/>
        <v>132.11999999999998</v>
      </c>
      <c r="N97" s="281">
        <v>2.68</v>
      </c>
      <c r="O97" s="281">
        <v>0</v>
      </c>
      <c r="P97" s="281">
        <f t="shared" si="5"/>
        <v>2.68</v>
      </c>
      <c r="Q97" s="395">
        <v>110.4</v>
      </c>
      <c r="R97" s="395">
        <v>75.150000000000006</v>
      </c>
      <c r="S97" s="395">
        <v>0</v>
      </c>
      <c r="T97" s="281">
        <v>202.07</v>
      </c>
      <c r="U97" s="281">
        <v>0</v>
      </c>
      <c r="V97" s="281">
        <v>121.24</v>
      </c>
      <c r="W97" s="283" t="s">
        <v>736</v>
      </c>
      <c r="X97" s="284">
        <v>363.72</v>
      </c>
      <c r="Y97" s="395">
        <v>0</v>
      </c>
      <c r="Z97" s="395">
        <v>0</v>
      </c>
      <c r="AA97" s="399"/>
      <c r="AB97" s="395">
        <f t="shared" si="7"/>
        <v>256.03999999999996</v>
      </c>
      <c r="AC97" s="435"/>
    </row>
    <row r="98" spans="1:239" s="155" customFormat="1" hidden="1">
      <c r="A98" s="391" t="s">
        <v>467</v>
      </c>
      <c r="B98" s="392" t="s">
        <v>468</v>
      </c>
      <c r="C98" s="269">
        <v>90002172453</v>
      </c>
      <c r="D98" s="267" t="s">
        <v>638</v>
      </c>
      <c r="E98" s="267">
        <v>3</v>
      </c>
      <c r="F98" s="274" t="s">
        <v>724</v>
      </c>
      <c r="G98" s="271" t="s">
        <v>906</v>
      </c>
      <c r="H98" s="271"/>
      <c r="I98" s="394" t="s">
        <v>1002</v>
      </c>
      <c r="J98" s="394"/>
      <c r="K98" s="281">
        <v>157.16999999999999</v>
      </c>
      <c r="L98" s="282">
        <v>22</v>
      </c>
      <c r="M98" s="281">
        <f t="shared" si="4"/>
        <v>135.16999999999999</v>
      </c>
      <c r="N98" s="281">
        <v>2.68</v>
      </c>
      <c r="O98" s="281">
        <v>0</v>
      </c>
      <c r="P98" s="281">
        <f t="shared" si="5"/>
        <v>2.68</v>
      </c>
      <c r="Q98" s="395">
        <v>130.4</v>
      </c>
      <c r="R98" s="395">
        <v>66</v>
      </c>
      <c r="S98" s="395">
        <v>0</v>
      </c>
      <c r="T98" s="281">
        <v>0</v>
      </c>
      <c r="U98" s="281">
        <v>0</v>
      </c>
      <c r="V98" s="281">
        <f t="shared" si="8"/>
        <v>0</v>
      </c>
      <c r="W98" s="283"/>
      <c r="X98" s="284">
        <v>0</v>
      </c>
      <c r="Y98" s="395">
        <v>0</v>
      </c>
      <c r="Z98" s="395">
        <v>0</v>
      </c>
      <c r="AA98" s="399"/>
      <c r="AB98" s="395">
        <f t="shared" si="7"/>
        <v>137.85</v>
      </c>
      <c r="AC98" s="435"/>
    </row>
    <row r="99" spans="1:239" s="155" customFormat="1" hidden="1">
      <c r="A99" s="391" t="s">
        <v>467</v>
      </c>
      <c r="B99" s="392" t="s">
        <v>468</v>
      </c>
      <c r="C99" s="269">
        <v>66049890463</v>
      </c>
      <c r="D99" s="267" t="s">
        <v>639</v>
      </c>
      <c r="E99" s="267">
        <v>3</v>
      </c>
      <c r="F99" s="276" t="s">
        <v>716</v>
      </c>
      <c r="G99" s="271" t="s">
        <v>906</v>
      </c>
      <c r="H99" s="271"/>
      <c r="I99" s="394" t="s">
        <v>1003</v>
      </c>
      <c r="J99" s="394"/>
      <c r="K99" s="281">
        <v>157.16999999999999</v>
      </c>
      <c r="L99" s="282">
        <v>22</v>
      </c>
      <c r="M99" s="281">
        <f t="shared" si="4"/>
        <v>135.16999999999999</v>
      </c>
      <c r="N99" s="281">
        <v>2.68</v>
      </c>
      <c r="O99" s="281">
        <v>0</v>
      </c>
      <c r="P99" s="281">
        <f t="shared" si="5"/>
        <v>2.68</v>
      </c>
      <c r="Q99" s="395">
        <v>260.8</v>
      </c>
      <c r="R99" s="395">
        <v>41.8</v>
      </c>
      <c r="S99" s="395">
        <v>0</v>
      </c>
      <c r="T99" s="281">
        <v>487.67</v>
      </c>
      <c r="U99" s="281">
        <v>0</v>
      </c>
      <c r="V99" s="281">
        <f t="shared" si="8"/>
        <v>487.67</v>
      </c>
      <c r="W99" s="283" t="s">
        <v>736</v>
      </c>
      <c r="X99" s="284">
        <v>0</v>
      </c>
      <c r="Y99" s="395">
        <v>0</v>
      </c>
      <c r="Z99" s="395">
        <v>0</v>
      </c>
      <c r="AA99" s="399"/>
      <c r="AB99" s="395">
        <f t="shared" si="7"/>
        <v>625.52</v>
      </c>
      <c r="AC99" s="435"/>
    </row>
    <row r="100" spans="1:239" s="155" customFormat="1">
      <c r="A100" s="391" t="s">
        <v>467</v>
      </c>
      <c r="B100" s="392" t="s">
        <v>468</v>
      </c>
      <c r="C100" s="269">
        <v>40791564487</v>
      </c>
      <c r="D100" s="267" t="s">
        <v>640</v>
      </c>
      <c r="E100" s="267">
        <v>2</v>
      </c>
      <c r="F100" s="273" t="s">
        <v>713</v>
      </c>
      <c r="G100" s="271" t="s">
        <v>906</v>
      </c>
      <c r="H100" s="271"/>
      <c r="I100" s="394" t="s">
        <v>1004</v>
      </c>
      <c r="J100" s="394"/>
      <c r="K100" s="281">
        <v>157.16999999999999</v>
      </c>
      <c r="L100" s="282">
        <v>2.4300000000000002</v>
      </c>
      <c r="M100" s="281">
        <f t="shared" si="4"/>
        <v>154.73999999999998</v>
      </c>
      <c r="N100" s="281">
        <v>5.36</v>
      </c>
      <c r="O100" s="281">
        <v>0</v>
      </c>
      <c r="P100" s="281">
        <f t="shared" si="5"/>
        <v>5.36</v>
      </c>
      <c r="Q100" s="395">
        <v>0</v>
      </c>
      <c r="R100" s="395">
        <v>0</v>
      </c>
      <c r="S100" s="395">
        <v>0</v>
      </c>
      <c r="T100" s="281">
        <v>0</v>
      </c>
      <c r="U100" s="281">
        <v>0</v>
      </c>
      <c r="V100" s="281">
        <f t="shared" si="8"/>
        <v>0</v>
      </c>
      <c r="W100" s="283"/>
      <c r="X100" s="284">
        <v>189.73</v>
      </c>
      <c r="Y100" s="395">
        <v>0</v>
      </c>
      <c r="Z100" s="395">
        <v>0</v>
      </c>
      <c r="AA100" s="399"/>
      <c r="AB100" s="395">
        <f t="shared" si="7"/>
        <v>160.1</v>
      </c>
      <c r="AC100" s="435"/>
    </row>
    <row r="101" spans="1:239" s="155" customFormat="1">
      <c r="A101" s="391" t="s">
        <v>467</v>
      </c>
      <c r="B101" s="392" t="s">
        <v>468</v>
      </c>
      <c r="C101" s="269">
        <v>50022440410</v>
      </c>
      <c r="D101" s="267" t="s">
        <v>641</v>
      </c>
      <c r="E101" s="267">
        <v>2</v>
      </c>
      <c r="F101" s="273" t="s">
        <v>708</v>
      </c>
      <c r="G101" s="271" t="s">
        <v>906</v>
      </c>
      <c r="H101" s="271"/>
      <c r="I101" s="394" t="s">
        <v>1005</v>
      </c>
      <c r="J101" s="394"/>
      <c r="K101" s="281">
        <v>157.16999999999999</v>
      </c>
      <c r="L101" s="282">
        <v>25.05</v>
      </c>
      <c r="M101" s="281">
        <f t="shared" si="4"/>
        <v>132.11999999999998</v>
      </c>
      <c r="N101" s="281">
        <v>2.68</v>
      </c>
      <c r="O101" s="281">
        <v>0</v>
      </c>
      <c r="P101" s="281">
        <f t="shared" si="5"/>
        <v>2.68</v>
      </c>
      <c r="Q101" s="395">
        <v>0</v>
      </c>
      <c r="R101" s="395">
        <v>0</v>
      </c>
      <c r="S101" s="395">
        <v>0</v>
      </c>
      <c r="T101" s="281">
        <v>0</v>
      </c>
      <c r="U101" s="281">
        <v>0</v>
      </c>
      <c r="V101" s="281">
        <f t="shared" si="8"/>
        <v>0</v>
      </c>
      <c r="W101" s="283"/>
      <c r="X101" s="284">
        <v>0</v>
      </c>
      <c r="Y101" s="395">
        <v>0</v>
      </c>
      <c r="Z101" s="395">
        <v>0</v>
      </c>
      <c r="AA101" s="399"/>
      <c r="AB101" s="395">
        <f t="shared" si="7"/>
        <v>134.79999999999998</v>
      </c>
      <c r="AC101" s="435"/>
    </row>
    <row r="102" spans="1:239" s="155" customFormat="1">
      <c r="A102" s="391" t="s">
        <v>467</v>
      </c>
      <c r="B102" s="392" t="s">
        <v>468</v>
      </c>
      <c r="C102" s="269">
        <v>42713978491</v>
      </c>
      <c r="D102" s="267" t="s">
        <v>642</v>
      </c>
      <c r="E102" s="267">
        <v>2</v>
      </c>
      <c r="F102" s="273" t="s">
        <v>708</v>
      </c>
      <c r="G102" s="271" t="s">
        <v>906</v>
      </c>
      <c r="H102" s="271"/>
      <c r="I102" s="394" t="s">
        <v>1006</v>
      </c>
      <c r="J102" s="394"/>
      <c r="K102" s="281">
        <v>157.16999999999999</v>
      </c>
      <c r="L102" s="282">
        <v>25.05</v>
      </c>
      <c r="M102" s="281">
        <f t="shared" si="4"/>
        <v>132.11999999999998</v>
      </c>
      <c r="N102" s="281">
        <v>2.68</v>
      </c>
      <c r="O102" s="281">
        <v>0</v>
      </c>
      <c r="P102" s="281">
        <f t="shared" si="5"/>
        <v>2.68</v>
      </c>
      <c r="Q102" s="395">
        <v>326</v>
      </c>
      <c r="R102" s="395">
        <v>75.150000000000006</v>
      </c>
      <c r="S102" s="395">
        <v>0</v>
      </c>
      <c r="T102" s="281">
        <v>167</v>
      </c>
      <c r="U102" s="281">
        <v>0</v>
      </c>
      <c r="V102" s="281">
        <v>444.55</v>
      </c>
      <c r="W102" s="283" t="s">
        <v>736</v>
      </c>
      <c r="X102" s="284">
        <v>121.24</v>
      </c>
      <c r="Y102" s="395">
        <v>0</v>
      </c>
      <c r="Z102" s="395">
        <v>0</v>
      </c>
      <c r="AA102" s="399"/>
      <c r="AB102" s="395">
        <f t="shared" si="7"/>
        <v>579.35</v>
      </c>
      <c r="AC102" s="437"/>
      <c r="AD102" s="162"/>
      <c r="AE102" s="404"/>
      <c r="AF102" s="404"/>
      <c r="AG102" s="404"/>
      <c r="AH102" s="404"/>
      <c r="AI102" s="404"/>
      <c r="AJ102" s="404"/>
      <c r="AK102" s="404"/>
      <c r="AL102" s="404"/>
      <c r="AM102" s="404"/>
      <c r="AN102" s="404"/>
      <c r="AO102" s="404"/>
      <c r="AP102" s="404"/>
      <c r="AQ102" s="404"/>
      <c r="AR102" s="404"/>
      <c r="AS102" s="404"/>
      <c r="AT102" s="404"/>
      <c r="AU102" s="404"/>
      <c r="AV102" s="404"/>
      <c r="AW102" s="404"/>
      <c r="AX102" s="404"/>
      <c r="AY102" s="404"/>
      <c r="AZ102" s="404"/>
      <c r="BA102" s="404"/>
      <c r="BB102" s="404"/>
      <c r="BC102" s="404"/>
      <c r="BD102" s="404"/>
      <c r="BE102" s="404"/>
      <c r="BF102" s="404"/>
      <c r="BG102" s="404"/>
      <c r="BH102" s="404"/>
      <c r="BI102" s="404"/>
      <c r="BJ102" s="404"/>
      <c r="BK102" s="404"/>
      <c r="BL102" s="404"/>
      <c r="BM102" s="404"/>
      <c r="BN102" s="404"/>
      <c r="BO102" s="404"/>
      <c r="BP102" s="404"/>
      <c r="BQ102" s="404"/>
      <c r="BR102" s="404"/>
      <c r="BS102" s="404"/>
      <c r="BT102" s="404"/>
      <c r="BU102" s="404"/>
      <c r="BV102" s="404"/>
      <c r="BW102" s="404"/>
      <c r="BX102" s="404"/>
      <c r="BY102" s="404"/>
      <c r="BZ102" s="404"/>
      <c r="CA102" s="404"/>
      <c r="CB102" s="404"/>
      <c r="CC102" s="404"/>
      <c r="CD102" s="404"/>
      <c r="CE102" s="404"/>
      <c r="CF102" s="404"/>
      <c r="CG102" s="404"/>
      <c r="CH102" s="404"/>
      <c r="CI102" s="404"/>
      <c r="CJ102" s="404"/>
      <c r="CK102" s="404"/>
      <c r="CL102" s="404"/>
      <c r="CM102" s="404"/>
      <c r="CN102" s="404"/>
      <c r="CO102" s="404"/>
      <c r="CP102" s="404"/>
      <c r="CQ102" s="404"/>
      <c r="CR102" s="404"/>
      <c r="CS102" s="404"/>
      <c r="CT102" s="404"/>
      <c r="CU102" s="404"/>
      <c r="CV102" s="404"/>
      <c r="CW102" s="404"/>
      <c r="CX102" s="404"/>
      <c r="CY102" s="404"/>
      <c r="CZ102" s="404"/>
      <c r="DA102" s="404"/>
      <c r="DB102" s="404"/>
      <c r="DC102" s="404"/>
      <c r="DD102" s="404"/>
      <c r="DE102" s="404"/>
      <c r="DF102" s="404"/>
      <c r="DG102" s="404"/>
      <c r="DH102" s="404"/>
      <c r="DI102" s="404"/>
      <c r="DJ102" s="404"/>
      <c r="DK102" s="404"/>
      <c r="DL102" s="404"/>
      <c r="DM102" s="404"/>
      <c r="DN102" s="404"/>
      <c r="DO102" s="404"/>
      <c r="DP102" s="404"/>
      <c r="DQ102" s="404"/>
      <c r="DR102" s="404"/>
      <c r="DS102" s="404"/>
      <c r="DT102" s="404"/>
      <c r="DU102" s="404"/>
      <c r="DV102" s="404"/>
      <c r="DW102" s="404"/>
      <c r="DX102" s="404"/>
      <c r="DY102" s="404"/>
      <c r="DZ102" s="404"/>
      <c r="EA102" s="404"/>
      <c r="EB102" s="404"/>
      <c r="EC102" s="404"/>
      <c r="ED102" s="404"/>
      <c r="EE102" s="404"/>
      <c r="EF102" s="404"/>
      <c r="EG102" s="404"/>
      <c r="EH102" s="404"/>
      <c r="EI102" s="404"/>
      <c r="EJ102" s="404"/>
      <c r="EK102" s="404"/>
      <c r="EL102" s="404"/>
      <c r="EM102" s="404"/>
      <c r="EN102" s="404"/>
      <c r="EO102" s="404"/>
      <c r="EP102" s="404"/>
      <c r="EQ102" s="404"/>
      <c r="ER102" s="404"/>
      <c r="ES102" s="404"/>
      <c r="ET102" s="404"/>
      <c r="EU102" s="404"/>
      <c r="EV102" s="404"/>
      <c r="EW102" s="404"/>
      <c r="EX102" s="404"/>
      <c r="EY102" s="404"/>
      <c r="EZ102" s="404"/>
      <c r="FA102" s="404"/>
      <c r="FB102" s="404"/>
      <c r="FC102" s="404"/>
      <c r="FD102" s="404"/>
      <c r="FE102" s="404"/>
      <c r="FF102" s="404"/>
      <c r="FG102" s="404"/>
      <c r="FH102" s="404"/>
      <c r="FI102" s="404"/>
      <c r="FJ102" s="404"/>
      <c r="FK102" s="404"/>
      <c r="FL102" s="404"/>
      <c r="FM102" s="404"/>
      <c r="FN102" s="404"/>
      <c r="FO102" s="404"/>
      <c r="FP102" s="404"/>
      <c r="FQ102" s="404"/>
      <c r="FR102" s="404"/>
      <c r="FS102" s="404"/>
      <c r="FT102" s="404"/>
      <c r="FU102" s="404"/>
      <c r="FV102" s="404"/>
      <c r="FW102" s="404"/>
      <c r="FX102" s="404"/>
      <c r="FY102" s="404"/>
      <c r="FZ102" s="404"/>
      <c r="GA102" s="404"/>
      <c r="GB102" s="404"/>
      <c r="GC102" s="404"/>
      <c r="GD102" s="404"/>
      <c r="GE102" s="404"/>
      <c r="GF102" s="404"/>
      <c r="GG102" s="404"/>
      <c r="GH102" s="404"/>
      <c r="GI102" s="404"/>
      <c r="GJ102" s="404"/>
      <c r="GK102" s="404"/>
      <c r="GL102" s="404"/>
      <c r="GM102" s="404"/>
      <c r="GN102" s="404"/>
      <c r="GO102" s="404"/>
      <c r="GP102" s="404"/>
      <c r="GQ102" s="404"/>
      <c r="GR102" s="404"/>
      <c r="GS102" s="404"/>
      <c r="GT102" s="404"/>
      <c r="GU102" s="404"/>
      <c r="GV102" s="404"/>
      <c r="GW102" s="404"/>
      <c r="GX102" s="404"/>
      <c r="GY102" s="404"/>
      <c r="GZ102" s="404"/>
      <c r="HA102" s="404"/>
      <c r="HB102" s="404"/>
      <c r="HC102" s="404"/>
      <c r="HD102" s="404"/>
      <c r="HE102" s="404"/>
      <c r="HF102" s="404"/>
      <c r="HG102" s="404"/>
      <c r="HH102" s="404"/>
      <c r="HI102" s="404"/>
      <c r="HJ102" s="404"/>
      <c r="HK102" s="404"/>
      <c r="HL102" s="404"/>
      <c r="HM102" s="404"/>
      <c r="HN102" s="404"/>
      <c r="HO102" s="404"/>
      <c r="HP102" s="404"/>
      <c r="HQ102" s="404"/>
      <c r="HR102" s="404"/>
      <c r="HS102" s="404"/>
      <c r="HT102" s="404"/>
      <c r="HU102" s="404"/>
      <c r="HV102" s="404"/>
      <c r="HW102" s="404"/>
      <c r="HX102" s="404"/>
      <c r="HY102" s="404"/>
      <c r="HZ102" s="404"/>
      <c r="IA102" s="404"/>
      <c r="IB102" s="404"/>
      <c r="IC102" s="404"/>
      <c r="ID102" s="404"/>
      <c r="IE102" s="404"/>
    </row>
    <row r="103" spans="1:239" s="155" customFormat="1">
      <c r="A103" s="391" t="s">
        <v>467</v>
      </c>
      <c r="B103" s="392" t="s">
        <v>468</v>
      </c>
      <c r="C103" s="269">
        <v>97586390487</v>
      </c>
      <c r="D103" s="267" t="s">
        <v>643</v>
      </c>
      <c r="E103" s="267">
        <v>2</v>
      </c>
      <c r="F103" s="273" t="s">
        <v>708</v>
      </c>
      <c r="G103" s="271" t="s">
        <v>906</v>
      </c>
      <c r="H103" s="271"/>
      <c r="I103" s="394" t="s">
        <v>1007</v>
      </c>
      <c r="J103" s="394"/>
      <c r="K103" s="281">
        <v>157.16999999999999</v>
      </c>
      <c r="L103" s="282">
        <v>25.05</v>
      </c>
      <c r="M103" s="281">
        <f t="shared" si="4"/>
        <v>132.11999999999998</v>
      </c>
      <c r="N103" s="281">
        <v>2.68</v>
      </c>
      <c r="O103" s="281">
        <v>0</v>
      </c>
      <c r="P103" s="281">
        <f t="shared" si="5"/>
        <v>2.68</v>
      </c>
      <c r="Q103" s="395">
        <v>103.5</v>
      </c>
      <c r="R103" s="395">
        <v>75.150000000000006</v>
      </c>
      <c r="S103" s="395">
        <v>0</v>
      </c>
      <c r="T103" s="281">
        <v>0</v>
      </c>
      <c r="U103" s="281">
        <v>0</v>
      </c>
      <c r="V103" s="281">
        <f t="shared" si="8"/>
        <v>0</v>
      </c>
      <c r="W103" s="283"/>
      <c r="X103" s="284">
        <v>0</v>
      </c>
      <c r="Y103" s="395">
        <v>0</v>
      </c>
      <c r="Z103" s="395">
        <v>0</v>
      </c>
      <c r="AA103" s="399"/>
      <c r="AB103" s="395">
        <f t="shared" si="7"/>
        <v>134.79999999999998</v>
      </c>
      <c r="AC103" s="435"/>
    </row>
    <row r="104" spans="1:239" s="155" customFormat="1">
      <c r="A104" s="391" t="s">
        <v>467</v>
      </c>
      <c r="B104" s="392" t="s">
        <v>468</v>
      </c>
      <c r="C104" s="269" t="s">
        <v>644</v>
      </c>
      <c r="D104" s="267" t="s">
        <v>645</v>
      </c>
      <c r="E104" s="267">
        <v>2</v>
      </c>
      <c r="F104" s="274" t="s">
        <v>721</v>
      </c>
      <c r="G104" s="271" t="s">
        <v>906</v>
      </c>
      <c r="H104" s="271"/>
      <c r="I104" s="394" t="s">
        <v>1008</v>
      </c>
      <c r="J104" s="394"/>
      <c r="K104" s="281">
        <v>157.16999999999999</v>
      </c>
      <c r="L104" s="282">
        <v>16.05</v>
      </c>
      <c r="M104" s="281">
        <f t="shared" si="4"/>
        <v>141.11999999999998</v>
      </c>
      <c r="N104" s="281">
        <v>2.68</v>
      </c>
      <c r="O104" s="281">
        <v>0</v>
      </c>
      <c r="P104" s="281">
        <f t="shared" si="5"/>
        <v>2.68</v>
      </c>
      <c r="Q104" s="395">
        <v>0</v>
      </c>
      <c r="R104" s="395">
        <v>0</v>
      </c>
      <c r="S104" s="395">
        <v>0</v>
      </c>
      <c r="T104" s="281">
        <v>748</v>
      </c>
      <c r="U104" s="281">
        <v>0</v>
      </c>
      <c r="V104" s="281">
        <f t="shared" si="8"/>
        <v>748</v>
      </c>
      <c r="W104" s="283" t="s">
        <v>736</v>
      </c>
      <c r="X104" s="284">
        <v>0</v>
      </c>
      <c r="Y104" s="395">
        <v>0</v>
      </c>
      <c r="Z104" s="395">
        <v>0</v>
      </c>
      <c r="AA104" s="399"/>
      <c r="AB104" s="395">
        <f t="shared" si="7"/>
        <v>891.8</v>
      </c>
      <c r="AC104" s="435"/>
    </row>
    <row r="105" spans="1:239" s="155" customFormat="1">
      <c r="A105" s="391" t="s">
        <v>467</v>
      </c>
      <c r="B105" s="392" t="s">
        <v>468</v>
      </c>
      <c r="C105" s="269">
        <v>86334050400</v>
      </c>
      <c r="D105" s="267" t="s">
        <v>646</v>
      </c>
      <c r="E105" s="267">
        <v>2</v>
      </c>
      <c r="F105" s="279" t="s">
        <v>730</v>
      </c>
      <c r="G105" s="271" t="s">
        <v>906</v>
      </c>
      <c r="H105" s="271"/>
      <c r="I105" s="394" t="s">
        <v>1009</v>
      </c>
      <c r="J105" s="394"/>
      <c r="K105" s="281">
        <v>157.16999999999999</v>
      </c>
      <c r="L105" s="282">
        <v>24.85</v>
      </c>
      <c r="M105" s="281">
        <f t="shared" si="4"/>
        <v>132.32</v>
      </c>
      <c r="N105" s="281">
        <v>2.68</v>
      </c>
      <c r="O105" s="281">
        <v>0</v>
      </c>
      <c r="P105" s="281">
        <f t="shared" si="5"/>
        <v>2.68</v>
      </c>
      <c r="Q105" s="395">
        <v>0</v>
      </c>
      <c r="R105" s="395">
        <v>0</v>
      </c>
      <c r="S105" s="395">
        <v>0</v>
      </c>
      <c r="T105" s="281">
        <v>0</v>
      </c>
      <c r="U105" s="281">
        <v>0</v>
      </c>
      <c r="V105" s="281">
        <f t="shared" si="8"/>
        <v>0</v>
      </c>
      <c r="W105" s="283"/>
      <c r="X105" s="284">
        <v>157.69999999999999</v>
      </c>
      <c r="Y105" s="395">
        <v>0</v>
      </c>
      <c r="Z105" s="395">
        <v>0</v>
      </c>
      <c r="AA105" s="399"/>
      <c r="AB105" s="395">
        <f t="shared" si="7"/>
        <v>135</v>
      </c>
      <c r="AC105" s="435"/>
    </row>
    <row r="106" spans="1:239" s="155" customFormat="1" hidden="1">
      <c r="A106" s="391" t="s">
        <v>467</v>
      </c>
      <c r="B106" s="392" t="s">
        <v>468</v>
      </c>
      <c r="C106" s="269" t="s">
        <v>647</v>
      </c>
      <c r="D106" s="267" t="s">
        <v>648</v>
      </c>
      <c r="E106" s="267">
        <v>3</v>
      </c>
      <c r="F106" s="274" t="s">
        <v>725</v>
      </c>
      <c r="G106" s="271" t="s">
        <v>906</v>
      </c>
      <c r="H106" s="271"/>
      <c r="I106" s="394" t="s">
        <v>1010</v>
      </c>
      <c r="J106" s="394"/>
      <c r="K106" s="281">
        <v>157.16999999999999</v>
      </c>
      <c r="L106" s="282">
        <v>67.81</v>
      </c>
      <c r="M106" s="281">
        <f t="shared" si="4"/>
        <v>89.359999999999985</v>
      </c>
      <c r="N106" s="281">
        <v>2.68</v>
      </c>
      <c r="O106" s="281">
        <v>0</v>
      </c>
      <c r="P106" s="281">
        <f t="shared" si="5"/>
        <v>2.68</v>
      </c>
      <c r="Q106" s="395">
        <v>0</v>
      </c>
      <c r="R106" s="395">
        <v>0</v>
      </c>
      <c r="S106" s="395">
        <v>0</v>
      </c>
      <c r="T106" s="281">
        <v>0</v>
      </c>
      <c r="U106" s="281">
        <v>0</v>
      </c>
      <c r="V106" s="281">
        <f t="shared" si="8"/>
        <v>0</v>
      </c>
      <c r="W106" s="283"/>
      <c r="X106" s="284">
        <v>0</v>
      </c>
      <c r="Y106" s="395">
        <v>0</v>
      </c>
      <c r="Z106" s="395">
        <v>0</v>
      </c>
      <c r="AA106" s="399"/>
      <c r="AB106" s="395">
        <f t="shared" si="7"/>
        <v>92.039999999999992</v>
      </c>
      <c r="AC106" s="435"/>
    </row>
    <row r="107" spans="1:239" s="155" customFormat="1" hidden="1">
      <c r="A107" s="391" t="s">
        <v>467</v>
      </c>
      <c r="B107" s="392" t="s">
        <v>468</v>
      </c>
      <c r="C107" s="269" t="s">
        <v>649</v>
      </c>
      <c r="D107" s="267" t="s">
        <v>650</v>
      </c>
      <c r="E107" s="267">
        <v>3</v>
      </c>
      <c r="F107" s="273" t="s">
        <v>717</v>
      </c>
      <c r="G107" s="271" t="s">
        <v>906</v>
      </c>
      <c r="H107" s="271"/>
      <c r="I107" s="394" t="s">
        <v>1011</v>
      </c>
      <c r="J107" s="394"/>
      <c r="K107" s="281">
        <v>157.16999999999999</v>
      </c>
      <c r="L107" s="282">
        <v>22</v>
      </c>
      <c r="M107" s="281">
        <f t="shared" si="4"/>
        <v>135.16999999999999</v>
      </c>
      <c r="N107" s="281">
        <v>2.68</v>
      </c>
      <c r="O107" s="281">
        <v>0</v>
      </c>
      <c r="P107" s="281">
        <f t="shared" si="5"/>
        <v>2.68</v>
      </c>
      <c r="Q107" s="395">
        <v>0</v>
      </c>
      <c r="R107" s="395">
        <v>0</v>
      </c>
      <c r="S107" s="395">
        <v>0</v>
      </c>
      <c r="T107" s="281">
        <v>0</v>
      </c>
      <c r="U107" s="281">
        <v>0</v>
      </c>
      <c r="V107" s="281">
        <f t="shared" si="8"/>
        <v>0</v>
      </c>
      <c r="W107" s="283"/>
      <c r="X107" s="284">
        <v>0</v>
      </c>
      <c r="Y107" s="395">
        <v>0</v>
      </c>
      <c r="Z107" s="395">
        <v>0</v>
      </c>
      <c r="AA107" s="399"/>
      <c r="AB107" s="395">
        <f t="shared" si="7"/>
        <v>137.85</v>
      </c>
      <c r="AC107" s="435"/>
    </row>
    <row r="108" spans="1:239" s="155" customFormat="1">
      <c r="A108" s="391" t="s">
        <v>467</v>
      </c>
      <c r="B108" s="392" t="s">
        <v>468</v>
      </c>
      <c r="C108" s="269" t="s">
        <v>651</v>
      </c>
      <c r="D108" s="267" t="s">
        <v>652</v>
      </c>
      <c r="E108" s="267">
        <v>2</v>
      </c>
      <c r="F108" s="273" t="s">
        <v>713</v>
      </c>
      <c r="G108" s="271" t="s">
        <v>906</v>
      </c>
      <c r="H108" s="271"/>
      <c r="I108" s="394" t="s">
        <v>1012</v>
      </c>
      <c r="J108" s="394"/>
      <c r="K108" s="281">
        <v>157.16999999999999</v>
      </c>
      <c r="L108" s="282">
        <v>2.4300000000000002</v>
      </c>
      <c r="M108" s="281">
        <f t="shared" si="4"/>
        <v>154.73999999999998</v>
      </c>
      <c r="N108" s="281">
        <v>5.36</v>
      </c>
      <c r="O108" s="281">
        <v>0</v>
      </c>
      <c r="P108" s="281">
        <f t="shared" si="5"/>
        <v>5.36</v>
      </c>
      <c r="Q108" s="395">
        <v>0</v>
      </c>
      <c r="R108" s="395">
        <v>0</v>
      </c>
      <c r="S108" s="395">
        <v>0</v>
      </c>
      <c r="T108" s="281">
        <v>0</v>
      </c>
      <c r="U108" s="281">
        <v>0</v>
      </c>
      <c r="V108" s="281">
        <f t="shared" si="8"/>
        <v>0</v>
      </c>
      <c r="W108" s="283"/>
      <c r="X108" s="284">
        <v>0</v>
      </c>
      <c r="Y108" s="395">
        <v>0</v>
      </c>
      <c r="Z108" s="395">
        <v>0</v>
      </c>
      <c r="AA108" s="399"/>
      <c r="AB108" s="395">
        <f t="shared" si="7"/>
        <v>160.1</v>
      </c>
      <c r="AC108" s="435"/>
    </row>
    <row r="109" spans="1:239" s="155" customFormat="1" hidden="1">
      <c r="A109" s="391" t="s">
        <v>467</v>
      </c>
      <c r="B109" s="392" t="s">
        <v>468</v>
      </c>
      <c r="C109" s="269" t="s">
        <v>653</v>
      </c>
      <c r="D109" s="267" t="s">
        <v>654</v>
      </c>
      <c r="E109" s="267">
        <v>3</v>
      </c>
      <c r="F109" s="273" t="s">
        <v>717</v>
      </c>
      <c r="G109" s="271" t="s">
        <v>906</v>
      </c>
      <c r="H109" s="271"/>
      <c r="I109" s="394" t="s">
        <v>936</v>
      </c>
      <c r="J109" s="394"/>
      <c r="K109" s="281">
        <v>157.16999999999999</v>
      </c>
      <c r="L109" s="282">
        <v>22</v>
      </c>
      <c r="M109" s="281">
        <f t="shared" si="4"/>
        <v>135.16999999999999</v>
      </c>
      <c r="N109" s="281">
        <v>2.68</v>
      </c>
      <c r="O109" s="281">
        <v>0</v>
      </c>
      <c r="P109" s="281">
        <f t="shared" si="5"/>
        <v>2.68</v>
      </c>
      <c r="Q109" s="395">
        <v>0</v>
      </c>
      <c r="R109" s="395">
        <v>0</v>
      </c>
      <c r="S109" s="395">
        <v>0</v>
      </c>
      <c r="T109" s="281">
        <v>64</v>
      </c>
      <c r="U109" s="281">
        <v>0</v>
      </c>
      <c r="V109" s="281">
        <f t="shared" si="8"/>
        <v>64</v>
      </c>
      <c r="W109" s="283" t="s">
        <v>735</v>
      </c>
      <c r="X109" s="284">
        <v>0</v>
      </c>
      <c r="Y109" s="395">
        <v>0</v>
      </c>
      <c r="Z109" s="395">
        <v>0</v>
      </c>
      <c r="AA109" s="399"/>
      <c r="AB109" s="395">
        <f t="shared" si="7"/>
        <v>201.85</v>
      </c>
      <c r="AC109" s="435"/>
    </row>
    <row r="110" spans="1:239" s="155" customFormat="1">
      <c r="A110" s="391" t="s">
        <v>467</v>
      </c>
      <c r="B110" s="392" t="s">
        <v>468</v>
      </c>
      <c r="C110" s="269" t="s">
        <v>655</v>
      </c>
      <c r="D110" s="267" t="s">
        <v>656</v>
      </c>
      <c r="E110" s="267">
        <v>2</v>
      </c>
      <c r="F110" s="273" t="s">
        <v>708</v>
      </c>
      <c r="G110" s="271" t="s">
        <v>906</v>
      </c>
      <c r="H110" s="271"/>
      <c r="I110" s="394" t="s">
        <v>1013</v>
      </c>
      <c r="J110" s="394"/>
      <c r="K110" s="281">
        <v>157.16999999999999</v>
      </c>
      <c r="L110" s="282">
        <v>25.05</v>
      </c>
      <c r="M110" s="281">
        <f t="shared" si="4"/>
        <v>132.11999999999998</v>
      </c>
      <c r="N110" s="281">
        <v>2.68</v>
      </c>
      <c r="O110" s="281">
        <v>0</v>
      </c>
      <c r="P110" s="281">
        <f t="shared" si="5"/>
        <v>2.68</v>
      </c>
      <c r="Q110" s="395">
        <v>141</v>
      </c>
      <c r="R110" s="395">
        <v>75.150000000000006</v>
      </c>
      <c r="S110" s="395">
        <v>0</v>
      </c>
      <c r="T110" s="281">
        <v>125.25</v>
      </c>
      <c r="U110" s="281">
        <v>0</v>
      </c>
      <c r="V110" s="281">
        <f t="shared" si="8"/>
        <v>125.25</v>
      </c>
      <c r="W110" s="283" t="s">
        <v>736</v>
      </c>
      <c r="X110" s="284">
        <v>202.07</v>
      </c>
      <c r="Y110" s="395">
        <v>0</v>
      </c>
      <c r="Z110" s="395">
        <v>0</v>
      </c>
      <c r="AA110" s="399"/>
      <c r="AB110" s="395">
        <f t="shared" si="7"/>
        <v>260.04999999999995</v>
      </c>
      <c r="AC110" s="435"/>
    </row>
    <row r="111" spans="1:239" s="155" customFormat="1" hidden="1">
      <c r="A111" s="391" t="s">
        <v>467</v>
      </c>
      <c r="B111" s="392" t="s">
        <v>468</v>
      </c>
      <c r="C111" s="269" t="s">
        <v>657</v>
      </c>
      <c r="D111" s="267" t="s">
        <v>658</v>
      </c>
      <c r="E111" s="267">
        <v>3</v>
      </c>
      <c r="F111" s="273" t="s">
        <v>731</v>
      </c>
      <c r="G111" s="271" t="s">
        <v>906</v>
      </c>
      <c r="H111" s="271"/>
      <c r="I111" s="394" t="s">
        <v>1014</v>
      </c>
      <c r="J111" s="394"/>
      <c r="K111" s="281">
        <v>157.16999999999999</v>
      </c>
      <c r="L111" s="282">
        <v>51.75</v>
      </c>
      <c r="M111" s="281">
        <f t="shared" si="4"/>
        <v>105.41999999999999</v>
      </c>
      <c r="N111" s="281">
        <v>2.68</v>
      </c>
      <c r="O111" s="281">
        <v>0</v>
      </c>
      <c r="P111" s="281">
        <f t="shared" si="5"/>
        <v>2.68</v>
      </c>
      <c r="Q111" s="395">
        <v>0</v>
      </c>
      <c r="R111" s="395">
        <v>0</v>
      </c>
      <c r="S111" s="395">
        <v>0</v>
      </c>
      <c r="T111" s="281">
        <v>603.75</v>
      </c>
      <c r="U111" s="281">
        <v>0</v>
      </c>
      <c r="V111" s="281">
        <f t="shared" si="8"/>
        <v>603.75</v>
      </c>
      <c r="W111" s="283" t="s">
        <v>736</v>
      </c>
      <c r="X111" s="284">
        <v>0</v>
      </c>
      <c r="Y111" s="395">
        <v>0</v>
      </c>
      <c r="Z111" s="395">
        <v>0</v>
      </c>
      <c r="AA111" s="399"/>
      <c r="AB111" s="395">
        <f t="shared" si="7"/>
        <v>711.84999999999991</v>
      </c>
      <c r="AC111" s="435"/>
    </row>
    <row r="112" spans="1:239" s="155" customFormat="1">
      <c r="A112" s="391" t="s">
        <v>467</v>
      </c>
      <c r="B112" s="392" t="s">
        <v>468</v>
      </c>
      <c r="C112" s="269" t="s">
        <v>659</v>
      </c>
      <c r="D112" s="267" t="s">
        <v>660</v>
      </c>
      <c r="E112" s="267">
        <v>2</v>
      </c>
      <c r="F112" s="273" t="s">
        <v>712</v>
      </c>
      <c r="G112" s="271" t="s">
        <v>906</v>
      </c>
      <c r="H112" s="271"/>
      <c r="I112" s="394" t="s">
        <v>969</v>
      </c>
      <c r="J112" s="394"/>
      <c r="K112" s="281">
        <v>157.16999999999999</v>
      </c>
      <c r="L112" s="282">
        <v>0</v>
      </c>
      <c r="M112" s="281">
        <f t="shared" si="4"/>
        <v>157.16999999999999</v>
      </c>
      <c r="N112" s="281">
        <v>4.3600000000000003</v>
      </c>
      <c r="O112" s="281">
        <v>0</v>
      </c>
      <c r="P112" s="281">
        <f t="shared" si="5"/>
        <v>4.3600000000000003</v>
      </c>
      <c r="Q112" s="395">
        <v>0</v>
      </c>
      <c r="R112" s="395">
        <v>0</v>
      </c>
      <c r="S112" s="395">
        <v>0</v>
      </c>
      <c r="T112" s="281">
        <v>0</v>
      </c>
      <c r="U112" s="281">
        <v>0</v>
      </c>
      <c r="V112" s="281">
        <f t="shared" si="8"/>
        <v>0</v>
      </c>
      <c r="W112" s="283"/>
      <c r="X112" s="284">
        <v>0</v>
      </c>
      <c r="Y112" s="395">
        <v>0</v>
      </c>
      <c r="Z112" s="395">
        <v>0</v>
      </c>
      <c r="AA112" s="399"/>
      <c r="AB112" s="395">
        <f t="shared" si="7"/>
        <v>161.53</v>
      </c>
      <c r="AC112" s="435"/>
      <c r="AE112" s="162"/>
      <c r="AF112" s="162"/>
      <c r="AG112" s="162"/>
      <c r="AH112" s="162"/>
      <c r="AI112" s="162"/>
      <c r="AJ112" s="162"/>
      <c r="AK112" s="162"/>
      <c r="AL112" s="162"/>
      <c r="AM112" s="162"/>
      <c r="AN112" s="162"/>
      <c r="AO112" s="162"/>
      <c r="AP112" s="162"/>
      <c r="AQ112" s="162"/>
      <c r="AR112" s="162"/>
      <c r="AS112" s="162"/>
      <c r="AT112" s="162"/>
      <c r="AU112" s="162"/>
      <c r="AV112" s="162"/>
      <c r="AW112" s="162"/>
      <c r="AX112" s="162"/>
      <c r="AY112" s="162"/>
      <c r="AZ112" s="162"/>
      <c r="BA112" s="162"/>
      <c r="BB112" s="162"/>
      <c r="BC112" s="162"/>
      <c r="BD112" s="162"/>
      <c r="BE112" s="162"/>
      <c r="BF112" s="162"/>
      <c r="BG112" s="162"/>
      <c r="BH112" s="162"/>
      <c r="BI112" s="162"/>
      <c r="BJ112" s="162"/>
      <c r="BK112" s="162"/>
      <c r="BL112" s="162"/>
      <c r="BM112" s="162"/>
      <c r="BN112" s="162"/>
      <c r="BO112" s="162"/>
      <c r="BP112" s="162"/>
      <c r="BQ112" s="162"/>
      <c r="BR112" s="162"/>
      <c r="BS112" s="162"/>
      <c r="BT112" s="162"/>
      <c r="BU112" s="162"/>
      <c r="BV112" s="162"/>
      <c r="BW112" s="162"/>
      <c r="BX112" s="162"/>
      <c r="BY112" s="162"/>
      <c r="BZ112" s="162"/>
      <c r="CA112" s="162"/>
      <c r="CB112" s="162"/>
      <c r="CC112" s="162"/>
      <c r="CD112" s="162"/>
      <c r="CE112" s="162"/>
      <c r="CF112" s="162"/>
      <c r="CG112" s="162"/>
      <c r="CH112" s="162"/>
      <c r="CI112" s="162"/>
      <c r="CJ112" s="162"/>
      <c r="CK112" s="162"/>
      <c r="CL112" s="162"/>
      <c r="CM112" s="162"/>
      <c r="CN112" s="162"/>
      <c r="CO112" s="162"/>
      <c r="CP112" s="162"/>
      <c r="CQ112" s="162"/>
      <c r="CR112" s="162"/>
      <c r="CS112" s="162"/>
      <c r="CT112" s="162"/>
      <c r="CU112" s="162"/>
      <c r="CV112" s="162"/>
      <c r="CW112" s="162"/>
      <c r="CX112" s="162"/>
      <c r="CY112" s="162"/>
      <c r="CZ112" s="162"/>
      <c r="DA112" s="162"/>
      <c r="DB112" s="162"/>
      <c r="DC112" s="162"/>
      <c r="DD112" s="162"/>
      <c r="DE112" s="162"/>
      <c r="DF112" s="162"/>
      <c r="DG112" s="162"/>
      <c r="DH112" s="162"/>
      <c r="DI112" s="162"/>
      <c r="DJ112" s="162"/>
      <c r="DK112" s="162"/>
      <c r="DL112" s="162"/>
      <c r="DM112" s="162"/>
      <c r="DN112" s="162"/>
      <c r="DO112" s="162"/>
      <c r="DP112" s="162"/>
      <c r="DQ112" s="162"/>
      <c r="DR112" s="162"/>
      <c r="DS112" s="162"/>
      <c r="DT112" s="162"/>
      <c r="DU112" s="162"/>
      <c r="DV112" s="162"/>
      <c r="DW112" s="162"/>
      <c r="DX112" s="162"/>
      <c r="DY112" s="162"/>
      <c r="DZ112" s="162"/>
      <c r="EA112" s="162"/>
      <c r="EB112" s="162"/>
      <c r="EC112" s="162"/>
      <c r="ED112" s="162"/>
      <c r="EE112" s="162"/>
      <c r="EF112" s="162"/>
      <c r="EG112" s="162"/>
      <c r="EH112" s="162"/>
      <c r="EI112" s="162"/>
      <c r="EJ112" s="162"/>
      <c r="EK112" s="162"/>
      <c r="EL112" s="162"/>
      <c r="EM112" s="162"/>
      <c r="EN112" s="162"/>
      <c r="EO112" s="162"/>
      <c r="EP112" s="162"/>
      <c r="EQ112" s="162"/>
      <c r="ER112" s="162"/>
      <c r="ES112" s="162"/>
      <c r="ET112" s="162"/>
      <c r="EU112" s="162"/>
      <c r="EV112" s="162"/>
      <c r="EW112" s="162"/>
      <c r="EX112" s="162"/>
      <c r="EY112" s="162"/>
      <c r="EZ112" s="162"/>
      <c r="FA112" s="162"/>
      <c r="FB112" s="162"/>
      <c r="FC112" s="162"/>
      <c r="FD112" s="162"/>
      <c r="FE112" s="162"/>
      <c r="FF112" s="162"/>
      <c r="FG112" s="162"/>
      <c r="FH112" s="162"/>
      <c r="FI112" s="162"/>
      <c r="FJ112" s="162"/>
      <c r="FK112" s="162"/>
      <c r="FL112" s="162"/>
      <c r="FM112" s="162"/>
      <c r="FN112" s="162"/>
      <c r="FO112" s="162"/>
      <c r="FP112" s="162"/>
      <c r="FQ112" s="162"/>
      <c r="FR112" s="162"/>
      <c r="FS112" s="162"/>
      <c r="FT112" s="162"/>
      <c r="FU112" s="162"/>
      <c r="FV112" s="162"/>
      <c r="FW112" s="162"/>
      <c r="FX112" s="162"/>
      <c r="FY112" s="162"/>
      <c r="FZ112" s="162"/>
      <c r="GA112" s="162"/>
      <c r="GB112" s="162"/>
      <c r="GC112" s="162"/>
      <c r="GD112" s="162"/>
      <c r="GE112" s="162"/>
      <c r="GF112" s="162"/>
      <c r="GG112" s="162"/>
      <c r="GH112" s="162"/>
      <c r="GI112" s="162"/>
      <c r="GJ112" s="162"/>
      <c r="GK112" s="162"/>
      <c r="GL112" s="162"/>
      <c r="GM112" s="162"/>
      <c r="GN112" s="162"/>
      <c r="GO112" s="162"/>
      <c r="GP112" s="162"/>
      <c r="GQ112" s="162"/>
      <c r="GR112" s="162"/>
      <c r="GS112" s="162"/>
      <c r="GT112" s="162"/>
      <c r="GU112" s="162"/>
      <c r="GV112" s="162"/>
      <c r="GW112" s="162"/>
      <c r="GX112" s="162"/>
      <c r="GY112" s="162"/>
      <c r="GZ112" s="162"/>
      <c r="HA112" s="162"/>
      <c r="HB112" s="162"/>
      <c r="HC112" s="162"/>
      <c r="HD112" s="162"/>
      <c r="HE112" s="162"/>
      <c r="HF112" s="162"/>
      <c r="HG112" s="162"/>
      <c r="HH112" s="162"/>
      <c r="HI112" s="162"/>
      <c r="HJ112" s="162"/>
      <c r="HK112" s="162"/>
      <c r="HL112" s="162"/>
      <c r="HM112" s="162"/>
      <c r="HN112" s="162"/>
      <c r="HO112" s="162"/>
      <c r="HP112" s="162"/>
      <c r="HQ112" s="162"/>
      <c r="HR112" s="162"/>
      <c r="HS112" s="162"/>
      <c r="HT112" s="162"/>
      <c r="HU112" s="162"/>
      <c r="HV112" s="162"/>
      <c r="HW112" s="162"/>
      <c r="HX112" s="162"/>
      <c r="HY112" s="162"/>
      <c r="HZ112" s="162"/>
      <c r="IA112" s="162"/>
      <c r="IB112" s="162"/>
      <c r="IC112" s="162"/>
      <c r="ID112" s="162"/>
      <c r="IE112" s="162"/>
    </row>
    <row r="113" spans="1:239" s="155" customFormat="1">
      <c r="A113" s="391" t="s">
        <v>467</v>
      </c>
      <c r="B113" s="392" t="s">
        <v>468</v>
      </c>
      <c r="C113" s="269" t="s">
        <v>661</v>
      </c>
      <c r="D113" s="267" t="s">
        <v>662</v>
      </c>
      <c r="E113" s="267">
        <v>2</v>
      </c>
      <c r="F113" s="273" t="s">
        <v>713</v>
      </c>
      <c r="G113" s="271" t="s">
        <v>906</v>
      </c>
      <c r="H113" s="271"/>
      <c r="I113" s="394" t="s">
        <v>1015</v>
      </c>
      <c r="J113" s="394"/>
      <c r="K113" s="281">
        <v>157.16999999999999</v>
      </c>
      <c r="L113" s="282">
        <v>2.4300000000000002</v>
      </c>
      <c r="M113" s="281">
        <f t="shared" si="4"/>
        <v>154.73999999999998</v>
      </c>
      <c r="N113" s="281">
        <v>5.36</v>
      </c>
      <c r="O113" s="281">
        <v>0</v>
      </c>
      <c r="P113" s="281">
        <f t="shared" si="5"/>
        <v>5.36</v>
      </c>
      <c r="Q113" s="395">
        <v>188</v>
      </c>
      <c r="R113" s="395">
        <v>106.31</v>
      </c>
      <c r="S113" s="395">
        <v>0</v>
      </c>
      <c r="T113" s="281">
        <v>0</v>
      </c>
      <c r="U113" s="281">
        <v>0</v>
      </c>
      <c r="V113" s="281">
        <f t="shared" si="8"/>
        <v>0</v>
      </c>
      <c r="W113" s="283"/>
      <c r="X113" s="284">
        <v>0</v>
      </c>
      <c r="Y113" s="395">
        <v>0</v>
      </c>
      <c r="Z113" s="395">
        <v>0</v>
      </c>
      <c r="AA113" s="399"/>
      <c r="AB113" s="395">
        <f t="shared" si="7"/>
        <v>160.1</v>
      </c>
      <c r="AC113" s="435"/>
      <c r="AE113" s="162"/>
      <c r="AF113" s="162"/>
      <c r="AG113" s="162"/>
      <c r="AH113" s="162"/>
      <c r="AI113" s="162"/>
      <c r="AJ113" s="162"/>
      <c r="AK113" s="162"/>
      <c r="AL113" s="162"/>
      <c r="AM113" s="162"/>
      <c r="AN113" s="162"/>
      <c r="AO113" s="162"/>
      <c r="AP113" s="162"/>
      <c r="AQ113" s="162"/>
      <c r="AR113" s="162"/>
      <c r="AS113" s="162"/>
      <c r="AT113" s="162"/>
      <c r="AU113" s="162"/>
      <c r="AV113" s="162"/>
      <c r="AW113" s="162"/>
      <c r="AX113" s="162"/>
      <c r="AY113" s="162"/>
      <c r="AZ113" s="162"/>
      <c r="BA113" s="162"/>
      <c r="BB113" s="162"/>
      <c r="BC113" s="162"/>
      <c r="BD113" s="162"/>
      <c r="BE113" s="162"/>
      <c r="BF113" s="162"/>
      <c r="BG113" s="162"/>
      <c r="BH113" s="162"/>
      <c r="BI113" s="162"/>
      <c r="BJ113" s="162"/>
      <c r="BK113" s="162"/>
      <c r="BL113" s="162"/>
      <c r="BM113" s="162"/>
      <c r="BN113" s="162"/>
      <c r="BO113" s="162"/>
      <c r="BP113" s="162"/>
      <c r="BQ113" s="162"/>
      <c r="BR113" s="162"/>
      <c r="BS113" s="162"/>
      <c r="BT113" s="162"/>
      <c r="BU113" s="162"/>
      <c r="BV113" s="162"/>
      <c r="BW113" s="162"/>
      <c r="BX113" s="162"/>
      <c r="BY113" s="162"/>
      <c r="BZ113" s="162"/>
      <c r="CA113" s="162"/>
      <c r="CB113" s="162"/>
      <c r="CC113" s="162"/>
      <c r="CD113" s="162"/>
      <c r="CE113" s="162"/>
      <c r="CF113" s="162"/>
      <c r="CG113" s="162"/>
      <c r="CH113" s="162"/>
      <c r="CI113" s="162"/>
      <c r="CJ113" s="162"/>
      <c r="CK113" s="162"/>
      <c r="CL113" s="162"/>
      <c r="CM113" s="162"/>
      <c r="CN113" s="162"/>
      <c r="CO113" s="162"/>
      <c r="CP113" s="162"/>
      <c r="CQ113" s="162"/>
      <c r="CR113" s="162"/>
      <c r="CS113" s="162"/>
      <c r="CT113" s="162"/>
      <c r="CU113" s="162"/>
      <c r="CV113" s="162"/>
      <c r="CW113" s="162"/>
      <c r="CX113" s="162"/>
      <c r="CY113" s="162"/>
      <c r="CZ113" s="162"/>
      <c r="DA113" s="162"/>
      <c r="DB113" s="162"/>
      <c r="DC113" s="162"/>
      <c r="DD113" s="162"/>
      <c r="DE113" s="162"/>
      <c r="DF113" s="162"/>
      <c r="DG113" s="162"/>
      <c r="DH113" s="162"/>
      <c r="DI113" s="162"/>
      <c r="DJ113" s="162"/>
      <c r="DK113" s="162"/>
      <c r="DL113" s="162"/>
      <c r="DM113" s="162"/>
      <c r="DN113" s="162"/>
      <c r="DO113" s="162"/>
      <c r="DP113" s="162"/>
      <c r="DQ113" s="162"/>
      <c r="DR113" s="162"/>
      <c r="DS113" s="162"/>
      <c r="DT113" s="162"/>
      <c r="DU113" s="162"/>
      <c r="DV113" s="162"/>
      <c r="DW113" s="162"/>
      <c r="DX113" s="162"/>
      <c r="DY113" s="162"/>
      <c r="DZ113" s="162"/>
      <c r="EA113" s="162"/>
      <c r="EB113" s="162"/>
      <c r="EC113" s="162"/>
      <c r="ED113" s="162"/>
      <c r="EE113" s="162"/>
      <c r="EF113" s="162"/>
      <c r="EG113" s="162"/>
      <c r="EH113" s="162"/>
      <c r="EI113" s="162"/>
      <c r="EJ113" s="162"/>
      <c r="EK113" s="162"/>
      <c r="EL113" s="162"/>
      <c r="EM113" s="162"/>
      <c r="EN113" s="162"/>
      <c r="EO113" s="162"/>
      <c r="EP113" s="162"/>
      <c r="EQ113" s="162"/>
      <c r="ER113" s="162"/>
      <c r="ES113" s="162"/>
      <c r="ET113" s="162"/>
      <c r="EU113" s="162"/>
      <c r="EV113" s="162"/>
      <c r="EW113" s="162"/>
      <c r="EX113" s="162"/>
      <c r="EY113" s="162"/>
      <c r="EZ113" s="162"/>
      <c r="FA113" s="162"/>
      <c r="FB113" s="162"/>
      <c r="FC113" s="162"/>
      <c r="FD113" s="162"/>
      <c r="FE113" s="162"/>
      <c r="FF113" s="162"/>
      <c r="FG113" s="162"/>
      <c r="FH113" s="162"/>
      <c r="FI113" s="162"/>
      <c r="FJ113" s="162"/>
      <c r="FK113" s="162"/>
      <c r="FL113" s="162"/>
      <c r="FM113" s="162"/>
      <c r="FN113" s="162"/>
      <c r="FO113" s="162"/>
      <c r="FP113" s="162"/>
      <c r="FQ113" s="162"/>
      <c r="FR113" s="162"/>
      <c r="FS113" s="162"/>
      <c r="FT113" s="162"/>
      <c r="FU113" s="162"/>
      <c r="FV113" s="162"/>
      <c r="FW113" s="162"/>
      <c r="FX113" s="162"/>
      <c r="FY113" s="162"/>
      <c r="FZ113" s="162"/>
      <c r="GA113" s="162"/>
      <c r="GB113" s="162"/>
      <c r="GC113" s="162"/>
      <c r="GD113" s="162"/>
      <c r="GE113" s="162"/>
      <c r="GF113" s="162"/>
      <c r="GG113" s="162"/>
      <c r="GH113" s="162"/>
      <c r="GI113" s="162"/>
      <c r="GJ113" s="162"/>
      <c r="GK113" s="162"/>
      <c r="GL113" s="162"/>
      <c r="GM113" s="162"/>
      <c r="GN113" s="162"/>
      <c r="GO113" s="162"/>
      <c r="GP113" s="162"/>
      <c r="GQ113" s="162"/>
      <c r="GR113" s="162"/>
      <c r="GS113" s="162"/>
      <c r="GT113" s="162"/>
      <c r="GU113" s="162"/>
      <c r="GV113" s="162"/>
      <c r="GW113" s="162"/>
      <c r="GX113" s="162"/>
      <c r="GY113" s="162"/>
      <c r="GZ113" s="162"/>
      <c r="HA113" s="162"/>
      <c r="HB113" s="162"/>
      <c r="HC113" s="162"/>
      <c r="HD113" s="162"/>
      <c r="HE113" s="162"/>
      <c r="HF113" s="162"/>
      <c r="HG113" s="162"/>
      <c r="HH113" s="162"/>
      <c r="HI113" s="162"/>
      <c r="HJ113" s="162"/>
      <c r="HK113" s="162"/>
      <c r="HL113" s="162"/>
      <c r="HM113" s="162"/>
      <c r="HN113" s="162"/>
      <c r="HO113" s="162"/>
      <c r="HP113" s="162"/>
      <c r="HQ113" s="162"/>
      <c r="HR113" s="162"/>
      <c r="HS113" s="162"/>
      <c r="HT113" s="162"/>
      <c r="HU113" s="162"/>
      <c r="HV113" s="162"/>
      <c r="HW113" s="162"/>
      <c r="HX113" s="162"/>
      <c r="HY113" s="162"/>
      <c r="HZ113" s="162"/>
      <c r="IA113" s="162"/>
      <c r="IB113" s="162"/>
      <c r="IC113" s="162"/>
      <c r="ID113" s="162"/>
      <c r="IE113" s="162"/>
    </row>
    <row r="114" spans="1:239" s="155" customFormat="1" hidden="1">
      <c r="A114" s="391" t="s">
        <v>467</v>
      </c>
      <c r="B114" s="392" t="s">
        <v>468</v>
      </c>
      <c r="C114" s="269" t="s">
        <v>663</v>
      </c>
      <c r="D114" s="267" t="s">
        <v>664</v>
      </c>
      <c r="E114" s="267">
        <v>3</v>
      </c>
      <c r="F114" s="273" t="s">
        <v>717</v>
      </c>
      <c r="G114" s="271" t="s">
        <v>906</v>
      </c>
      <c r="H114" s="271"/>
      <c r="I114" s="394" t="s">
        <v>1011</v>
      </c>
      <c r="J114" s="394"/>
      <c r="K114" s="281">
        <v>157.16999999999999</v>
      </c>
      <c r="L114" s="282">
        <v>22</v>
      </c>
      <c r="M114" s="281">
        <f t="shared" si="4"/>
        <v>135.16999999999999</v>
      </c>
      <c r="N114" s="281">
        <v>2.68</v>
      </c>
      <c r="O114" s="281">
        <v>0</v>
      </c>
      <c r="P114" s="281">
        <f t="shared" si="5"/>
        <v>2.68</v>
      </c>
      <c r="Q114" s="395">
        <v>228.2</v>
      </c>
      <c r="R114" s="395">
        <v>66</v>
      </c>
      <c r="S114" s="395">
        <v>0</v>
      </c>
      <c r="T114" s="281">
        <v>0</v>
      </c>
      <c r="U114" s="281">
        <v>0</v>
      </c>
      <c r="V114" s="281">
        <f t="shared" si="8"/>
        <v>0</v>
      </c>
      <c r="W114" s="283"/>
      <c r="X114" s="284">
        <v>0</v>
      </c>
      <c r="Y114" s="395">
        <v>0</v>
      </c>
      <c r="Z114" s="395">
        <v>0</v>
      </c>
      <c r="AA114" s="399"/>
      <c r="AB114" s="395">
        <f t="shared" si="7"/>
        <v>137.85</v>
      </c>
      <c r="AC114" s="435"/>
      <c r="AE114" s="162"/>
      <c r="AF114" s="162"/>
      <c r="AG114" s="162"/>
      <c r="AH114" s="162"/>
      <c r="AI114" s="162"/>
      <c r="AJ114" s="162"/>
      <c r="AK114" s="162"/>
      <c r="AL114" s="162"/>
      <c r="AM114" s="162"/>
      <c r="AN114" s="162"/>
      <c r="AO114" s="162"/>
      <c r="AP114" s="162"/>
      <c r="AQ114" s="162"/>
      <c r="AR114" s="162"/>
      <c r="AS114" s="162"/>
      <c r="AT114" s="162"/>
      <c r="AU114" s="162"/>
      <c r="AV114" s="162"/>
      <c r="AW114" s="162"/>
      <c r="AX114" s="162"/>
      <c r="AY114" s="162"/>
      <c r="AZ114" s="162"/>
      <c r="BA114" s="162"/>
      <c r="BB114" s="162"/>
      <c r="BC114" s="162"/>
      <c r="BD114" s="162"/>
      <c r="BE114" s="162"/>
      <c r="BF114" s="162"/>
      <c r="BG114" s="162"/>
      <c r="BH114" s="162"/>
      <c r="BI114" s="162"/>
      <c r="BJ114" s="162"/>
      <c r="BK114" s="162"/>
      <c r="BL114" s="162"/>
      <c r="BM114" s="162"/>
      <c r="BN114" s="162"/>
      <c r="BO114" s="162"/>
      <c r="BP114" s="162"/>
      <c r="BQ114" s="162"/>
      <c r="BR114" s="162"/>
      <c r="BS114" s="162"/>
      <c r="BT114" s="162"/>
      <c r="BU114" s="162"/>
      <c r="BV114" s="162"/>
      <c r="BW114" s="162"/>
      <c r="BX114" s="162"/>
      <c r="BY114" s="162"/>
      <c r="BZ114" s="162"/>
      <c r="CA114" s="162"/>
      <c r="CB114" s="162"/>
      <c r="CC114" s="162"/>
      <c r="CD114" s="162"/>
      <c r="CE114" s="162"/>
      <c r="CF114" s="162"/>
      <c r="CG114" s="162"/>
      <c r="CH114" s="162"/>
      <c r="CI114" s="162"/>
      <c r="CJ114" s="162"/>
      <c r="CK114" s="162"/>
      <c r="CL114" s="162"/>
      <c r="CM114" s="162"/>
      <c r="CN114" s="162"/>
      <c r="CO114" s="162"/>
      <c r="CP114" s="162"/>
      <c r="CQ114" s="162"/>
      <c r="CR114" s="162"/>
      <c r="CS114" s="162"/>
      <c r="CT114" s="162"/>
      <c r="CU114" s="162"/>
      <c r="CV114" s="162"/>
      <c r="CW114" s="162"/>
      <c r="CX114" s="162"/>
      <c r="CY114" s="162"/>
      <c r="CZ114" s="162"/>
      <c r="DA114" s="162"/>
      <c r="DB114" s="162"/>
      <c r="DC114" s="162"/>
      <c r="DD114" s="162"/>
      <c r="DE114" s="162"/>
      <c r="DF114" s="162"/>
      <c r="DG114" s="162"/>
      <c r="DH114" s="162"/>
      <c r="DI114" s="162"/>
      <c r="DJ114" s="162"/>
      <c r="DK114" s="162"/>
      <c r="DL114" s="162"/>
      <c r="DM114" s="162"/>
      <c r="DN114" s="162"/>
      <c r="DO114" s="162"/>
      <c r="DP114" s="162"/>
      <c r="DQ114" s="162"/>
      <c r="DR114" s="162"/>
      <c r="DS114" s="162"/>
      <c r="DT114" s="162"/>
      <c r="DU114" s="162"/>
      <c r="DV114" s="162"/>
      <c r="DW114" s="162"/>
      <c r="DX114" s="162"/>
      <c r="DY114" s="162"/>
      <c r="DZ114" s="162"/>
      <c r="EA114" s="162"/>
      <c r="EB114" s="162"/>
      <c r="EC114" s="162"/>
      <c r="ED114" s="162"/>
      <c r="EE114" s="162"/>
      <c r="EF114" s="162"/>
      <c r="EG114" s="162"/>
      <c r="EH114" s="162"/>
      <c r="EI114" s="162"/>
      <c r="EJ114" s="162"/>
      <c r="EK114" s="162"/>
      <c r="EL114" s="162"/>
      <c r="EM114" s="162"/>
      <c r="EN114" s="162"/>
      <c r="EO114" s="162"/>
      <c r="EP114" s="162"/>
      <c r="EQ114" s="162"/>
      <c r="ER114" s="162"/>
      <c r="ES114" s="162"/>
      <c r="ET114" s="162"/>
      <c r="EU114" s="162"/>
      <c r="EV114" s="162"/>
      <c r="EW114" s="162"/>
      <c r="EX114" s="162"/>
      <c r="EY114" s="162"/>
      <c r="EZ114" s="162"/>
      <c r="FA114" s="162"/>
      <c r="FB114" s="162"/>
      <c r="FC114" s="162"/>
      <c r="FD114" s="162"/>
      <c r="FE114" s="162"/>
      <c r="FF114" s="162"/>
      <c r="FG114" s="162"/>
      <c r="FH114" s="162"/>
      <c r="FI114" s="162"/>
      <c r="FJ114" s="162"/>
      <c r="FK114" s="162"/>
      <c r="FL114" s="162"/>
      <c r="FM114" s="162"/>
      <c r="FN114" s="162"/>
      <c r="FO114" s="162"/>
      <c r="FP114" s="162"/>
      <c r="FQ114" s="162"/>
      <c r="FR114" s="162"/>
      <c r="FS114" s="162"/>
      <c r="FT114" s="162"/>
      <c r="FU114" s="162"/>
      <c r="FV114" s="162"/>
      <c r="FW114" s="162"/>
      <c r="FX114" s="162"/>
      <c r="FY114" s="162"/>
      <c r="FZ114" s="162"/>
      <c r="GA114" s="162"/>
      <c r="GB114" s="162"/>
      <c r="GC114" s="162"/>
      <c r="GD114" s="162"/>
      <c r="GE114" s="162"/>
      <c r="GF114" s="162"/>
      <c r="GG114" s="162"/>
      <c r="GH114" s="162"/>
      <c r="GI114" s="162"/>
      <c r="GJ114" s="162"/>
      <c r="GK114" s="162"/>
      <c r="GL114" s="162"/>
      <c r="GM114" s="162"/>
      <c r="GN114" s="162"/>
      <c r="GO114" s="162"/>
      <c r="GP114" s="162"/>
      <c r="GQ114" s="162"/>
      <c r="GR114" s="162"/>
      <c r="GS114" s="162"/>
      <c r="GT114" s="162"/>
      <c r="GU114" s="162"/>
      <c r="GV114" s="162"/>
      <c r="GW114" s="162"/>
      <c r="GX114" s="162"/>
      <c r="GY114" s="162"/>
      <c r="GZ114" s="162"/>
      <c r="HA114" s="162"/>
      <c r="HB114" s="162"/>
      <c r="HC114" s="162"/>
      <c r="HD114" s="162"/>
      <c r="HE114" s="162"/>
      <c r="HF114" s="162"/>
      <c r="HG114" s="162"/>
      <c r="HH114" s="162"/>
      <c r="HI114" s="162"/>
      <c r="HJ114" s="162"/>
      <c r="HK114" s="162"/>
      <c r="HL114" s="162"/>
      <c r="HM114" s="162"/>
      <c r="HN114" s="162"/>
      <c r="HO114" s="162"/>
      <c r="HP114" s="162"/>
      <c r="HQ114" s="162"/>
      <c r="HR114" s="162"/>
      <c r="HS114" s="162"/>
      <c r="HT114" s="162"/>
      <c r="HU114" s="162"/>
      <c r="HV114" s="162"/>
      <c r="HW114" s="162"/>
      <c r="HX114" s="162"/>
      <c r="HY114" s="162"/>
      <c r="HZ114" s="162"/>
      <c r="IA114" s="162"/>
      <c r="IB114" s="162"/>
      <c r="IC114" s="162"/>
      <c r="ID114" s="162"/>
      <c r="IE114" s="162"/>
    </row>
    <row r="115" spans="1:239" s="155" customFormat="1" hidden="1">
      <c r="A115" s="391" t="s">
        <v>467</v>
      </c>
      <c r="B115" s="392" t="s">
        <v>468</v>
      </c>
      <c r="C115" s="269" t="s">
        <v>665</v>
      </c>
      <c r="D115" s="267" t="s">
        <v>666</v>
      </c>
      <c r="E115" s="267">
        <v>3</v>
      </c>
      <c r="F115" s="273" t="s">
        <v>710</v>
      </c>
      <c r="G115" s="271" t="s">
        <v>906</v>
      </c>
      <c r="H115" s="271"/>
      <c r="I115" s="394" t="s">
        <v>960</v>
      </c>
      <c r="J115" s="394"/>
      <c r="K115" s="281">
        <v>157.16999999999999</v>
      </c>
      <c r="L115" s="282">
        <v>22</v>
      </c>
      <c r="M115" s="281">
        <f t="shared" si="4"/>
        <v>135.16999999999999</v>
      </c>
      <c r="N115" s="281">
        <v>2.68</v>
      </c>
      <c r="O115" s="281">
        <v>0</v>
      </c>
      <c r="P115" s="281">
        <v>2.68</v>
      </c>
      <c r="Q115" s="395">
        <v>0</v>
      </c>
      <c r="R115" s="395">
        <v>0</v>
      </c>
      <c r="S115" s="395">
        <v>0</v>
      </c>
      <c r="T115" s="281">
        <v>0</v>
      </c>
      <c r="U115" s="281">
        <v>0</v>
      </c>
      <c r="V115" s="281">
        <f t="shared" si="8"/>
        <v>0</v>
      </c>
      <c r="W115" s="283"/>
      <c r="X115" s="284">
        <v>0</v>
      </c>
      <c r="Y115" s="395">
        <v>0</v>
      </c>
      <c r="Z115" s="395">
        <v>0</v>
      </c>
      <c r="AA115" s="399"/>
      <c r="AB115" s="395">
        <f t="shared" si="7"/>
        <v>137.85</v>
      </c>
      <c r="AC115" s="437"/>
      <c r="AD115" s="162"/>
      <c r="AE115" s="404"/>
      <c r="AF115" s="404"/>
      <c r="AG115" s="404"/>
      <c r="AH115" s="404"/>
      <c r="AI115" s="404"/>
      <c r="AJ115" s="404"/>
      <c r="AK115" s="404"/>
      <c r="AL115" s="404"/>
      <c r="AM115" s="404"/>
      <c r="AN115" s="404"/>
      <c r="AO115" s="404"/>
      <c r="AP115" s="404"/>
      <c r="AQ115" s="404"/>
      <c r="AR115" s="404"/>
      <c r="AS115" s="404"/>
      <c r="AT115" s="404"/>
      <c r="AU115" s="404"/>
      <c r="AV115" s="404"/>
      <c r="AW115" s="404"/>
      <c r="AX115" s="404"/>
      <c r="AY115" s="404"/>
      <c r="AZ115" s="404"/>
      <c r="BA115" s="404"/>
      <c r="BB115" s="404"/>
      <c r="BC115" s="404"/>
      <c r="BD115" s="404"/>
      <c r="BE115" s="404"/>
      <c r="BF115" s="404"/>
      <c r="BG115" s="404"/>
      <c r="BH115" s="404"/>
      <c r="BI115" s="404"/>
      <c r="BJ115" s="404"/>
      <c r="BK115" s="404"/>
      <c r="BL115" s="404"/>
      <c r="BM115" s="404"/>
      <c r="BN115" s="404"/>
      <c r="BO115" s="404"/>
      <c r="BP115" s="404"/>
      <c r="BQ115" s="404"/>
      <c r="BR115" s="404"/>
      <c r="BS115" s="404"/>
      <c r="BT115" s="404"/>
      <c r="BU115" s="404"/>
      <c r="BV115" s="404"/>
      <c r="BW115" s="404"/>
      <c r="BX115" s="404"/>
      <c r="BY115" s="404"/>
      <c r="BZ115" s="404"/>
      <c r="CA115" s="404"/>
      <c r="CB115" s="404"/>
      <c r="CC115" s="404"/>
      <c r="CD115" s="404"/>
      <c r="CE115" s="404"/>
      <c r="CF115" s="404"/>
      <c r="CG115" s="404"/>
      <c r="CH115" s="404"/>
      <c r="CI115" s="404"/>
      <c r="CJ115" s="404"/>
      <c r="CK115" s="404"/>
      <c r="CL115" s="404"/>
      <c r="CM115" s="404"/>
      <c r="CN115" s="404"/>
      <c r="CO115" s="404"/>
      <c r="CP115" s="404"/>
      <c r="CQ115" s="404"/>
      <c r="CR115" s="404"/>
      <c r="CS115" s="404"/>
      <c r="CT115" s="404"/>
      <c r="CU115" s="404"/>
      <c r="CV115" s="404"/>
      <c r="CW115" s="404"/>
      <c r="CX115" s="404"/>
      <c r="CY115" s="404"/>
      <c r="CZ115" s="404"/>
      <c r="DA115" s="404"/>
      <c r="DB115" s="404"/>
      <c r="DC115" s="404"/>
      <c r="DD115" s="404"/>
      <c r="DE115" s="404"/>
      <c r="DF115" s="404"/>
      <c r="DG115" s="404"/>
      <c r="DH115" s="404"/>
      <c r="DI115" s="404"/>
      <c r="DJ115" s="404"/>
      <c r="DK115" s="404"/>
      <c r="DL115" s="404"/>
      <c r="DM115" s="404"/>
      <c r="DN115" s="404"/>
      <c r="DO115" s="404"/>
      <c r="DP115" s="404"/>
      <c r="DQ115" s="404"/>
      <c r="DR115" s="404"/>
      <c r="DS115" s="404"/>
      <c r="DT115" s="404"/>
      <c r="DU115" s="404"/>
      <c r="DV115" s="404"/>
      <c r="DW115" s="404"/>
      <c r="DX115" s="404"/>
      <c r="DY115" s="404"/>
      <c r="DZ115" s="404"/>
      <c r="EA115" s="404"/>
      <c r="EB115" s="404"/>
      <c r="EC115" s="404"/>
      <c r="ED115" s="404"/>
      <c r="EE115" s="404"/>
      <c r="EF115" s="404"/>
      <c r="EG115" s="404"/>
      <c r="EH115" s="404"/>
      <c r="EI115" s="404"/>
      <c r="EJ115" s="404"/>
      <c r="EK115" s="404"/>
      <c r="EL115" s="404"/>
      <c r="EM115" s="404"/>
      <c r="EN115" s="404"/>
      <c r="EO115" s="404"/>
      <c r="EP115" s="404"/>
      <c r="EQ115" s="404"/>
      <c r="ER115" s="404"/>
      <c r="ES115" s="404"/>
      <c r="ET115" s="404"/>
      <c r="EU115" s="404"/>
      <c r="EV115" s="404"/>
      <c r="EW115" s="404"/>
      <c r="EX115" s="404"/>
      <c r="EY115" s="404"/>
      <c r="EZ115" s="404"/>
      <c r="FA115" s="404"/>
      <c r="FB115" s="404"/>
      <c r="FC115" s="404"/>
      <c r="FD115" s="404"/>
      <c r="FE115" s="404"/>
      <c r="FF115" s="404"/>
      <c r="FG115" s="404"/>
      <c r="FH115" s="404"/>
      <c r="FI115" s="404"/>
      <c r="FJ115" s="404"/>
      <c r="FK115" s="404"/>
      <c r="FL115" s="404"/>
      <c r="FM115" s="404"/>
      <c r="FN115" s="404"/>
      <c r="FO115" s="404"/>
      <c r="FP115" s="404"/>
      <c r="FQ115" s="404"/>
      <c r="FR115" s="404"/>
      <c r="FS115" s="404"/>
      <c r="FT115" s="404"/>
      <c r="FU115" s="404"/>
      <c r="FV115" s="404"/>
      <c r="FW115" s="404"/>
      <c r="FX115" s="404"/>
      <c r="FY115" s="404"/>
      <c r="FZ115" s="404"/>
      <c r="GA115" s="404"/>
      <c r="GB115" s="404"/>
      <c r="GC115" s="404"/>
      <c r="GD115" s="404"/>
      <c r="GE115" s="404"/>
      <c r="GF115" s="404"/>
      <c r="GG115" s="404"/>
      <c r="GH115" s="404"/>
      <c r="GI115" s="404"/>
      <c r="GJ115" s="404"/>
      <c r="GK115" s="404"/>
      <c r="GL115" s="404"/>
      <c r="GM115" s="404"/>
      <c r="GN115" s="404"/>
      <c r="GO115" s="404"/>
      <c r="GP115" s="404"/>
      <c r="GQ115" s="404"/>
      <c r="GR115" s="404"/>
      <c r="GS115" s="404"/>
      <c r="GT115" s="404"/>
      <c r="GU115" s="404"/>
      <c r="GV115" s="404"/>
      <c r="GW115" s="404"/>
      <c r="GX115" s="404"/>
      <c r="GY115" s="404"/>
      <c r="GZ115" s="404"/>
      <c r="HA115" s="404"/>
      <c r="HB115" s="404"/>
      <c r="HC115" s="404"/>
      <c r="HD115" s="404"/>
      <c r="HE115" s="404"/>
      <c r="HF115" s="404"/>
      <c r="HG115" s="404"/>
      <c r="HH115" s="404"/>
      <c r="HI115" s="404"/>
      <c r="HJ115" s="404"/>
      <c r="HK115" s="404"/>
      <c r="HL115" s="404"/>
      <c r="HM115" s="404"/>
      <c r="HN115" s="404"/>
      <c r="HO115" s="404"/>
      <c r="HP115" s="404"/>
      <c r="HQ115" s="404"/>
      <c r="HR115" s="404"/>
      <c r="HS115" s="404"/>
      <c r="HT115" s="404"/>
      <c r="HU115" s="404"/>
      <c r="HV115" s="404"/>
      <c r="HW115" s="404"/>
      <c r="HX115" s="404"/>
      <c r="HY115" s="404"/>
      <c r="HZ115" s="404"/>
      <c r="IA115" s="404"/>
      <c r="IB115" s="404"/>
      <c r="IC115" s="404"/>
      <c r="ID115" s="404"/>
      <c r="IE115" s="404"/>
    </row>
    <row r="116" spans="1:239" s="155" customFormat="1">
      <c r="A116" s="391" t="s">
        <v>467</v>
      </c>
      <c r="B116" s="392" t="s">
        <v>468</v>
      </c>
      <c r="C116" s="269">
        <v>66715300410</v>
      </c>
      <c r="D116" s="267" t="s">
        <v>667</v>
      </c>
      <c r="E116" s="267">
        <v>2</v>
      </c>
      <c r="F116" s="273" t="s">
        <v>708</v>
      </c>
      <c r="G116" s="271" t="s">
        <v>906</v>
      </c>
      <c r="H116" s="271"/>
      <c r="I116" s="394" t="s">
        <v>1016</v>
      </c>
      <c r="J116" s="394"/>
      <c r="K116" s="281">
        <v>157.16999999999999</v>
      </c>
      <c r="L116" s="282">
        <v>25.05</v>
      </c>
      <c r="M116" s="281">
        <f t="shared" si="4"/>
        <v>132.11999999999998</v>
      </c>
      <c r="N116" s="281">
        <v>2.68</v>
      </c>
      <c r="O116" s="281">
        <v>0</v>
      </c>
      <c r="P116" s="281">
        <f t="shared" si="5"/>
        <v>2.68</v>
      </c>
      <c r="Q116" s="395">
        <v>150.4</v>
      </c>
      <c r="R116" s="395">
        <v>75.150000000000006</v>
      </c>
      <c r="S116" s="395">
        <v>0</v>
      </c>
      <c r="T116" s="281">
        <v>0</v>
      </c>
      <c r="U116" s="281">
        <v>0</v>
      </c>
      <c r="V116" s="281">
        <f t="shared" si="8"/>
        <v>0</v>
      </c>
      <c r="W116" s="283"/>
      <c r="X116" s="284">
        <v>0</v>
      </c>
      <c r="Y116" s="395">
        <v>0</v>
      </c>
      <c r="Z116" s="395">
        <v>0</v>
      </c>
      <c r="AA116" s="399"/>
      <c r="AB116" s="395">
        <f t="shared" si="7"/>
        <v>134.79999999999998</v>
      </c>
      <c r="AC116" s="437"/>
      <c r="AD116" s="162"/>
      <c r="AE116" s="162"/>
      <c r="AF116" s="162"/>
      <c r="AG116" s="162"/>
      <c r="AH116" s="162"/>
      <c r="AI116" s="162"/>
      <c r="AJ116" s="162"/>
      <c r="AK116" s="162"/>
      <c r="AL116" s="162"/>
      <c r="AM116" s="162"/>
      <c r="AN116" s="162"/>
      <c r="AO116" s="162"/>
      <c r="AP116" s="162"/>
      <c r="AQ116" s="162"/>
      <c r="AR116" s="162"/>
      <c r="AS116" s="162"/>
      <c r="AT116" s="162"/>
      <c r="AU116" s="162"/>
      <c r="AV116" s="162"/>
      <c r="AW116" s="162"/>
      <c r="AX116" s="162"/>
      <c r="AY116" s="162"/>
      <c r="AZ116" s="162"/>
      <c r="BA116" s="162"/>
      <c r="BB116" s="162"/>
      <c r="BC116" s="162"/>
      <c r="BD116" s="162"/>
      <c r="BE116" s="162"/>
      <c r="BF116" s="162"/>
      <c r="BG116" s="162"/>
      <c r="BH116" s="162"/>
      <c r="BI116" s="162"/>
      <c r="BJ116" s="162"/>
      <c r="BK116" s="162"/>
      <c r="BL116" s="162"/>
      <c r="BM116" s="162"/>
      <c r="BN116" s="162"/>
      <c r="BO116" s="162"/>
      <c r="BP116" s="162"/>
      <c r="BQ116" s="162"/>
      <c r="BR116" s="162"/>
      <c r="BS116" s="162"/>
      <c r="BT116" s="162"/>
      <c r="BU116" s="162"/>
      <c r="BV116" s="162"/>
      <c r="BW116" s="162"/>
      <c r="BX116" s="162"/>
      <c r="BY116" s="162"/>
      <c r="BZ116" s="162"/>
      <c r="CA116" s="162"/>
      <c r="CB116" s="162"/>
      <c r="CC116" s="162"/>
      <c r="CD116" s="162"/>
      <c r="CE116" s="162"/>
      <c r="CF116" s="162"/>
      <c r="CG116" s="162"/>
      <c r="CH116" s="162"/>
      <c r="CI116" s="162"/>
      <c r="CJ116" s="162"/>
      <c r="CK116" s="162"/>
      <c r="CL116" s="162"/>
      <c r="CM116" s="162"/>
      <c r="CN116" s="162"/>
      <c r="CO116" s="162"/>
      <c r="CP116" s="162"/>
      <c r="CQ116" s="162"/>
      <c r="CR116" s="162"/>
      <c r="CS116" s="162"/>
      <c r="CT116" s="162"/>
      <c r="CU116" s="162"/>
      <c r="CV116" s="162"/>
      <c r="CW116" s="162"/>
      <c r="CX116" s="162"/>
      <c r="CY116" s="162"/>
      <c r="CZ116" s="162"/>
      <c r="DA116" s="162"/>
      <c r="DB116" s="162"/>
      <c r="DC116" s="162"/>
      <c r="DD116" s="162"/>
      <c r="DE116" s="162"/>
      <c r="DF116" s="162"/>
      <c r="DG116" s="162"/>
      <c r="DH116" s="162"/>
      <c r="DI116" s="162"/>
      <c r="DJ116" s="162"/>
      <c r="DK116" s="162"/>
      <c r="DL116" s="162"/>
      <c r="DM116" s="162"/>
      <c r="DN116" s="162"/>
      <c r="DO116" s="162"/>
      <c r="DP116" s="162"/>
      <c r="DQ116" s="162"/>
      <c r="DR116" s="162"/>
      <c r="DS116" s="162"/>
      <c r="DT116" s="162"/>
      <c r="DU116" s="162"/>
      <c r="DV116" s="162"/>
      <c r="DW116" s="162"/>
      <c r="DX116" s="162"/>
      <c r="DY116" s="162"/>
      <c r="DZ116" s="162"/>
      <c r="EA116" s="162"/>
      <c r="EB116" s="162"/>
      <c r="EC116" s="162"/>
      <c r="ED116" s="162"/>
      <c r="EE116" s="162"/>
      <c r="EF116" s="162"/>
      <c r="EG116" s="162"/>
      <c r="EH116" s="162"/>
      <c r="EI116" s="162"/>
      <c r="EJ116" s="162"/>
      <c r="EK116" s="162"/>
      <c r="EL116" s="162"/>
      <c r="EM116" s="162"/>
      <c r="EN116" s="162"/>
      <c r="EO116" s="162"/>
      <c r="EP116" s="162"/>
      <c r="EQ116" s="162"/>
      <c r="ER116" s="162"/>
      <c r="ES116" s="162"/>
      <c r="ET116" s="162"/>
      <c r="EU116" s="162"/>
      <c r="EV116" s="162"/>
      <c r="EW116" s="162"/>
      <c r="EX116" s="162"/>
      <c r="EY116" s="162"/>
      <c r="EZ116" s="162"/>
      <c r="FA116" s="162"/>
      <c r="FB116" s="162"/>
      <c r="FC116" s="162"/>
      <c r="FD116" s="162"/>
      <c r="FE116" s="162"/>
      <c r="FF116" s="162"/>
      <c r="FG116" s="162"/>
      <c r="FH116" s="162"/>
      <c r="FI116" s="162"/>
      <c r="FJ116" s="162"/>
      <c r="FK116" s="162"/>
      <c r="FL116" s="162"/>
      <c r="FM116" s="162"/>
      <c r="FN116" s="162"/>
      <c r="FO116" s="162"/>
      <c r="FP116" s="162"/>
      <c r="FQ116" s="162"/>
      <c r="FR116" s="162"/>
      <c r="FS116" s="162"/>
      <c r="FT116" s="162"/>
      <c r="FU116" s="162"/>
      <c r="FV116" s="162"/>
      <c r="FW116" s="162"/>
      <c r="FX116" s="162"/>
      <c r="FY116" s="162"/>
      <c r="FZ116" s="162"/>
      <c r="GA116" s="162"/>
      <c r="GB116" s="162"/>
      <c r="GC116" s="162"/>
      <c r="GD116" s="162"/>
      <c r="GE116" s="162"/>
      <c r="GF116" s="162"/>
      <c r="GG116" s="162"/>
      <c r="GH116" s="162"/>
      <c r="GI116" s="162"/>
      <c r="GJ116" s="162"/>
      <c r="GK116" s="162"/>
      <c r="GL116" s="162"/>
      <c r="GM116" s="162"/>
      <c r="GN116" s="162"/>
      <c r="GO116" s="162"/>
      <c r="GP116" s="162"/>
      <c r="GQ116" s="162"/>
      <c r="GR116" s="162"/>
      <c r="GS116" s="162"/>
      <c r="GT116" s="162"/>
      <c r="GU116" s="162"/>
      <c r="GV116" s="162"/>
      <c r="GW116" s="162"/>
      <c r="GX116" s="162"/>
      <c r="GY116" s="162"/>
      <c r="GZ116" s="162"/>
      <c r="HA116" s="162"/>
      <c r="HB116" s="162"/>
      <c r="HC116" s="162"/>
      <c r="HD116" s="162"/>
      <c r="HE116" s="162"/>
      <c r="HF116" s="162"/>
      <c r="HG116" s="162"/>
      <c r="HH116" s="162"/>
      <c r="HI116" s="162"/>
      <c r="HJ116" s="162"/>
      <c r="HK116" s="162"/>
      <c r="HL116" s="162"/>
      <c r="HM116" s="162"/>
      <c r="HN116" s="162"/>
      <c r="HO116" s="162"/>
      <c r="HP116" s="162"/>
      <c r="HQ116" s="162"/>
      <c r="HR116" s="162"/>
      <c r="HS116" s="162"/>
      <c r="HT116" s="162"/>
      <c r="HU116" s="162"/>
      <c r="HV116" s="162"/>
      <c r="HW116" s="162"/>
      <c r="HX116" s="162"/>
      <c r="HY116" s="162"/>
      <c r="HZ116" s="162"/>
      <c r="IA116" s="162"/>
      <c r="IB116" s="162"/>
      <c r="IC116" s="162"/>
      <c r="ID116" s="162"/>
      <c r="IE116" s="162"/>
    </row>
    <row r="117" spans="1:239" s="155" customFormat="1">
      <c r="A117" s="391" t="s">
        <v>467</v>
      </c>
      <c r="B117" s="392" t="s">
        <v>468</v>
      </c>
      <c r="C117" s="269" t="s">
        <v>668</v>
      </c>
      <c r="D117" s="267" t="s">
        <v>669</v>
      </c>
      <c r="E117" s="267">
        <v>2</v>
      </c>
      <c r="F117" s="273" t="s">
        <v>708</v>
      </c>
      <c r="G117" s="271" t="s">
        <v>906</v>
      </c>
      <c r="H117" s="271"/>
      <c r="I117" s="394" t="s">
        <v>1017</v>
      </c>
      <c r="J117" s="394"/>
      <c r="K117" s="281">
        <v>157.16999999999999</v>
      </c>
      <c r="L117" s="282">
        <v>25.05</v>
      </c>
      <c r="M117" s="281">
        <f t="shared" ref="M117:M139" si="9">K117-L117</f>
        <v>132.11999999999998</v>
      </c>
      <c r="N117" s="281">
        <v>2.68</v>
      </c>
      <c r="O117" s="281">
        <v>0</v>
      </c>
      <c r="P117" s="281">
        <f t="shared" si="5"/>
        <v>2.68</v>
      </c>
      <c r="Q117" s="395">
        <v>244.5</v>
      </c>
      <c r="R117" s="395">
        <v>75.150000000000006</v>
      </c>
      <c r="S117" s="395">
        <v>0</v>
      </c>
      <c r="T117" s="281">
        <v>334.01</v>
      </c>
      <c r="U117" s="281">
        <v>0</v>
      </c>
      <c r="V117" s="281">
        <f t="shared" si="8"/>
        <v>334.01</v>
      </c>
      <c r="W117" s="283" t="s">
        <v>736</v>
      </c>
      <c r="X117" s="284">
        <v>0</v>
      </c>
      <c r="Y117" s="395">
        <v>0</v>
      </c>
      <c r="Z117" s="395">
        <v>0</v>
      </c>
      <c r="AA117" s="399"/>
      <c r="AB117" s="395">
        <f t="shared" si="7"/>
        <v>468.80999999999995</v>
      </c>
      <c r="AC117" s="435"/>
      <c r="AE117" s="162"/>
      <c r="AF117" s="162"/>
      <c r="AG117" s="162"/>
      <c r="AH117" s="162"/>
      <c r="AI117" s="162"/>
      <c r="AJ117" s="162"/>
      <c r="AK117" s="162"/>
      <c r="AL117" s="162"/>
      <c r="AM117" s="162"/>
      <c r="AN117" s="162"/>
      <c r="AO117" s="162"/>
      <c r="AP117" s="162"/>
      <c r="AQ117" s="162"/>
      <c r="AR117" s="162"/>
      <c r="AS117" s="162"/>
      <c r="AT117" s="162"/>
      <c r="AU117" s="162"/>
      <c r="AV117" s="162"/>
      <c r="AW117" s="162"/>
      <c r="AX117" s="162"/>
      <c r="AY117" s="162"/>
      <c r="AZ117" s="162"/>
      <c r="BA117" s="162"/>
      <c r="BB117" s="162"/>
      <c r="BC117" s="162"/>
      <c r="BD117" s="162"/>
      <c r="BE117" s="162"/>
      <c r="BF117" s="162"/>
      <c r="BG117" s="162"/>
      <c r="BH117" s="162"/>
      <c r="BI117" s="162"/>
      <c r="BJ117" s="162"/>
      <c r="BK117" s="162"/>
      <c r="BL117" s="162"/>
      <c r="BM117" s="162"/>
      <c r="BN117" s="162"/>
      <c r="BO117" s="162"/>
      <c r="BP117" s="162"/>
      <c r="BQ117" s="162"/>
      <c r="BR117" s="162"/>
      <c r="BS117" s="162"/>
      <c r="BT117" s="162"/>
      <c r="BU117" s="162"/>
      <c r="BV117" s="162"/>
      <c r="BW117" s="162"/>
      <c r="BX117" s="162"/>
      <c r="BY117" s="162"/>
      <c r="BZ117" s="162"/>
      <c r="CA117" s="162"/>
      <c r="CB117" s="162"/>
      <c r="CC117" s="162"/>
      <c r="CD117" s="162"/>
      <c r="CE117" s="162"/>
      <c r="CF117" s="162"/>
      <c r="CG117" s="162"/>
      <c r="CH117" s="162"/>
      <c r="CI117" s="162"/>
      <c r="CJ117" s="162"/>
      <c r="CK117" s="162"/>
      <c r="CL117" s="162"/>
      <c r="CM117" s="162"/>
      <c r="CN117" s="162"/>
      <c r="CO117" s="162"/>
      <c r="CP117" s="162"/>
      <c r="CQ117" s="162"/>
      <c r="CR117" s="162"/>
      <c r="CS117" s="162"/>
      <c r="CT117" s="162"/>
      <c r="CU117" s="162"/>
      <c r="CV117" s="162"/>
      <c r="CW117" s="162"/>
      <c r="CX117" s="162"/>
      <c r="CY117" s="162"/>
      <c r="CZ117" s="162"/>
      <c r="DA117" s="162"/>
      <c r="DB117" s="162"/>
      <c r="DC117" s="162"/>
      <c r="DD117" s="162"/>
      <c r="DE117" s="162"/>
      <c r="DF117" s="162"/>
      <c r="DG117" s="162"/>
      <c r="DH117" s="162"/>
      <c r="DI117" s="162"/>
      <c r="DJ117" s="162"/>
      <c r="DK117" s="162"/>
      <c r="DL117" s="162"/>
      <c r="DM117" s="162"/>
      <c r="DN117" s="162"/>
      <c r="DO117" s="162"/>
      <c r="DP117" s="162"/>
      <c r="DQ117" s="162"/>
      <c r="DR117" s="162"/>
      <c r="DS117" s="162"/>
      <c r="DT117" s="162"/>
      <c r="DU117" s="162"/>
      <c r="DV117" s="162"/>
      <c r="DW117" s="162"/>
      <c r="DX117" s="162"/>
      <c r="DY117" s="162"/>
      <c r="DZ117" s="162"/>
      <c r="EA117" s="162"/>
      <c r="EB117" s="162"/>
      <c r="EC117" s="162"/>
      <c r="ED117" s="162"/>
      <c r="EE117" s="162"/>
      <c r="EF117" s="162"/>
      <c r="EG117" s="162"/>
      <c r="EH117" s="162"/>
      <c r="EI117" s="162"/>
      <c r="EJ117" s="162"/>
      <c r="EK117" s="162"/>
      <c r="EL117" s="162"/>
      <c r="EM117" s="162"/>
      <c r="EN117" s="162"/>
      <c r="EO117" s="162"/>
      <c r="EP117" s="162"/>
      <c r="EQ117" s="162"/>
      <c r="ER117" s="162"/>
      <c r="ES117" s="162"/>
      <c r="ET117" s="162"/>
      <c r="EU117" s="162"/>
      <c r="EV117" s="162"/>
      <c r="EW117" s="162"/>
      <c r="EX117" s="162"/>
      <c r="EY117" s="162"/>
      <c r="EZ117" s="162"/>
      <c r="FA117" s="162"/>
      <c r="FB117" s="162"/>
      <c r="FC117" s="162"/>
      <c r="FD117" s="162"/>
      <c r="FE117" s="162"/>
      <c r="FF117" s="162"/>
      <c r="FG117" s="162"/>
      <c r="FH117" s="162"/>
      <c r="FI117" s="162"/>
      <c r="FJ117" s="162"/>
      <c r="FK117" s="162"/>
      <c r="FL117" s="162"/>
      <c r="FM117" s="162"/>
      <c r="FN117" s="162"/>
      <c r="FO117" s="162"/>
      <c r="FP117" s="162"/>
      <c r="FQ117" s="162"/>
      <c r="FR117" s="162"/>
      <c r="FS117" s="162"/>
      <c r="FT117" s="162"/>
      <c r="FU117" s="162"/>
      <c r="FV117" s="162"/>
      <c r="FW117" s="162"/>
      <c r="FX117" s="162"/>
      <c r="FY117" s="162"/>
      <c r="FZ117" s="162"/>
      <c r="GA117" s="162"/>
      <c r="GB117" s="162"/>
      <c r="GC117" s="162"/>
      <c r="GD117" s="162"/>
      <c r="GE117" s="162"/>
      <c r="GF117" s="162"/>
      <c r="GG117" s="162"/>
      <c r="GH117" s="162"/>
      <c r="GI117" s="162"/>
      <c r="GJ117" s="162"/>
      <c r="GK117" s="162"/>
      <c r="GL117" s="162"/>
      <c r="GM117" s="162"/>
      <c r="GN117" s="162"/>
      <c r="GO117" s="162"/>
      <c r="GP117" s="162"/>
      <c r="GQ117" s="162"/>
      <c r="GR117" s="162"/>
      <c r="GS117" s="162"/>
      <c r="GT117" s="162"/>
      <c r="GU117" s="162"/>
      <c r="GV117" s="162"/>
      <c r="GW117" s="162"/>
      <c r="GX117" s="162"/>
      <c r="GY117" s="162"/>
      <c r="GZ117" s="162"/>
      <c r="HA117" s="162"/>
      <c r="HB117" s="162"/>
      <c r="HC117" s="162"/>
      <c r="HD117" s="162"/>
      <c r="HE117" s="162"/>
      <c r="HF117" s="162"/>
      <c r="HG117" s="162"/>
      <c r="HH117" s="162"/>
      <c r="HI117" s="162"/>
      <c r="HJ117" s="162"/>
      <c r="HK117" s="162"/>
      <c r="HL117" s="162"/>
      <c r="HM117" s="162"/>
      <c r="HN117" s="162"/>
      <c r="HO117" s="162"/>
      <c r="HP117" s="162"/>
      <c r="HQ117" s="162"/>
      <c r="HR117" s="162"/>
      <c r="HS117" s="162"/>
      <c r="HT117" s="162"/>
      <c r="HU117" s="162"/>
      <c r="HV117" s="162"/>
      <c r="HW117" s="162"/>
      <c r="HX117" s="162"/>
      <c r="HY117" s="162"/>
      <c r="HZ117" s="162"/>
      <c r="IA117" s="162"/>
      <c r="IB117" s="162"/>
      <c r="IC117" s="162"/>
      <c r="ID117" s="162"/>
      <c r="IE117" s="162"/>
    </row>
    <row r="118" spans="1:239" s="155" customFormat="1" hidden="1">
      <c r="A118" s="391" t="s">
        <v>467</v>
      </c>
      <c r="B118" s="392" t="s">
        <v>468</v>
      </c>
      <c r="C118" s="269">
        <v>71197891471</v>
      </c>
      <c r="D118" s="267" t="s">
        <v>670</v>
      </c>
      <c r="E118" s="267">
        <v>3</v>
      </c>
      <c r="F118" s="274" t="s">
        <v>710</v>
      </c>
      <c r="G118" s="271" t="s">
        <v>906</v>
      </c>
      <c r="H118" s="271"/>
      <c r="I118" s="394" t="s">
        <v>1018</v>
      </c>
      <c r="J118" s="394"/>
      <c r="K118" s="281">
        <v>157.16999999999999</v>
      </c>
      <c r="L118" s="282">
        <v>22</v>
      </c>
      <c r="M118" s="281">
        <f t="shared" si="9"/>
        <v>135.16999999999999</v>
      </c>
      <c r="N118" s="281">
        <v>2.68</v>
      </c>
      <c r="O118" s="281">
        <v>0</v>
      </c>
      <c r="P118" s="281">
        <f t="shared" si="5"/>
        <v>2.68</v>
      </c>
      <c r="Q118" s="395">
        <v>110.4</v>
      </c>
      <c r="R118" s="395">
        <v>66</v>
      </c>
      <c r="S118" s="395">
        <v>0</v>
      </c>
      <c r="T118" s="281">
        <v>110</v>
      </c>
      <c r="U118" s="281">
        <v>0</v>
      </c>
      <c r="V118" s="281">
        <f t="shared" si="8"/>
        <v>110</v>
      </c>
      <c r="W118" s="283" t="s">
        <v>736</v>
      </c>
      <c r="X118" s="284">
        <v>0</v>
      </c>
      <c r="Y118" s="395">
        <v>0</v>
      </c>
      <c r="Z118" s="395">
        <v>0</v>
      </c>
      <c r="AA118" s="399"/>
      <c r="AB118" s="395">
        <f t="shared" si="7"/>
        <v>247.85</v>
      </c>
      <c r="AC118" s="435"/>
    </row>
    <row r="119" spans="1:239" s="155" customFormat="1" hidden="1">
      <c r="A119" s="391" t="s">
        <v>467</v>
      </c>
      <c r="B119" s="392" t="s">
        <v>468</v>
      </c>
      <c r="C119" s="269" t="s">
        <v>671</v>
      </c>
      <c r="D119" s="267" t="s">
        <v>672</v>
      </c>
      <c r="E119" s="267">
        <v>3</v>
      </c>
      <c r="F119" s="274" t="s">
        <v>718</v>
      </c>
      <c r="G119" s="271" t="s">
        <v>906</v>
      </c>
      <c r="H119" s="271"/>
      <c r="I119" s="394" t="s">
        <v>1019</v>
      </c>
      <c r="J119" s="394"/>
      <c r="K119" s="281">
        <v>157.16999999999999</v>
      </c>
      <c r="L119" s="282">
        <v>25.09</v>
      </c>
      <c r="M119" s="281">
        <f t="shared" si="9"/>
        <v>132.07999999999998</v>
      </c>
      <c r="N119" s="281">
        <v>2.68</v>
      </c>
      <c r="O119" s="281">
        <v>0</v>
      </c>
      <c r="P119" s="281">
        <f t="shared" si="5"/>
        <v>2.68</v>
      </c>
      <c r="Q119" s="395">
        <v>0</v>
      </c>
      <c r="R119" s="395">
        <v>0</v>
      </c>
      <c r="S119" s="395">
        <v>0</v>
      </c>
      <c r="T119" s="281">
        <v>125.45</v>
      </c>
      <c r="U119" s="281">
        <v>0</v>
      </c>
      <c r="V119" s="281">
        <f t="shared" si="8"/>
        <v>125.45</v>
      </c>
      <c r="W119" s="283" t="s">
        <v>736</v>
      </c>
      <c r="X119" s="284">
        <v>0</v>
      </c>
      <c r="Y119" s="395">
        <v>0</v>
      </c>
      <c r="Z119" s="395">
        <v>0</v>
      </c>
      <c r="AA119" s="399"/>
      <c r="AB119" s="395">
        <f t="shared" si="7"/>
        <v>260.20999999999998</v>
      </c>
      <c r="AC119" s="435"/>
    </row>
    <row r="120" spans="1:239" s="155" customFormat="1" hidden="1">
      <c r="A120" s="391" t="s">
        <v>467</v>
      </c>
      <c r="B120" s="392" t="s">
        <v>468</v>
      </c>
      <c r="C120" s="269" t="s">
        <v>673</v>
      </c>
      <c r="D120" s="267" t="s">
        <v>674</v>
      </c>
      <c r="E120" s="267">
        <v>3</v>
      </c>
      <c r="F120" s="274" t="s">
        <v>718</v>
      </c>
      <c r="G120" s="271" t="s">
        <v>906</v>
      </c>
      <c r="H120" s="271"/>
      <c r="I120" s="394" t="s">
        <v>1020</v>
      </c>
      <c r="J120" s="394"/>
      <c r="K120" s="281">
        <v>157.16999999999999</v>
      </c>
      <c r="L120" s="282">
        <v>25.09</v>
      </c>
      <c r="M120" s="281">
        <f t="shared" si="9"/>
        <v>132.07999999999998</v>
      </c>
      <c r="N120" s="281">
        <v>2.68</v>
      </c>
      <c r="O120" s="281">
        <v>0</v>
      </c>
      <c r="P120" s="281">
        <f t="shared" si="5"/>
        <v>2.68</v>
      </c>
      <c r="Q120" s="395">
        <v>0</v>
      </c>
      <c r="R120" s="395">
        <v>0</v>
      </c>
      <c r="S120" s="395">
        <v>0</v>
      </c>
      <c r="T120" s="281">
        <v>125.45</v>
      </c>
      <c r="U120" s="281">
        <v>0</v>
      </c>
      <c r="V120" s="281">
        <f t="shared" si="8"/>
        <v>125.45</v>
      </c>
      <c r="W120" s="283" t="s">
        <v>736</v>
      </c>
      <c r="X120" s="284">
        <v>0</v>
      </c>
      <c r="Y120" s="395">
        <v>0</v>
      </c>
      <c r="Z120" s="395">
        <v>0</v>
      </c>
      <c r="AA120" s="399"/>
      <c r="AB120" s="395">
        <f t="shared" si="7"/>
        <v>260.20999999999998</v>
      </c>
      <c r="AC120" s="435"/>
    </row>
    <row r="121" spans="1:239" s="155" customFormat="1">
      <c r="A121" s="391" t="s">
        <v>467</v>
      </c>
      <c r="B121" s="392" t="s">
        <v>468</v>
      </c>
      <c r="C121" s="269" t="s">
        <v>675</v>
      </c>
      <c r="D121" s="267" t="s">
        <v>676</v>
      </c>
      <c r="E121" s="267">
        <v>2</v>
      </c>
      <c r="F121" s="273" t="s">
        <v>708</v>
      </c>
      <c r="G121" s="271" t="s">
        <v>906</v>
      </c>
      <c r="H121" s="271"/>
      <c r="I121" s="394" t="s">
        <v>1021</v>
      </c>
      <c r="J121" s="394"/>
      <c r="K121" s="281">
        <v>157.16999999999999</v>
      </c>
      <c r="L121" s="282">
        <v>25.05</v>
      </c>
      <c r="M121" s="281">
        <f t="shared" si="9"/>
        <v>132.11999999999998</v>
      </c>
      <c r="N121" s="281">
        <v>2.68</v>
      </c>
      <c r="O121" s="281">
        <v>0</v>
      </c>
      <c r="P121" s="281">
        <f t="shared" si="5"/>
        <v>2.68</v>
      </c>
      <c r="Q121" s="395">
        <v>81.5</v>
      </c>
      <c r="R121" s="395">
        <v>27.55</v>
      </c>
      <c r="S121" s="395">
        <v>0</v>
      </c>
      <c r="T121" s="281">
        <v>64</v>
      </c>
      <c r="U121" s="281">
        <v>0</v>
      </c>
      <c r="V121" s="281">
        <f t="shared" si="8"/>
        <v>64</v>
      </c>
      <c r="W121" s="283" t="s">
        <v>735</v>
      </c>
      <c r="X121" s="284">
        <v>0</v>
      </c>
      <c r="Y121" s="395">
        <v>0</v>
      </c>
      <c r="Z121" s="395">
        <v>0</v>
      </c>
      <c r="AA121" s="399"/>
      <c r="AB121" s="395">
        <f t="shared" si="7"/>
        <v>198.79999999999998</v>
      </c>
      <c r="AC121" s="435"/>
    </row>
    <row r="122" spans="1:239" s="155" customFormat="1" hidden="1">
      <c r="A122" s="391" t="s">
        <v>467</v>
      </c>
      <c r="B122" s="392" t="s">
        <v>468</v>
      </c>
      <c r="C122" s="269" t="s">
        <v>677</v>
      </c>
      <c r="D122" s="267" t="s">
        <v>678</v>
      </c>
      <c r="E122" s="267">
        <v>3</v>
      </c>
      <c r="F122" s="273" t="s">
        <v>710</v>
      </c>
      <c r="G122" s="271" t="s">
        <v>906</v>
      </c>
      <c r="H122" s="271"/>
      <c r="I122" s="394" t="s">
        <v>1011</v>
      </c>
      <c r="J122" s="394"/>
      <c r="K122" s="281">
        <v>157.16999999999999</v>
      </c>
      <c r="L122" s="282">
        <v>22</v>
      </c>
      <c r="M122" s="281">
        <f t="shared" si="9"/>
        <v>135.16999999999999</v>
      </c>
      <c r="N122" s="281">
        <v>2.68</v>
      </c>
      <c r="O122" s="281">
        <v>0</v>
      </c>
      <c r="P122" s="281">
        <f t="shared" si="5"/>
        <v>2.68</v>
      </c>
      <c r="Q122" s="395">
        <v>0</v>
      </c>
      <c r="R122" s="395">
        <v>0</v>
      </c>
      <c r="S122" s="395">
        <v>0</v>
      </c>
      <c r="T122" s="281">
        <v>351.98</v>
      </c>
      <c r="U122" s="281">
        <v>0</v>
      </c>
      <c r="V122" s="281">
        <f t="shared" si="8"/>
        <v>351.98</v>
      </c>
      <c r="W122" s="283" t="s">
        <v>736</v>
      </c>
      <c r="X122" s="284">
        <v>0</v>
      </c>
      <c r="Y122" s="395">
        <v>0</v>
      </c>
      <c r="Z122" s="395">
        <v>0</v>
      </c>
      <c r="AA122" s="399"/>
      <c r="AB122" s="395">
        <f t="shared" si="7"/>
        <v>489.83000000000004</v>
      </c>
      <c r="AC122" s="435"/>
    </row>
    <row r="123" spans="1:239" s="155" customFormat="1">
      <c r="A123" s="391" t="s">
        <v>467</v>
      </c>
      <c r="B123" s="392" t="s">
        <v>468</v>
      </c>
      <c r="C123" s="271" t="s">
        <v>679</v>
      </c>
      <c r="D123" s="267" t="s">
        <v>680</v>
      </c>
      <c r="E123" s="267">
        <v>2</v>
      </c>
      <c r="F123" s="273" t="s">
        <v>708</v>
      </c>
      <c r="G123" s="271" t="s">
        <v>906</v>
      </c>
      <c r="H123" s="271"/>
      <c r="I123" s="394" t="s">
        <v>935</v>
      </c>
      <c r="J123" s="394"/>
      <c r="K123" s="281">
        <v>157.16999999999999</v>
      </c>
      <c r="L123" s="282">
        <v>25.05</v>
      </c>
      <c r="M123" s="281">
        <f t="shared" si="9"/>
        <v>132.11999999999998</v>
      </c>
      <c r="N123" s="281">
        <v>2.68</v>
      </c>
      <c r="O123" s="281">
        <v>0</v>
      </c>
      <c r="P123" s="281">
        <v>2.68</v>
      </c>
      <c r="Q123" s="395">
        <v>220.8</v>
      </c>
      <c r="R123" s="395">
        <v>75.150000000000006</v>
      </c>
      <c r="S123" s="395">
        <v>0</v>
      </c>
      <c r="T123" s="281">
        <v>0</v>
      </c>
      <c r="U123" s="281">
        <v>0</v>
      </c>
      <c r="V123" s="281">
        <f t="shared" si="8"/>
        <v>0</v>
      </c>
      <c r="W123" s="283"/>
      <c r="X123" s="284">
        <v>0</v>
      </c>
      <c r="Y123" s="395">
        <v>0</v>
      </c>
      <c r="Z123" s="395">
        <v>0</v>
      </c>
      <c r="AA123" s="399"/>
      <c r="AB123" s="395">
        <f t="shared" si="7"/>
        <v>134.79999999999998</v>
      </c>
      <c r="AC123" s="435"/>
    </row>
    <row r="124" spans="1:239" s="155" customFormat="1" hidden="1">
      <c r="A124" s="391" t="s">
        <v>467</v>
      </c>
      <c r="B124" s="392" t="s">
        <v>468</v>
      </c>
      <c r="C124" s="269">
        <v>11141755440</v>
      </c>
      <c r="D124" s="267" t="s">
        <v>681</v>
      </c>
      <c r="E124" s="267">
        <v>3</v>
      </c>
      <c r="F124" s="273" t="s">
        <v>732</v>
      </c>
      <c r="G124" s="271" t="s">
        <v>906</v>
      </c>
      <c r="H124" s="271"/>
      <c r="I124" s="394" t="s">
        <v>1022</v>
      </c>
      <c r="J124" s="394"/>
      <c r="K124" s="281">
        <v>157.16999999999999</v>
      </c>
      <c r="L124" s="282">
        <v>41.4</v>
      </c>
      <c r="M124" s="281">
        <f t="shared" si="9"/>
        <v>115.76999999999998</v>
      </c>
      <c r="N124" s="281">
        <v>2.68</v>
      </c>
      <c r="O124" s="281">
        <v>0</v>
      </c>
      <c r="P124" s="281">
        <f t="shared" ref="P124:P139" si="10">N124-O124</f>
        <v>2.68</v>
      </c>
      <c r="Q124" s="395">
        <v>0</v>
      </c>
      <c r="R124" s="395">
        <v>0</v>
      </c>
      <c r="S124" s="395">
        <v>0</v>
      </c>
      <c r="T124" s="281">
        <v>0</v>
      </c>
      <c r="U124" s="281">
        <v>0</v>
      </c>
      <c r="V124" s="281">
        <f t="shared" si="8"/>
        <v>0</v>
      </c>
      <c r="W124" s="283"/>
      <c r="X124" s="284">
        <v>0</v>
      </c>
      <c r="Y124" s="395">
        <v>0</v>
      </c>
      <c r="Z124" s="395">
        <v>0</v>
      </c>
      <c r="AA124" s="399"/>
      <c r="AB124" s="395">
        <f t="shared" si="7"/>
        <v>118.44999999999999</v>
      </c>
      <c r="AC124" s="435"/>
    </row>
    <row r="125" spans="1:239" s="155" customFormat="1">
      <c r="A125" s="391" t="s">
        <v>467</v>
      </c>
      <c r="B125" s="392" t="s">
        <v>468</v>
      </c>
      <c r="C125" s="269">
        <v>82203210400</v>
      </c>
      <c r="D125" s="267" t="s">
        <v>682</v>
      </c>
      <c r="E125" s="267">
        <v>2</v>
      </c>
      <c r="F125" s="273" t="s">
        <v>712</v>
      </c>
      <c r="G125" s="271" t="s">
        <v>906</v>
      </c>
      <c r="H125" s="271"/>
      <c r="I125" s="394" t="s">
        <v>1023</v>
      </c>
      <c r="J125" s="394"/>
      <c r="K125" s="281">
        <v>157.16999999999999</v>
      </c>
      <c r="L125" s="282">
        <v>0</v>
      </c>
      <c r="M125" s="281">
        <f t="shared" si="9"/>
        <v>157.16999999999999</v>
      </c>
      <c r="N125" s="281">
        <v>4.3600000000000003</v>
      </c>
      <c r="O125" s="281">
        <v>0</v>
      </c>
      <c r="P125" s="281">
        <f t="shared" si="10"/>
        <v>4.3600000000000003</v>
      </c>
      <c r="Q125" s="395">
        <v>163</v>
      </c>
      <c r="R125" s="395">
        <v>125.41</v>
      </c>
      <c r="S125" s="395">
        <v>0</v>
      </c>
      <c r="T125" s="281">
        <v>0</v>
      </c>
      <c r="U125" s="281">
        <v>0</v>
      </c>
      <c r="V125" s="281">
        <f t="shared" si="8"/>
        <v>0</v>
      </c>
      <c r="W125" s="283"/>
      <c r="X125" s="284">
        <v>0</v>
      </c>
      <c r="Y125" s="395">
        <v>0</v>
      </c>
      <c r="Z125" s="395">
        <v>0</v>
      </c>
      <c r="AA125" s="399"/>
      <c r="AB125" s="395">
        <f t="shared" si="7"/>
        <v>161.53</v>
      </c>
      <c r="AC125" s="435"/>
    </row>
    <row r="126" spans="1:239" s="155" customFormat="1" hidden="1">
      <c r="A126" s="391" t="s">
        <v>467</v>
      </c>
      <c r="B126" s="392" t="s">
        <v>468</v>
      </c>
      <c r="C126" s="269" t="s">
        <v>683</v>
      </c>
      <c r="D126" s="267" t="s">
        <v>684</v>
      </c>
      <c r="E126" s="267">
        <v>3</v>
      </c>
      <c r="F126" s="273" t="s">
        <v>717</v>
      </c>
      <c r="G126" s="271" t="s">
        <v>906</v>
      </c>
      <c r="H126" s="271"/>
      <c r="I126" s="394" t="s">
        <v>936</v>
      </c>
      <c r="J126" s="394"/>
      <c r="K126" s="281">
        <v>157.16999999999999</v>
      </c>
      <c r="L126" s="282">
        <v>22</v>
      </c>
      <c r="M126" s="281">
        <f t="shared" si="9"/>
        <v>135.16999999999999</v>
      </c>
      <c r="N126" s="281">
        <v>2.68</v>
      </c>
      <c r="O126" s="281">
        <v>0</v>
      </c>
      <c r="P126" s="281">
        <f t="shared" si="10"/>
        <v>2.68</v>
      </c>
      <c r="Q126" s="395">
        <v>0</v>
      </c>
      <c r="R126" s="395">
        <v>0</v>
      </c>
      <c r="S126" s="395">
        <v>0</v>
      </c>
      <c r="T126" s="281">
        <v>64</v>
      </c>
      <c r="U126" s="281">
        <v>0</v>
      </c>
      <c r="V126" s="281">
        <f t="shared" si="8"/>
        <v>64</v>
      </c>
      <c r="W126" s="283" t="s">
        <v>735</v>
      </c>
      <c r="X126" s="284">
        <v>0</v>
      </c>
      <c r="Y126" s="395">
        <v>0</v>
      </c>
      <c r="Z126" s="395">
        <v>0</v>
      </c>
      <c r="AA126" s="399"/>
      <c r="AB126" s="395">
        <f t="shared" si="7"/>
        <v>201.85</v>
      </c>
      <c r="AC126" s="435"/>
    </row>
    <row r="127" spans="1:239" s="155" customFormat="1" hidden="1">
      <c r="A127" s="391" t="s">
        <v>467</v>
      </c>
      <c r="B127" s="392" t="s">
        <v>468</v>
      </c>
      <c r="C127" s="269" t="s">
        <v>685</v>
      </c>
      <c r="D127" s="268" t="s">
        <v>686</v>
      </c>
      <c r="E127" s="267">
        <v>3</v>
      </c>
      <c r="F127" s="274" t="s">
        <v>724</v>
      </c>
      <c r="G127" s="271" t="s">
        <v>906</v>
      </c>
      <c r="H127" s="271"/>
      <c r="I127" s="394" t="s">
        <v>1024</v>
      </c>
      <c r="J127" s="394"/>
      <c r="K127" s="281">
        <v>157.16999999999999</v>
      </c>
      <c r="L127" s="282">
        <v>22</v>
      </c>
      <c r="M127" s="281">
        <f t="shared" si="9"/>
        <v>135.16999999999999</v>
      </c>
      <c r="N127" s="281">
        <v>2.68</v>
      </c>
      <c r="O127" s="281">
        <v>0</v>
      </c>
      <c r="P127" s="281">
        <f t="shared" si="10"/>
        <v>2.68</v>
      </c>
      <c r="Q127" s="395">
        <v>141</v>
      </c>
      <c r="R127" s="395">
        <v>66</v>
      </c>
      <c r="S127" s="395">
        <v>0</v>
      </c>
      <c r="T127" s="281">
        <v>0</v>
      </c>
      <c r="U127" s="281">
        <v>0</v>
      </c>
      <c r="V127" s="281">
        <f t="shared" si="8"/>
        <v>0</v>
      </c>
      <c r="W127" s="283"/>
      <c r="X127" s="284">
        <v>0</v>
      </c>
      <c r="Y127" s="395">
        <v>0</v>
      </c>
      <c r="Z127" s="395">
        <v>0</v>
      </c>
      <c r="AA127" s="399"/>
      <c r="AB127" s="395">
        <f t="shared" si="7"/>
        <v>137.85</v>
      </c>
      <c r="AC127" s="435"/>
    </row>
    <row r="128" spans="1:239" s="155" customFormat="1">
      <c r="A128" s="391" t="s">
        <v>467</v>
      </c>
      <c r="B128" s="392" t="s">
        <v>468</v>
      </c>
      <c r="C128" s="272">
        <v>50934384487</v>
      </c>
      <c r="D128" s="268" t="s">
        <v>687</v>
      </c>
      <c r="E128" s="268">
        <v>2</v>
      </c>
      <c r="F128" s="273" t="s">
        <v>713</v>
      </c>
      <c r="G128" s="271" t="s">
        <v>906</v>
      </c>
      <c r="H128" s="271"/>
      <c r="I128" s="394" t="s">
        <v>1025</v>
      </c>
      <c r="J128" s="394"/>
      <c r="K128" s="281">
        <v>157.16999999999999</v>
      </c>
      <c r="L128" s="282">
        <v>0</v>
      </c>
      <c r="M128" s="281">
        <f t="shared" si="9"/>
        <v>157.16999999999999</v>
      </c>
      <c r="N128" s="281">
        <v>5.36</v>
      </c>
      <c r="O128" s="281">
        <v>0</v>
      </c>
      <c r="P128" s="281">
        <f t="shared" si="10"/>
        <v>5.36</v>
      </c>
      <c r="Q128" s="395">
        <v>0</v>
      </c>
      <c r="R128" s="395">
        <v>0</v>
      </c>
      <c r="S128" s="395">
        <v>0</v>
      </c>
      <c r="T128" s="281">
        <v>0</v>
      </c>
      <c r="U128" s="281">
        <v>0</v>
      </c>
      <c r="V128" s="281">
        <f t="shared" si="8"/>
        <v>0</v>
      </c>
      <c r="W128" s="283"/>
      <c r="X128" s="284">
        <v>113.08</v>
      </c>
      <c r="Y128" s="395">
        <v>0</v>
      </c>
      <c r="Z128" s="395">
        <v>0</v>
      </c>
      <c r="AA128" s="399"/>
      <c r="AB128" s="395">
        <f t="shared" si="7"/>
        <v>162.53</v>
      </c>
      <c r="AC128" s="435"/>
    </row>
    <row r="129" spans="1:29" s="155" customFormat="1">
      <c r="A129" s="391" t="s">
        <v>467</v>
      </c>
      <c r="B129" s="392" t="s">
        <v>468</v>
      </c>
      <c r="C129" s="269" t="s">
        <v>688</v>
      </c>
      <c r="D129" s="267" t="s">
        <v>689</v>
      </c>
      <c r="E129" s="267">
        <v>2</v>
      </c>
      <c r="F129" s="273" t="s">
        <v>708</v>
      </c>
      <c r="G129" s="271" t="s">
        <v>906</v>
      </c>
      <c r="H129" s="271"/>
      <c r="I129" s="394" t="s">
        <v>985</v>
      </c>
      <c r="J129" s="394"/>
      <c r="K129" s="281">
        <v>157.16999999999999</v>
      </c>
      <c r="L129" s="282">
        <v>25.05</v>
      </c>
      <c r="M129" s="281">
        <f t="shared" si="9"/>
        <v>132.11999999999998</v>
      </c>
      <c r="N129" s="281">
        <v>2.68</v>
      </c>
      <c r="O129" s="281">
        <v>0</v>
      </c>
      <c r="P129" s="281">
        <f t="shared" si="10"/>
        <v>2.68</v>
      </c>
      <c r="Q129" s="395">
        <v>0</v>
      </c>
      <c r="R129" s="395">
        <v>0</v>
      </c>
      <c r="S129" s="395">
        <v>0</v>
      </c>
      <c r="T129" s="281">
        <v>0</v>
      </c>
      <c r="U129" s="281">
        <v>0</v>
      </c>
      <c r="V129" s="281">
        <f t="shared" si="8"/>
        <v>0</v>
      </c>
      <c r="W129" s="283"/>
      <c r="X129" s="284">
        <v>0</v>
      </c>
      <c r="Y129" s="395">
        <v>0</v>
      </c>
      <c r="Z129" s="395">
        <v>0</v>
      </c>
      <c r="AA129" s="399"/>
      <c r="AB129" s="395">
        <f t="shared" si="7"/>
        <v>134.79999999999998</v>
      </c>
      <c r="AC129" s="435"/>
    </row>
    <row r="130" spans="1:29" s="155" customFormat="1">
      <c r="A130" s="391" t="s">
        <v>467</v>
      </c>
      <c r="B130" s="392" t="s">
        <v>468</v>
      </c>
      <c r="C130" s="269" t="s">
        <v>690</v>
      </c>
      <c r="D130" s="267" t="s">
        <v>691</v>
      </c>
      <c r="E130" s="267">
        <v>2</v>
      </c>
      <c r="F130" s="274" t="s">
        <v>715</v>
      </c>
      <c r="G130" s="271" t="s">
        <v>906</v>
      </c>
      <c r="H130" s="271"/>
      <c r="I130" s="394" t="s">
        <v>1026</v>
      </c>
      <c r="J130" s="394"/>
      <c r="K130" s="281">
        <v>157.16999999999999</v>
      </c>
      <c r="L130" s="282">
        <v>24.18</v>
      </c>
      <c r="M130" s="281">
        <f t="shared" si="9"/>
        <v>132.98999999999998</v>
      </c>
      <c r="N130" s="281">
        <v>2.68</v>
      </c>
      <c r="O130" s="281">
        <v>0</v>
      </c>
      <c r="P130" s="281">
        <f t="shared" si="10"/>
        <v>2.68</v>
      </c>
      <c r="Q130" s="395">
        <v>0</v>
      </c>
      <c r="R130" s="395">
        <v>0</v>
      </c>
      <c r="S130" s="395">
        <v>0</v>
      </c>
      <c r="T130" s="281">
        <v>282.06</v>
      </c>
      <c r="U130" s="281">
        <v>0</v>
      </c>
      <c r="V130" s="281">
        <f t="shared" si="8"/>
        <v>282.06</v>
      </c>
      <c r="W130" s="283" t="s">
        <v>736</v>
      </c>
      <c r="X130" s="284">
        <v>0</v>
      </c>
      <c r="Y130" s="395">
        <v>0</v>
      </c>
      <c r="Z130" s="395">
        <v>0</v>
      </c>
      <c r="AA130" s="399"/>
      <c r="AB130" s="395">
        <f t="shared" si="7"/>
        <v>417.73</v>
      </c>
      <c r="AC130" s="435"/>
    </row>
    <row r="131" spans="1:29" s="155" customFormat="1">
      <c r="A131" s="391" t="s">
        <v>467</v>
      </c>
      <c r="B131" s="392" t="s">
        <v>468</v>
      </c>
      <c r="C131" s="269" t="s">
        <v>692</v>
      </c>
      <c r="D131" s="268" t="s">
        <v>693</v>
      </c>
      <c r="E131" s="267">
        <v>2</v>
      </c>
      <c r="F131" s="273" t="s">
        <v>713</v>
      </c>
      <c r="G131" s="271" t="s">
        <v>906</v>
      </c>
      <c r="H131" s="271"/>
      <c r="I131" s="394" t="s">
        <v>1027</v>
      </c>
      <c r="J131" s="394"/>
      <c r="K131" s="281">
        <v>157.16999999999999</v>
      </c>
      <c r="L131" s="282">
        <v>2.4300000000000002</v>
      </c>
      <c r="M131" s="281">
        <f t="shared" si="9"/>
        <v>154.73999999999998</v>
      </c>
      <c r="N131" s="281">
        <v>5.36</v>
      </c>
      <c r="O131" s="281">
        <v>0</v>
      </c>
      <c r="P131" s="281">
        <f t="shared" si="10"/>
        <v>5.36</v>
      </c>
      <c r="Q131" s="395">
        <v>0</v>
      </c>
      <c r="R131" s="395">
        <v>0</v>
      </c>
      <c r="S131" s="395">
        <v>0</v>
      </c>
      <c r="T131" s="281">
        <v>0</v>
      </c>
      <c r="U131" s="281">
        <v>0</v>
      </c>
      <c r="V131" s="281">
        <f t="shared" si="8"/>
        <v>0</v>
      </c>
      <c r="W131" s="283"/>
      <c r="X131" s="284">
        <v>0</v>
      </c>
      <c r="Y131" s="395">
        <v>0</v>
      </c>
      <c r="Z131" s="395">
        <v>0</v>
      </c>
      <c r="AA131" s="399"/>
      <c r="AB131" s="395">
        <f t="shared" si="7"/>
        <v>160.1</v>
      </c>
      <c r="AC131" s="435"/>
    </row>
    <row r="132" spans="1:29" s="155" customFormat="1">
      <c r="A132" s="391" t="s">
        <v>467</v>
      </c>
      <c r="B132" s="392" t="s">
        <v>468</v>
      </c>
      <c r="C132" s="269" t="s">
        <v>694</v>
      </c>
      <c r="D132" s="267" t="s">
        <v>695</v>
      </c>
      <c r="E132" s="267">
        <v>2</v>
      </c>
      <c r="F132" s="274" t="s">
        <v>721</v>
      </c>
      <c r="G132" s="271" t="s">
        <v>906</v>
      </c>
      <c r="H132" s="271"/>
      <c r="I132" s="394" t="s">
        <v>1028</v>
      </c>
      <c r="J132" s="394"/>
      <c r="K132" s="281">
        <v>157.16999999999999</v>
      </c>
      <c r="L132" s="282">
        <v>16.05</v>
      </c>
      <c r="M132" s="281">
        <f t="shared" si="9"/>
        <v>141.11999999999998</v>
      </c>
      <c r="N132" s="281">
        <v>2.68</v>
      </c>
      <c r="O132" s="281">
        <v>0</v>
      </c>
      <c r="P132" s="281">
        <f t="shared" si="10"/>
        <v>2.68</v>
      </c>
      <c r="Q132" s="395">
        <v>0</v>
      </c>
      <c r="R132" s="395">
        <v>0</v>
      </c>
      <c r="S132" s="395">
        <v>0</v>
      </c>
      <c r="T132" s="281">
        <v>835.36</v>
      </c>
      <c r="U132" s="281">
        <v>0</v>
      </c>
      <c r="V132" s="281">
        <f t="shared" si="8"/>
        <v>835.36</v>
      </c>
      <c r="W132" s="283" t="s">
        <v>736</v>
      </c>
      <c r="X132" s="284">
        <v>0</v>
      </c>
      <c r="Y132" s="395">
        <v>0</v>
      </c>
      <c r="Z132" s="395">
        <v>0</v>
      </c>
      <c r="AA132" s="399"/>
      <c r="AB132" s="395">
        <f t="shared" ref="AB132:AB139" si="11">SUM(Z132,V132,S132,P132,M132,J132,I132)</f>
        <v>979.16</v>
      </c>
      <c r="AC132" s="435"/>
    </row>
    <row r="133" spans="1:29" s="155" customFormat="1">
      <c r="A133" s="391" t="s">
        <v>467</v>
      </c>
      <c r="B133" s="392" t="s">
        <v>468</v>
      </c>
      <c r="C133" s="269" t="s">
        <v>696</v>
      </c>
      <c r="D133" s="267" t="s">
        <v>697</v>
      </c>
      <c r="E133" s="267">
        <v>2</v>
      </c>
      <c r="F133" s="273" t="s">
        <v>708</v>
      </c>
      <c r="G133" s="271" t="s">
        <v>906</v>
      </c>
      <c r="H133" s="271"/>
      <c r="I133" s="394" t="s">
        <v>1029</v>
      </c>
      <c r="J133" s="394"/>
      <c r="K133" s="281">
        <v>157.16999999999999</v>
      </c>
      <c r="L133" s="282">
        <v>25.05</v>
      </c>
      <c r="M133" s="281">
        <f t="shared" si="9"/>
        <v>132.11999999999998</v>
      </c>
      <c r="N133" s="281">
        <v>2.68</v>
      </c>
      <c r="O133" s="281">
        <v>0</v>
      </c>
      <c r="P133" s="281">
        <f t="shared" si="10"/>
        <v>2.68</v>
      </c>
      <c r="Q133" s="395">
        <v>174</v>
      </c>
      <c r="R133" s="395">
        <v>75.150000000000006</v>
      </c>
      <c r="S133" s="395">
        <v>0</v>
      </c>
      <c r="T133" s="281">
        <f>64+167</f>
        <v>231</v>
      </c>
      <c r="U133" s="281">
        <v>0</v>
      </c>
      <c r="V133" s="281">
        <f t="shared" ref="V133:V139" si="12">T133-U133</f>
        <v>231</v>
      </c>
      <c r="W133" s="283" t="s">
        <v>955</v>
      </c>
      <c r="X133" s="284">
        <v>48.62</v>
      </c>
      <c r="Y133" s="395">
        <v>0</v>
      </c>
      <c r="Z133" s="395">
        <v>0</v>
      </c>
      <c r="AA133" s="399"/>
      <c r="AB133" s="395">
        <f t="shared" si="11"/>
        <v>365.79999999999995</v>
      </c>
      <c r="AC133" s="435"/>
    </row>
    <row r="134" spans="1:29" s="155" customFormat="1" hidden="1">
      <c r="A134" s="391" t="s">
        <v>467</v>
      </c>
      <c r="B134" s="392" t="s">
        <v>468</v>
      </c>
      <c r="C134" s="269" t="s">
        <v>698</v>
      </c>
      <c r="D134" s="267" t="s">
        <v>699</v>
      </c>
      <c r="E134" s="267">
        <v>3</v>
      </c>
      <c r="F134" s="273" t="s">
        <v>717</v>
      </c>
      <c r="G134" s="271" t="s">
        <v>906</v>
      </c>
      <c r="H134" s="271"/>
      <c r="I134" s="394" t="s">
        <v>1030</v>
      </c>
      <c r="J134" s="394"/>
      <c r="K134" s="281">
        <v>157.16999999999999</v>
      </c>
      <c r="L134" s="282">
        <v>22</v>
      </c>
      <c r="M134" s="281">
        <f t="shared" si="9"/>
        <v>135.16999999999999</v>
      </c>
      <c r="N134" s="281">
        <v>2.68</v>
      </c>
      <c r="O134" s="281">
        <v>0</v>
      </c>
      <c r="P134" s="281">
        <f t="shared" si="10"/>
        <v>2.68</v>
      </c>
      <c r="Q134" s="395">
        <v>0</v>
      </c>
      <c r="R134" s="395">
        <v>0</v>
      </c>
      <c r="S134" s="395">
        <v>0</v>
      </c>
      <c r="T134" s="281">
        <f>64+36.67</f>
        <v>100.67</v>
      </c>
      <c r="U134" s="281">
        <v>0</v>
      </c>
      <c r="V134" s="281">
        <f t="shared" si="12"/>
        <v>100.67</v>
      </c>
      <c r="W134" s="283" t="s">
        <v>955</v>
      </c>
      <c r="X134" s="284">
        <v>48.62</v>
      </c>
      <c r="Y134" s="395">
        <v>0</v>
      </c>
      <c r="Z134" s="395">
        <v>0</v>
      </c>
      <c r="AA134" s="399"/>
      <c r="AB134" s="395">
        <f t="shared" si="11"/>
        <v>238.51999999999998</v>
      </c>
      <c r="AC134" s="435"/>
    </row>
    <row r="135" spans="1:29" s="155" customFormat="1" hidden="1">
      <c r="A135" s="391" t="s">
        <v>467</v>
      </c>
      <c r="B135" s="392" t="s">
        <v>468</v>
      </c>
      <c r="C135" s="269" t="s">
        <v>700</v>
      </c>
      <c r="D135" s="267" t="s">
        <v>701</v>
      </c>
      <c r="E135" s="267">
        <v>3</v>
      </c>
      <c r="F135" s="274" t="s">
        <v>733</v>
      </c>
      <c r="G135" s="271" t="s">
        <v>906</v>
      </c>
      <c r="H135" s="271"/>
      <c r="I135" s="394" t="s">
        <v>960</v>
      </c>
      <c r="J135" s="394"/>
      <c r="K135" s="281">
        <v>157.16999999999999</v>
      </c>
      <c r="L135" s="282">
        <v>22</v>
      </c>
      <c r="M135" s="281">
        <f t="shared" si="9"/>
        <v>135.16999999999999</v>
      </c>
      <c r="N135" s="281">
        <v>2.68</v>
      </c>
      <c r="O135" s="281">
        <v>0</v>
      </c>
      <c r="P135" s="281">
        <f t="shared" si="10"/>
        <v>2.68</v>
      </c>
      <c r="Q135" s="395">
        <v>0</v>
      </c>
      <c r="R135" s="395">
        <v>0</v>
      </c>
      <c r="S135" s="395">
        <v>0</v>
      </c>
      <c r="T135" s="281">
        <v>64</v>
      </c>
      <c r="U135" s="281">
        <v>0</v>
      </c>
      <c r="V135" s="281">
        <f t="shared" si="12"/>
        <v>64</v>
      </c>
      <c r="W135" s="283" t="s">
        <v>735</v>
      </c>
      <c r="X135" s="284">
        <v>0</v>
      </c>
      <c r="Y135" s="395">
        <v>0</v>
      </c>
      <c r="Z135" s="395">
        <v>0</v>
      </c>
      <c r="AA135" s="399"/>
      <c r="AB135" s="395">
        <f t="shared" si="11"/>
        <v>201.85</v>
      </c>
      <c r="AC135" s="435"/>
    </row>
    <row r="136" spans="1:29" s="155" customFormat="1">
      <c r="A136" s="391" t="s">
        <v>467</v>
      </c>
      <c r="B136" s="392" t="s">
        <v>468</v>
      </c>
      <c r="C136" s="269" t="s">
        <v>702</v>
      </c>
      <c r="D136" s="267" t="s">
        <v>703</v>
      </c>
      <c r="E136" s="267">
        <v>2</v>
      </c>
      <c r="F136" s="273" t="s">
        <v>708</v>
      </c>
      <c r="G136" s="271" t="s">
        <v>906</v>
      </c>
      <c r="H136" s="271"/>
      <c r="I136" s="394" t="s">
        <v>935</v>
      </c>
      <c r="J136" s="394"/>
      <c r="K136" s="281">
        <v>157.16999999999999</v>
      </c>
      <c r="L136" s="282">
        <v>25.05</v>
      </c>
      <c r="M136" s="281">
        <f t="shared" si="9"/>
        <v>132.11999999999998</v>
      </c>
      <c r="N136" s="281">
        <v>2.68</v>
      </c>
      <c r="O136" s="281">
        <v>0</v>
      </c>
      <c r="P136" s="281">
        <f t="shared" si="10"/>
        <v>2.68</v>
      </c>
      <c r="Q136" s="395">
        <v>103.5</v>
      </c>
      <c r="R136" s="395">
        <v>75.150000000000006</v>
      </c>
      <c r="S136" s="395">
        <v>0</v>
      </c>
      <c r="T136" s="281">
        <v>0</v>
      </c>
      <c r="U136" s="281">
        <v>0</v>
      </c>
      <c r="V136" s="281">
        <f t="shared" si="12"/>
        <v>0</v>
      </c>
      <c r="W136" s="283"/>
      <c r="X136" s="284">
        <v>48.62</v>
      </c>
      <c r="Y136" s="395">
        <v>0</v>
      </c>
      <c r="Z136" s="395">
        <v>0</v>
      </c>
      <c r="AA136" s="399"/>
      <c r="AB136" s="395">
        <f t="shared" si="11"/>
        <v>134.79999999999998</v>
      </c>
      <c r="AC136" s="435"/>
    </row>
    <row r="137" spans="1:29" s="155" customFormat="1">
      <c r="A137" s="391" t="s">
        <v>467</v>
      </c>
      <c r="B137" s="392" t="s">
        <v>468</v>
      </c>
      <c r="C137" s="269">
        <v>76931382420</v>
      </c>
      <c r="D137" s="267" t="s">
        <v>704</v>
      </c>
      <c r="E137" s="267">
        <v>2</v>
      </c>
      <c r="F137" s="273" t="s">
        <v>713</v>
      </c>
      <c r="G137" s="271" t="s">
        <v>906</v>
      </c>
      <c r="H137" s="271"/>
      <c r="I137" s="394" t="s">
        <v>1031</v>
      </c>
      <c r="J137" s="394"/>
      <c r="K137" s="281">
        <v>157.16999999999999</v>
      </c>
      <c r="L137" s="282">
        <v>2.4300000000000002</v>
      </c>
      <c r="M137" s="281">
        <f>K137-L137</f>
        <v>154.73999999999998</v>
      </c>
      <c r="N137" s="281">
        <v>5.36</v>
      </c>
      <c r="O137" s="281">
        <v>0</v>
      </c>
      <c r="P137" s="281">
        <f t="shared" si="10"/>
        <v>5.36</v>
      </c>
      <c r="Q137" s="395">
        <v>0</v>
      </c>
      <c r="R137" s="395">
        <v>0</v>
      </c>
      <c r="S137" s="395">
        <v>0</v>
      </c>
      <c r="T137" s="281">
        <v>0</v>
      </c>
      <c r="U137" s="281">
        <v>0</v>
      </c>
      <c r="V137" s="281">
        <f t="shared" si="12"/>
        <v>0</v>
      </c>
      <c r="W137" s="283"/>
      <c r="X137" s="284">
        <v>97.45</v>
      </c>
      <c r="Y137" s="395">
        <v>0</v>
      </c>
      <c r="Z137" s="395">
        <v>0</v>
      </c>
      <c r="AA137" s="399"/>
      <c r="AB137" s="395">
        <f t="shared" si="11"/>
        <v>160.1</v>
      </c>
      <c r="AC137" s="435"/>
    </row>
    <row r="138" spans="1:29" s="155" customFormat="1">
      <c r="A138" s="391" t="s">
        <v>467</v>
      </c>
      <c r="B138" s="392" t="s">
        <v>468</v>
      </c>
      <c r="C138" s="269" t="s">
        <v>705</v>
      </c>
      <c r="D138" s="267" t="s">
        <v>706</v>
      </c>
      <c r="E138" s="267">
        <v>2</v>
      </c>
      <c r="F138" s="273" t="s">
        <v>708</v>
      </c>
      <c r="G138" s="271" t="s">
        <v>906</v>
      </c>
      <c r="H138" s="271"/>
      <c r="I138" s="394" t="s">
        <v>1032</v>
      </c>
      <c r="J138" s="394"/>
      <c r="K138" s="281">
        <v>157.16999999999999</v>
      </c>
      <c r="L138" s="282">
        <v>25.05</v>
      </c>
      <c r="M138" s="281">
        <f t="shared" si="9"/>
        <v>132.11999999999998</v>
      </c>
      <c r="N138" s="281">
        <v>2.68</v>
      </c>
      <c r="O138" s="281">
        <v>0</v>
      </c>
      <c r="P138" s="281">
        <f t="shared" si="10"/>
        <v>2.68</v>
      </c>
      <c r="Q138" s="395">
        <v>110.4</v>
      </c>
      <c r="R138" s="395">
        <v>75.150000000000006</v>
      </c>
      <c r="S138" s="395">
        <v>0</v>
      </c>
      <c r="T138" s="281">
        <v>250.51</v>
      </c>
      <c r="U138" s="281">
        <v>0</v>
      </c>
      <c r="V138" s="281">
        <f t="shared" si="12"/>
        <v>250.51</v>
      </c>
      <c r="W138" s="283" t="s">
        <v>736</v>
      </c>
      <c r="X138" s="284">
        <v>0</v>
      </c>
      <c r="Y138" s="395">
        <v>0</v>
      </c>
      <c r="Z138" s="395">
        <v>0</v>
      </c>
      <c r="AA138" s="399"/>
      <c r="AB138" s="395">
        <f t="shared" si="11"/>
        <v>385.30999999999995</v>
      </c>
      <c r="AC138" s="435"/>
    </row>
    <row r="139" spans="1:29" s="155" customFormat="1">
      <c r="A139" s="391" t="s">
        <v>467</v>
      </c>
      <c r="B139" s="392" t="s">
        <v>468</v>
      </c>
      <c r="C139" s="269">
        <v>89866681491</v>
      </c>
      <c r="D139" s="267" t="s">
        <v>707</v>
      </c>
      <c r="E139" s="267">
        <v>2</v>
      </c>
      <c r="F139" s="273" t="s">
        <v>708</v>
      </c>
      <c r="G139" s="271" t="s">
        <v>906</v>
      </c>
      <c r="H139" s="405"/>
      <c r="I139" s="394" t="s">
        <v>935</v>
      </c>
      <c r="J139" s="394"/>
      <c r="K139" s="281">
        <v>157.16999999999999</v>
      </c>
      <c r="L139" s="282">
        <v>25.05</v>
      </c>
      <c r="M139" s="281">
        <f t="shared" si="9"/>
        <v>132.11999999999998</v>
      </c>
      <c r="N139" s="281">
        <v>2.68</v>
      </c>
      <c r="O139" s="281">
        <v>0</v>
      </c>
      <c r="P139" s="281">
        <f t="shared" si="10"/>
        <v>2.68</v>
      </c>
      <c r="Q139" s="395">
        <v>185.6</v>
      </c>
      <c r="R139" s="395">
        <v>47.97</v>
      </c>
      <c r="S139" s="395">
        <v>0</v>
      </c>
      <c r="T139" s="281">
        <v>0</v>
      </c>
      <c r="U139" s="281">
        <v>0</v>
      </c>
      <c r="V139" s="281">
        <f t="shared" si="12"/>
        <v>0</v>
      </c>
      <c r="W139" s="283"/>
      <c r="X139" s="284">
        <v>0</v>
      </c>
      <c r="Y139" s="399">
        <v>0</v>
      </c>
      <c r="Z139" s="399">
        <v>0</v>
      </c>
      <c r="AA139" s="399"/>
      <c r="AB139" s="395">
        <f t="shared" si="11"/>
        <v>134.79999999999998</v>
      </c>
      <c r="AC139" s="435"/>
    </row>
    <row r="140" spans="1:29" s="155" customFormat="1" hidden="1">
      <c r="A140" s="405"/>
      <c r="B140" s="406"/>
      <c r="C140" s="405"/>
      <c r="D140" s="407"/>
      <c r="E140" s="408"/>
      <c r="F140" s="405"/>
      <c r="G140" s="405"/>
      <c r="H140" s="405"/>
      <c r="I140" s="415"/>
      <c r="J140" s="415"/>
      <c r="K140" s="416">
        <v>0</v>
      </c>
      <c r="L140" s="416">
        <v>0</v>
      </c>
      <c r="M140" s="416">
        <v>0</v>
      </c>
      <c r="N140" s="416">
        <v>0</v>
      </c>
      <c r="O140" s="416">
        <v>0</v>
      </c>
      <c r="P140" s="416">
        <v>0</v>
      </c>
      <c r="Q140" s="416">
        <v>0</v>
      </c>
      <c r="R140" s="416">
        <v>0</v>
      </c>
      <c r="S140" s="416">
        <v>0</v>
      </c>
      <c r="T140" s="416">
        <v>0</v>
      </c>
      <c r="U140" s="416">
        <v>0</v>
      </c>
      <c r="V140" s="416">
        <v>0</v>
      </c>
      <c r="W140" s="416"/>
      <c r="X140" s="416">
        <v>0</v>
      </c>
      <c r="Y140" s="416">
        <v>0</v>
      </c>
      <c r="Z140" s="416">
        <v>0</v>
      </c>
      <c r="AA140" s="416"/>
      <c r="AB140" s="416">
        <v>0</v>
      </c>
      <c r="AC140" s="435"/>
    </row>
    <row r="141" spans="1:29" s="155" customFormat="1" hidden="1">
      <c r="A141" s="405"/>
      <c r="B141" s="406"/>
      <c r="C141" s="405"/>
      <c r="D141" s="407"/>
      <c r="E141" s="408"/>
      <c r="F141" s="405"/>
      <c r="G141" s="405"/>
      <c r="H141" s="405"/>
      <c r="I141" s="415"/>
      <c r="J141" s="415"/>
      <c r="K141" s="416">
        <v>0</v>
      </c>
      <c r="L141" s="416">
        <v>0</v>
      </c>
      <c r="M141" s="416">
        <v>0</v>
      </c>
      <c r="N141" s="416">
        <v>0</v>
      </c>
      <c r="O141" s="416">
        <v>0</v>
      </c>
      <c r="P141" s="416">
        <v>0</v>
      </c>
      <c r="Q141" s="416">
        <v>0</v>
      </c>
      <c r="R141" s="416">
        <v>0</v>
      </c>
      <c r="S141" s="416">
        <v>0</v>
      </c>
      <c r="T141" s="416">
        <v>0</v>
      </c>
      <c r="U141" s="416">
        <v>0</v>
      </c>
      <c r="V141" s="416">
        <v>0</v>
      </c>
      <c r="W141" s="416"/>
      <c r="X141" s="416">
        <v>0</v>
      </c>
      <c r="Y141" s="416">
        <v>0</v>
      </c>
      <c r="Z141" s="416">
        <v>0</v>
      </c>
      <c r="AA141" s="416"/>
      <c r="AB141" s="416">
        <v>0</v>
      </c>
      <c r="AC141" s="435"/>
    </row>
    <row r="142" spans="1:29" s="155" customFormat="1" hidden="1">
      <c r="A142" s="405"/>
      <c r="B142" s="406"/>
      <c r="C142" s="405"/>
      <c r="D142" s="407"/>
      <c r="E142" s="408"/>
      <c r="F142" s="405"/>
      <c r="G142" s="405"/>
      <c r="H142" s="405"/>
      <c r="I142" s="415"/>
      <c r="J142" s="415"/>
      <c r="K142" s="416">
        <v>0</v>
      </c>
      <c r="L142" s="416">
        <v>0</v>
      </c>
      <c r="M142" s="416">
        <v>0</v>
      </c>
      <c r="N142" s="416">
        <v>0</v>
      </c>
      <c r="O142" s="416">
        <v>0</v>
      </c>
      <c r="P142" s="416">
        <v>0</v>
      </c>
      <c r="Q142" s="416">
        <v>0</v>
      </c>
      <c r="R142" s="416">
        <v>0</v>
      </c>
      <c r="S142" s="416">
        <v>0</v>
      </c>
      <c r="T142" s="416">
        <v>0</v>
      </c>
      <c r="U142" s="416">
        <v>0</v>
      </c>
      <c r="V142" s="416">
        <v>0</v>
      </c>
      <c r="W142" s="416"/>
      <c r="X142" s="416">
        <v>0</v>
      </c>
      <c r="Y142" s="416">
        <v>0</v>
      </c>
      <c r="Z142" s="416">
        <v>0</v>
      </c>
      <c r="AA142" s="416"/>
      <c r="AB142" s="416">
        <v>0</v>
      </c>
      <c r="AC142" s="435"/>
    </row>
    <row r="143" spans="1:29" s="155" customFormat="1" hidden="1">
      <c r="A143" s="405"/>
      <c r="B143" s="406"/>
      <c r="C143" s="405"/>
      <c r="D143" s="407"/>
      <c r="E143" s="408"/>
      <c r="F143" s="405"/>
      <c r="G143" s="405"/>
      <c r="H143" s="405"/>
      <c r="I143" s="415"/>
      <c r="J143" s="415"/>
      <c r="K143" s="416">
        <v>0</v>
      </c>
      <c r="L143" s="416">
        <v>0</v>
      </c>
      <c r="M143" s="416">
        <v>0</v>
      </c>
      <c r="N143" s="416">
        <v>0</v>
      </c>
      <c r="O143" s="416">
        <v>0</v>
      </c>
      <c r="P143" s="416">
        <v>0</v>
      </c>
      <c r="Q143" s="416">
        <v>0</v>
      </c>
      <c r="R143" s="416">
        <v>0</v>
      </c>
      <c r="S143" s="416">
        <v>0</v>
      </c>
      <c r="T143" s="416">
        <v>0</v>
      </c>
      <c r="U143" s="416">
        <v>0</v>
      </c>
      <c r="V143" s="416">
        <v>0</v>
      </c>
      <c r="W143" s="416"/>
      <c r="X143" s="416">
        <v>0</v>
      </c>
      <c r="Y143" s="416">
        <v>0</v>
      </c>
      <c r="Z143" s="416">
        <v>0</v>
      </c>
      <c r="AA143" s="416"/>
      <c r="AB143" s="416">
        <v>0</v>
      </c>
      <c r="AC143" s="435"/>
    </row>
    <row r="144" spans="1:29" s="155" customFormat="1" hidden="1">
      <c r="A144" s="405"/>
      <c r="B144" s="406"/>
      <c r="C144" s="405"/>
      <c r="D144" s="407"/>
      <c r="E144" s="408"/>
      <c r="F144" s="405"/>
      <c r="G144" s="405"/>
      <c r="H144" s="405"/>
      <c r="I144" s="415"/>
      <c r="J144" s="415"/>
      <c r="K144" s="416">
        <v>0</v>
      </c>
      <c r="L144" s="416">
        <v>0</v>
      </c>
      <c r="M144" s="416">
        <v>0</v>
      </c>
      <c r="N144" s="416">
        <v>0</v>
      </c>
      <c r="O144" s="416">
        <v>0</v>
      </c>
      <c r="P144" s="416">
        <v>0</v>
      </c>
      <c r="Q144" s="416">
        <v>0</v>
      </c>
      <c r="R144" s="416">
        <v>0</v>
      </c>
      <c r="S144" s="416">
        <v>0</v>
      </c>
      <c r="T144" s="416">
        <v>0</v>
      </c>
      <c r="U144" s="416">
        <v>0</v>
      </c>
      <c r="V144" s="416">
        <v>0</v>
      </c>
      <c r="W144" s="416"/>
      <c r="X144" s="416">
        <v>0</v>
      </c>
      <c r="Y144" s="416">
        <v>0</v>
      </c>
      <c r="Z144" s="416">
        <v>0</v>
      </c>
      <c r="AA144" s="416"/>
      <c r="AB144" s="416">
        <v>0</v>
      </c>
      <c r="AC144" s="435"/>
    </row>
    <row r="145" spans="1:29" s="155" customFormat="1" hidden="1">
      <c r="A145" s="405"/>
      <c r="B145" s="406"/>
      <c r="C145" s="405"/>
      <c r="D145" s="407"/>
      <c r="E145" s="408"/>
      <c r="F145" s="405"/>
      <c r="G145" s="405"/>
      <c r="H145" s="405"/>
      <c r="I145" s="415"/>
      <c r="J145" s="415"/>
      <c r="K145" s="416">
        <v>0</v>
      </c>
      <c r="L145" s="416">
        <v>0</v>
      </c>
      <c r="M145" s="416">
        <v>0</v>
      </c>
      <c r="N145" s="416">
        <v>0</v>
      </c>
      <c r="O145" s="416">
        <v>0</v>
      </c>
      <c r="P145" s="416">
        <v>0</v>
      </c>
      <c r="Q145" s="416">
        <v>0</v>
      </c>
      <c r="R145" s="416">
        <v>0</v>
      </c>
      <c r="S145" s="416">
        <v>0</v>
      </c>
      <c r="T145" s="416">
        <v>0</v>
      </c>
      <c r="U145" s="416">
        <v>0</v>
      </c>
      <c r="V145" s="416">
        <v>0</v>
      </c>
      <c r="W145" s="416"/>
      <c r="X145" s="416">
        <v>0</v>
      </c>
      <c r="Y145" s="416">
        <v>0</v>
      </c>
      <c r="Z145" s="416">
        <v>0</v>
      </c>
      <c r="AA145" s="416"/>
      <c r="AB145" s="416">
        <v>0</v>
      </c>
      <c r="AC145" s="435"/>
    </row>
    <row r="146" spans="1:29" s="155" customFormat="1" hidden="1">
      <c r="A146" s="405"/>
      <c r="B146" s="406"/>
      <c r="C146" s="405"/>
      <c r="D146" s="404"/>
      <c r="E146" s="408"/>
      <c r="F146" s="405"/>
      <c r="G146" s="405"/>
      <c r="H146" s="405"/>
      <c r="I146" s="415"/>
      <c r="J146" s="415"/>
      <c r="K146" s="416">
        <v>0</v>
      </c>
      <c r="L146" s="416">
        <v>0</v>
      </c>
      <c r="M146" s="416">
        <v>0</v>
      </c>
      <c r="N146" s="416">
        <v>0</v>
      </c>
      <c r="O146" s="416">
        <v>0</v>
      </c>
      <c r="P146" s="416">
        <v>0</v>
      </c>
      <c r="Q146" s="416">
        <v>0</v>
      </c>
      <c r="R146" s="416">
        <v>0</v>
      </c>
      <c r="S146" s="416">
        <v>0</v>
      </c>
      <c r="T146" s="416">
        <v>0</v>
      </c>
      <c r="U146" s="416">
        <v>0</v>
      </c>
      <c r="V146" s="416">
        <v>0</v>
      </c>
      <c r="W146" s="416"/>
      <c r="X146" s="416">
        <v>0</v>
      </c>
      <c r="Y146" s="416">
        <v>0</v>
      </c>
      <c r="Z146" s="416">
        <v>0</v>
      </c>
      <c r="AA146" s="416"/>
      <c r="AB146" s="416">
        <v>0</v>
      </c>
      <c r="AC146" s="435"/>
    </row>
    <row r="147" spans="1:29" s="155" customFormat="1" hidden="1">
      <c r="A147" s="405"/>
      <c r="B147" s="406"/>
      <c r="C147" s="405"/>
      <c r="D147" s="407"/>
      <c r="E147" s="409"/>
      <c r="F147" s="405"/>
      <c r="G147" s="405"/>
      <c r="H147" s="405"/>
      <c r="I147" s="415"/>
      <c r="J147" s="415"/>
      <c r="K147" s="416">
        <v>0</v>
      </c>
      <c r="L147" s="416">
        <v>0</v>
      </c>
      <c r="M147" s="416">
        <v>0</v>
      </c>
      <c r="N147" s="416">
        <v>0</v>
      </c>
      <c r="O147" s="416">
        <v>0</v>
      </c>
      <c r="P147" s="416">
        <v>0</v>
      </c>
      <c r="Q147" s="416">
        <v>0</v>
      </c>
      <c r="R147" s="416">
        <v>0</v>
      </c>
      <c r="S147" s="416">
        <v>0</v>
      </c>
      <c r="T147" s="416">
        <v>0</v>
      </c>
      <c r="U147" s="416">
        <v>0</v>
      </c>
      <c r="V147" s="416">
        <v>0</v>
      </c>
      <c r="W147" s="416"/>
      <c r="X147" s="416">
        <v>0</v>
      </c>
      <c r="Y147" s="416">
        <v>0</v>
      </c>
      <c r="Z147" s="416">
        <v>0</v>
      </c>
      <c r="AA147" s="416"/>
      <c r="AB147" s="416">
        <v>0</v>
      </c>
      <c r="AC147" s="435"/>
    </row>
    <row r="148" spans="1:29" s="155" customFormat="1" hidden="1">
      <c r="A148" s="405"/>
      <c r="B148" s="406"/>
      <c r="C148" s="405"/>
      <c r="D148" s="407"/>
      <c r="E148" s="408"/>
      <c r="F148" s="405"/>
      <c r="G148" s="405"/>
      <c r="H148" s="405"/>
      <c r="I148" s="415"/>
      <c r="J148" s="415"/>
      <c r="K148" s="416">
        <v>0</v>
      </c>
      <c r="L148" s="416">
        <v>0</v>
      </c>
      <c r="M148" s="416">
        <v>0</v>
      </c>
      <c r="N148" s="416">
        <v>0</v>
      </c>
      <c r="O148" s="416">
        <v>0</v>
      </c>
      <c r="P148" s="416">
        <v>0</v>
      </c>
      <c r="Q148" s="416">
        <v>0</v>
      </c>
      <c r="R148" s="416">
        <v>0</v>
      </c>
      <c r="S148" s="416">
        <v>0</v>
      </c>
      <c r="T148" s="416">
        <v>0</v>
      </c>
      <c r="U148" s="416">
        <v>0</v>
      </c>
      <c r="V148" s="416">
        <v>0</v>
      </c>
      <c r="W148" s="416"/>
      <c r="X148" s="416">
        <v>0</v>
      </c>
      <c r="Y148" s="416">
        <v>0</v>
      </c>
      <c r="Z148" s="416">
        <v>0</v>
      </c>
      <c r="AA148" s="416"/>
      <c r="AB148" s="416">
        <v>0</v>
      </c>
      <c r="AC148" s="435"/>
    </row>
    <row r="149" spans="1:29" s="155" customFormat="1" hidden="1">
      <c r="A149" s="405"/>
      <c r="B149" s="406"/>
      <c r="C149" s="405"/>
      <c r="D149" s="407"/>
      <c r="E149" s="408"/>
      <c r="F149" s="405"/>
      <c r="G149" s="405"/>
      <c r="H149" s="405"/>
      <c r="I149" s="415"/>
      <c r="J149" s="415"/>
      <c r="K149" s="416">
        <v>0</v>
      </c>
      <c r="L149" s="416">
        <v>0</v>
      </c>
      <c r="M149" s="416">
        <v>0</v>
      </c>
      <c r="N149" s="416">
        <v>0</v>
      </c>
      <c r="O149" s="416">
        <v>0</v>
      </c>
      <c r="P149" s="416">
        <v>0</v>
      </c>
      <c r="Q149" s="416">
        <v>0</v>
      </c>
      <c r="R149" s="416">
        <v>0</v>
      </c>
      <c r="S149" s="416">
        <v>0</v>
      </c>
      <c r="T149" s="416">
        <v>0</v>
      </c>
      <c r="U149" s="416">
        <v>0</v>
      </c>
      <c r="V149" s="416">
        <v>0</v>
      </c>
      <c r="W149" s="416"/>
      <c r="X149" s="416">
        <v>0</v>
      </c>
      <c r="Y149" s="416">
        <v>0</v>
      </c>
      <c r="Z149" s="416">
        <v>0</v>
      </c>
      <c r="AA149" s="416"/>
      <c r="AB149" s="416">
        <v>0</v>
      </c>
      <c r="AC149" s="435"/>
    </row>
    <row r="150" spans="1:29" s="155" customFormat="1" hidden="1">
      <c r="A150" s="405"/>
      <c r="B150" s="406"/>
      <c r="C150" s="405"/>
      <c r="D150" s="407"/>
      <c r="E150" s="408"/>
      <c r="F150" s="405"/>
      <c r="G150" s="405"/>
      <c r="H150" s="405"/>
      <c r="I150" s="415"/>
      <c r="J150" s="415"/>
      <c r="K150" s="416">
        <v>0</v>
      </c>
      <c r="L150" s="416">
        <v>0</v>
      </c>
      <c r="M150" s="416">
        <v>0</v>
      </c>
      <c r="N150" s="416">
        <v>0</v>
      </c>
      <c r="O150" s="416">
        <v>0</v>
      </c>
      <c r="P150" s="416">
        <v>0</v>
      </c>
      <c r="Q150" s="416">
        <v>0</v>
      </c>
      <c r="R150" s="416">
        <v>0</v>
      </c>
      <c r="S150" s="416">
        <v>0</v>
      </c>
      <c r="T150" s="416">
        <v>0</v>
      </c>
      <c r="U150" s="416">
        <v>0</v>
      </c>
      <c r="V150" s="416">
        <v>0</v>
      </c>
      <c r="W150" s="416"/>
      <c r="X150" s="416">
        <v>0</v>
      </c>
      <c r="Y150" s="416">
        <v>0</v>
      </c>
      <c r="Z150" s="416">
        <v>0</v>
      </c>
      <c r="AA150" s="416"/>
      <c r="AB150" s="416">
        <v>0</v>
      </c>
      <c r="AC150" s="435"/>
    </row>
    <row r="151" spans="1:29" s="155" customFormat="1" hidden="1">
      <c r="A151" s="405"/>
      <c r="B151" s="406"/>
      <c r="C151" s="405"/>
      <c r="D151" s="404"/>
      <c r="E151" s="408"/>
      <c r="F151" s="405"/>
      <c r="G151" s="405"/>
      <c r="H151" s="405"/>
      <c r="I151" s="415"/>
      <c r="J151" s="415"/>
      <c r="K151" s="416">
        <v>0</v>
      </c>
      <c r="L151" s="416">
        <v>0</v>
      </c>
      <c r="M151" s="416">
        <v>0</v>
      </c>
      <c r="N151" s="416">
        <v>0</v>
      </c>
      <c r="O151" s="416">
        <v>0</v>
      </c>
      <c r="P151" s="416">
        <v>0</v>
      </c>
      <c r="Q151" s="416">
        <v>0</v>
      </c>
      <c r="R151" s="416">
        <v>0</v>
      </c>
      <c r="S151" s="416">
        <v>0</v>
      </c>
      <c r="T151" s="416">
        <v>0</v>
      </c>
      <c r="U151" s="416">
        <v>0</v>
      </c>
      <c r="V151" s="416">
        <v>0</v>
      </c>
      <c r="W151" s="416"/>
      <c r="X151" s="416">
        <v>0</v>
      </c>
      <c r="Y151" s="416">
        <v>0</v>
      </c>
      <c r="Z151" s="416">
        <v>0</v>
      </c>
      <c r="AA151" s="416"/>
      <c r="AB151" s="416">
        <v>0</v>
      </c>
      <c r="AC151" s="435"/>
    </row>
    <row r="152" spans="1:29" s="155" customFormat="1" hidden="1">
      <c r="A152" s="405"/>
      <c r="B152" s="406"/>
      <c r="C152" s="405"/>
      <c r="D152" s="404"/>
      <c r="E152" s="408"/>
      <c r="F152" s="405"/>
      <c r="G152" s="405"/>
      <c r="H152" s="405"/>
      <c r="I152" s="415"/>
      <c r="J152" s="415"/>
      <c r="K152" s="416">
        <v>0</v>
      </c>
      <c r="L152" s="416">
        <v>0</v>
      </c>
      <c r="M152" s="416">
        <v>0</v>
      </c>
      <c r="N152" s="416">
        <v>0</v>
      </c>
      <c r="O152" s="416">
        <v>0</v>
      </c>
      <c r="P152" s="416">
        <v>0</v>
      </c>
      <c r="Q152" s="416">
        <v>0</v>
      </c>
      <c r="R152" s="416">
        <v>0</v>
      </c>
      <c r="S152" s="416">
        <v>0</v>
      </c>
      <c r="T152" s="416">
        <v>0</v>
      </c>
      <c r="U152" s="416">
        <v>0</v>
      </c>
      <c r="V152" s="416">
        <v>0</v>
      </c>
      <c r="W152" s="416"/>
      <c r="X152" s="416">
        <v>0</v>
      </c>
      <c r="Y152" s="416">
        <v>0</v>
      </c>
      <c r="Z152" s="416">
        <v>0</v>
      </c>
      <c r="AA152" s="416"/>
      <c r="AB152" s="416">
        <v>0</v>
      </c>
      <c r="AC152" s="435"/>
    </row>
    <row r="153" spans="1:29" s="155" customFormat="1" hidden="1">
      <c r="A153" s="405"/>
      <c r="B153" s="406"/>
      <c r="C153" s="405"/>
      <c r="D153" s="407"/>
      <c r="E153" s="409"/>
      <c r="F153" s="405"/>
      <c r="G153" s="405"/>
      <c r="H153" s="405"/>
      <c r="I153" s="415"/>
      <c r="J153" s="415"/>
      <c r="K153" s="416">
        <v>0</v>
      </c>
      <c r="L153" s="416">
        <v>0</v>
      </c>
      <c r="M153" s="416">
        <v>0</v>
      </c>
      <c r="N153" s="416">
        <v>0</v>
      </c>
      <c r="O153" s="416">
        <v>0</v>
      </c>
      <c r="P153" s="416">
        <v>0</v>
      </c>
      <c r="Q153" s="416">
        <v>0</v>
      </c>
      <c r="R153" s="416">
        <v>0</v>
      </c>
      <c r="S153" s="416">
        <v>0</v>
      </c>
      <c r="T153" s="416">
        <v>0</v>
      </c>
      <c r="U153" s="416">
        <v>0</v>
      </c>
      <c r="V153" s="416">
        <v>0</v>
      </c>
      <c r="W153" s="416"/>
      <c r="X153" s="416">
        <v>0</v>
      </c>
      <c r="Y153" s="416">
        <v>0</v>
      </c>
      <c r="Z153" s="416">
        <v>0</v>
      </c>
      <c r="AA153" s="416"/>
      <c r="AB153" s="416">
        <v>0</v>
      </c>
      <c r="AC153" s="435"/>
    </row>
    <row r="154" spans="1:29" s="155" customFormat="1" hidden="1">
      <c r="A154" s="405"/>
      <c r="B154" s="406"/>
      <c r="C154" s="405"/>
      <c r="D154" s="407"/>
      <c r="E154" s="408"/>
      <c r="F154" s="405"/>
      <c r="G154" s="405"/>
      <c r="H154" s="405"/>
      <c r="I154" s="415"/>
      <c r="J154" s="415"/>
      <c r="K154" s="416">
        <v>0</v>
      </c>
      <c r="L154" s="416">
        <v>0</v>
      </c>
      <c r="M154" s="416">
        <v>0</v>
      </c>
      <c r="N154" s="416">
        <v>0</v>
      </c>
      <c r="O154" s="416">
        <v>0</v>
      </c>
      <c r="P154" s="416">
        <v>0</v>
      </c>
      <c r="Q154" s="416">
        <v>0</v>
      </c>
      <c r="R154" s="416">
        <v>0</v>
      </c>
      <c r="S154" s="416">
        <v>0</v>
      </c>
      <c r="T154" s="416">
        <v>0</v>
      </c>
      <c r="U154" s="416">
        <v>0</v>
      </c>
      <c r="V154" s="416">
        <v>0</v>
      </c>
      <c r="W154" s="416"/>
      <c r="X154" s="416">
        <v>0</v>
      </c>
      <c r="Y154" s="416">
        <v>0</v>
      </c>
      <c r="Z154" s="416">
        <v>0</v>
      </c>
      <c r="AA154" s="416"/>
      <c r="AB154" s="416">
        <v>0</v>
      </c>
      <c r="AC154" s="435"/>
    </row>
    <row r="155" spans="1:29" s="156" customFormat="1" hidden="1">
      <c r="A155" s="405"/>
      <c r="B155" s="406"/>
      <c r="C155" s="405"/>
      <c r="D155" s="407"/>
      <c r="E155" s="408"/>
      <c r="F155" s="405"/>
      <c r="G155" s="405"/>
      <c r="H155" s="405"/>
      <c r="I155" s="415"/>
      <c r="J155" s="415"/>
      <c r="K155" s="416">
        <v>0</v>
      </c>
      <c r="L155" s="416">
        <v>0</v>
      </c>
      <c r="M155" s="416">
        <v>0</v>
      </c>
      <c r="N155" s="416">
        <v>0</v>
      </c>
      <c r="O155" s="416">
        <v>0</v>
      </c>
      <c r="P155" s="416">
        <v>0</v>
      </c>
      <c r="Q155" s="416">
        <v>0</v>
      </c>
      <c r="R155" s="416">
        <v>0</v>
      </c>
      <c r="S155" s="416">
        <v>0</v>
      </c>
      <c r="T155" s="416">
        <v>0</v>
      </c>
      <c r="U155" s="416">
        <v>0</v>
      </c>
      <c r="V155" s="416">
        <v>0</v>
      </c>
      <c r="W155" s="416"/>
      <c r="X155" s="416">
        <v>0</v>
      </c>
      <c r="Y155" s="416">
        <v>0</v>
      </c>
      <c r="Z155" s="416">
        <v>0</v>
      </c>
      <c r="AA155" s="416"/>
      <c r="AB155" s="416">
        <v>0</v>
      </c>
      <c r="AC155" s="436"/>
    </row>
    <row r="156" spans="1:29" s="155" customFormat="1" hidden="1">
      <c r="A156" s="405"/>
      <c r="B156" s="406"/>
      <c r="C156" s="405"/>
      <c r="D156" s="407"/>
      <c r="E156" s="408"/>
      <c r="F156" s="405"/>
      <c r="G156" s="405"/>
      <c r="H156" s="405"/>
      <c r="I156" s="415"/>
      <c r="J156" s="415"/>
      <c r="K156" s="416">
        <v>0</v>
      </c>
      <c r="L156" s="416">
        <v>0</v>
      </c>
      <c r="M156" s="416">
        <v>0</v>
      </c>
      <c r="N156" s="416">
        <v>0</v>
      </c>
      <c r="O156" s="416">
        <v>0</v>
      </c>
      <c r="P156" s="416">
        <v>0</v>
      </c>
      <c r="Q156" s="416">
        <v>0</v>
      </c>
      <c r="R156" s="416">
        <v>0</v>
      </c>
      <c r="S156" s="416">
        <v>0</v>
      </c>
      <c r="T156" s="416">
        <v>0</v>
      </c>
      <c r="U156" s="416">
        <v>0</v>
      </c>
      <c r="V156" s="416">
        <v>0</v>
      </c>
      <c r="W156" s="416"/>
      <c r="X156" s="416">
        <v>0</v>
      </c>
      <c r="Y156" s="416">
        <v>0</v>
      </c>
      <c r="Z156" s="416">
        <v>0</v>
      </c>
      <c r="AA156" s="416"/>
      <c r="AB156" s="416">
        <v>0</v>
      </c>
      <c r="AC156" s="435"/>
    </row>
    <row r="157" spans="1:29" s="155" customFormat="1" hidden="1">
      <c r="A157" s="405"/>
      <c r="B157" s="406"/>
      <c r="C157" s="405"/>
      <c r="D157" s="407"/>
      <c r="E157" s="409"/>
      <c r="F157" s="405"/>
      <c r="G157" s="405"/>
      <c r="H157" s="405"/>
      <c r="I157" s="415"/>
      <c r="J157" s="415"/>
      <c r="K157" s="416">
        <v>0</v>
      </c>
      <c r="L157" s="416">
        <v>0</v>
      </c>
      <c r="M157" s="416">
        <v>0</v>
      </c>
      <c r="N157" s="416">
        <v>0</v>
      </c>
      <c r="O157" s="416">
        <v>0</v>
      </c>
      <c r="P157" s="416">
        <v>0</v>
      </c>
      <c r="Q157" s="416">
        <v>0</v>
      </c>
      <c r="R157" s="416">
        <v>0</v>
      </c>
      <c r="S157" s="416">
        <v>0</v>
      </c>
      <c r="T157" s="416">
        <v>0</v>
      </c>
      <c r="U157" s="416">
        <v>0</v>
      </c>
      <c r="V157" s="416">
        <v>0</v>
      </c>
      <c r="W157" s="416"/>
      <c r="X157" s="416">
        <v>0</v>
      </c>
      <c r="Y157" s="416">
        <v>0</v>
      </c>
      <c r="Z157" s="416">
        <v>0</v>
      </c>
      <c r="AA157" s="416"/>
      <c r="AB157" s="416">
        <v>0</v>
      </c>
      <c r="AC157" s="435"/>
    </row>
    <row r="158" spans="1:29" s="155" customFormat="1" hidden="1">
      <c r="A158" s="405"/>
      <c r="B158" s="406"/>
      <c r="C158" s="405"/>
      <c r="D158" s="407"/>
      <c r="E158" s="409"/>
      <c r="F158" s="405"/>
      <c r="G158" s="405"/>
      <c r="H158" s="405"/>
      <c r="I158" s="415"/>
      <c r="J158" s="415"/>
      <c r="K158" s="416">
        <v>0</v>
      </c>
      <c r="L158" s="416">
        <v>0</v>
      </c>
      <c r="M158" s="416">
        <v>0</v>
      </c>
      <c r="N158" s="416">
        <v>0</v>
      </c>
      <c r="O158" s="416">
        <v>0</v>
      </c>
      <c r="P158" s="416">
        <v>0</v>
      </c>
      <c r="Q158" s="416">
        <v>0</v>
      </c>
      <c r="R158" s="416">
        <v>0</v>
      </c>
      <c r="S158" s="416">
        <v>0</v>
      </c>
      <c r="T158" s="416">
        <v>0</v>
      </c>
      <c r="U158" s="416">
        <v>0</v>
      </c>
      <c r="V158" s="416">
        <v>0</v>
      </c>
      <c r="W158" s="416"/>
      <c r="X158" s="416">
        <v>0</v>
      </c>
      <c r="Y158" s="416">
        <v>0</v>
      </c>
      <c r="Z158" s="416">
        <v>0</v>
      </c>
      <c r="AA158" s="416"/>
      <c r="AB158" s="416">
        <v>0</v>
      </c>
      <c r="AC158" s="435"/>
    </row>
    <row r="159" spans="1:29" s="155" customFormat="1" hidden="1">
      <c r="A159" s="405"/>
      <c r="B159" s="406"/>
      <c r="C159" s="405"/>
      <c r="D159" s="407"/>
      <c r="E159" s="408"/>
      <c r="F159" s="405"/>
      <c r="G159" s="405"/>
      <c r="H159" s="405"/>
      <c r="I159" s="415"/>
      <c r="J159" s="415"/>
      <c r="K159" s="416">
        <v>0</v>
      </c>
      <c r="L159" s="416">
        <v>0</v>
      </c>
      <c r="M159" s="416">
        <v>0</v>
      </c>
      <c r="N159" s="416">
        <v>0</v>
      </c>
      <c r="O159" s="416">
        <v>0</v>
      </c>
      <c r="P159" s="416">
        <v>0</v>
      </c>
      <c r="Q159" s="416">
        <v>0</v>
      </c>
      <c r="R159" s="416">
        <v>0</v>
      </c>
      <c r="S159" s="416">
        <v>0</v>
      </c>
      <c r="T159" s="416">
        <v>0</v>
      </c>
      <c r="U159" s="416">
        <v>0</v>
      </c>
      <c r="V159" s="416">
        <v>0</v>
      </c>
      <c r="W159" s="416"/>
      <c r="X159" s="416">
        <v>0</v>
      </c>
      <c r="Y159" s="416">
        <v>0</v>
      </c>
      <c r="Z159" s="416">
        <v>0</v>
      </c>
      <c r="AA159" s="416"/>
      <c r="AB159" s="416">
        <v>0</v>
      </c>
      <c r="AC159" s="435"/>
    </row>
    <row r="160" spans="1:29" s="155" customFormat="1" hidden="1">
      <c r="A160" s="405"/>
      <c r="B160" s="406"/>
      <c r="C160" s="405"/>
      <c r="D160" s="407"/>
      <c r="E160" s="410"/>
      <c r="F160" s="405"/>
      <c r="G160" s="405"/>
      <c r="H160" s="405"/>
      <c r="I160" s="415"/>
      <c r="J160" s="415"/>
      <c r="K160" s="416">
        <v>0</v>
      </c>
      <c r="L160" s="416">
        <v>0</v>
      </c>
      <c r="M160" s="416">
        <v>0</v>
      </c>
      <c r="N160" s="416">
        <v>0</v>
      </c>
      <c r="O160" s="416">
        <v>0</v>
      </c>
      <c r="P160" s="416">
        <v>0</v>
      </c>
      <c r="Q160" s="416">
        <v>0</v>
      </c>
      <c r="R160" s="416">
        <v>0</v>
      </c>
      <c r="S160" s="416">
        <v>0</v>
      </c>
      <c r="T160" s="416">
        <v>0</v>
      </c>
      <c r="U160" s="416">
        <v>0</v>
      </c>
      <c r="V160" s="416">
        <v>0</v>
      </c>
      <c r="W160" s="416"/>
      <c r="X160" s="416">
        <v>0</v>
      </c>
      <c r="Y160" s="416">
        <v>0</v>
      </c>
      <c r="Z160" s="416">
        <v>0</v>
      </c>
      <c r="AA160" s="416"/>
      <c r="AB160" s="416">
        <v>0</v>
      </c>
      <c r="AC160" s="435"/>
    </row>
    <row r="161" spans="1:29" s="155" customFormat="1" hidden="1">
      <c r="A161" s="405"/>
      <c r="B161" s="406"/>
      <c r="C161" s="405"/>
      <c r="D161" s="407"/>
      <c r="E161" s="410"/>
      <c r="F161" s="405"/>
      <c r="G161" s="405"/>
      <c r="H161" s="405"/>
      <c r="I161" s="415"/>
      <c r="J161" s="415"/>
      <c r="K161" s="416">
        <v>0</v>
      </c>
      <c r="L161" s="416">
        <v>0</v>
      </c>
      <c r="M161" s="416">
        <v>0</v>
      </c>
      <c r="N161" s="416">
        <v>0</v>
      </c>
      <c r="O161" s="416">
        <v>0</v>
      </c>
      <c r="P161" s="416">
        <v>0</v>
      </c>
      <c r="Q161" s="416">
        <v>0</v>
      </c>
      <c r="R161" s="416">
        <v>0</v>
      </c>
      <c r="S161" s="416">
        <v>0</v>
      </c>
      <c r="T161" s="416">
        <v>0</v>
      </c>
      <c r="U161" s="416">
        <v>0</v>
      </c>
      <c r="V161" s="416">
        <v>0</v>
      </c>
      <c r="W161" s="416"/>
      <c r="X161" s="416">
        <v>0</v>
      </c>
      <c r="Y161" s="416">
        <v>0</v>
      </c>
      <c r="Z161" s="416">
        <v>0</v>
      </c>
      <c r="AA161" s="416"/>
      <c r="AB161" s="416">
        <v>0</v>
      </c>
      <c r="AC161" s="435"/>
    </row>
    <row r="162" spans="1:29" s="155" customFormat="1" hidden="1">
      <c r="A162" s="405"/>
      <c r="B162" s="406"/>
      <c r="C162" s="405"/>
      <c r="D162" s="407"/>
      <c r="E162" s="408"/>
      <c r="F162" s="405"/>
      <c r="G162" s="405"/>
      <c r="H162" s="405"/>
      <c r="I162" s="415"/>
      <c r="J162" s="415"/>
      <c r="K162" s="416">
        <v>0</v>
      </c>
      <c r="L162" s="416">
        <v>0</v>
      </c>
      <c r="M162" s="416">
        <v>0</v>
      </c>
      <c r="N162" s="416">
        <v>0</v>
      </c>
      <c r="O162" s="416">
        <v>0</v>
      </c>
      <c r="P162" s="416">
        <v>0</v>
      </c>
      <c r="Q162" s="416">
        <v>0</v>
      </c>
      <c r="R162" s="416">
        <v>0</v>
      </c>
      <c r="S162" s="416">
        <v>0</v>
      </c>
      <c r="T162" s="416">
        <v>0</v>
      </c>
      <c r="U162" s="416">
        <v>0</v>
      </c>
      <c r="V162" s="416">
        <v>0</v>
      </c>
      <c r="W162" s="416"/>
      <c r="X162" s="416">
        <v>0</v>
      </c>
      <c r="Y162" s="416">
        <v>0</v>
      </c>
      <c r="Z162" s="416">
        <v>0</v>
      </c>
      <c r="AA162" s="416"/>
      <c r="AB162" s="416">
        <v>0</v>
      </c>
      <c r="AC162" s="435"/>
    </row>
    <row r="163" spans="1:29" s="155" customFormat="1" hidden="1">
      <c r="A163" s="405"/>
      <c r="B163" s="406"/>
      <c r="C163" s="405"/>
      <c r="D163" s="407"/>
      <c r="E163" s="408"/>
      <c r="F163" s="405"/>
      <c r="G163" s="405"/>
      <c r="H163" s="405"/>
      <c r="I163" s="415"/>
      <c r="J163" s="415"/>
      <c r="K163" s="416">
        <v>0</v>
      </c>
      <c r="L163" s="416">
        <v>0</v>
      </c>
      <c r="M163" s="416">
        <v>0</v>
      </c>
      <c r="N163" s="416">
        <v>0</v>
      </c>
      <c r="O163" s="416">
        <v>0</v>
      </c>
      <c r="P163" s="416">
        <v>0</v>
      </c>
      <c r="Q163" s="416">
        <v>0</v>
      </c>
      <c r="R163" s="416">
        <v>0</v>
      </c>
      <c r="S163" s="416">
        <v>0</v>
      </c>
      <c r="T163" s="416">
        <v>0</v>
      </c>
      <c r="U163" s="416">
        <v>0</v>
      </c>
      <c r="V163" s="416">
        <v>0</v>
      </c>
      <c r="W163" s="416"/>
      <c r="X163" s="416">
        <v>0</v>
      </c>
      <c r="Y163" s="416">
        <v>0</v>
      </c>
      <c r="Z163" s="416">
        <v>0</v>
      </c>
      <c r="AA163" s="416"/>
      <c r="AB163" s="416">
        <v>0</v>
      </c>
      <c r="AC163" s="435"/>
    </row>
    <row r="164" spans="1:29" s="155" customFormat="1" hidden="1">
      <c r="A164" s="405"/>
      <c r="B164" s="406"/>
      <c r="C164" s="405"/>
      <c r="D164" s="407"/>
      <c r="E164" s="408"/>
      <c r="F164" s="405"/>
      <c r="G164" s="405"/>
      <c r="H164" s="405"/>
      <c r="I164" s="415"/>
      <c r="J164" s="415"/>
      <c r="K164" s="416">
        <v>0</v>
      </c>
      <c r="L164" s="416">
        <v>0</v>
      </c>
      <c r="M164" s="416">
        <v>0</v>
      </c>
      <c r="N164" s="416">
        <v>0</v>
      </c>
      <c r="O164" s="416">
        <v>0</v>
      </c>
      <c r="P164" s="416">
        <v>0</v>
      </c>
      <c r="Q164" s="416">
        <v>0</v>
      </c>
      <c r="R164" s="416">
        <v>0</v>
      </c>
      <c r="S164" s="416">
        <v>0</v>
      </c>
      <c r="T164" s="416">
        <v>0</v>
      </c>
      <c r="U164" s="416">
        <v>0</v>
      </c>
      <c r="V164" s="416">
        <v>0</v>
      </c>
      <c r="W164" s="416"/>
      <c r="X164" s="416">
        <v>0</v>
      </c>
      <c r="Y164" s="416">
        <v>0</v>
      </c>
      <c r="Z164" s="416">
        <v>0</v>
      </c>
      <c r="AA164" s="416"/>
      <c r="AB164" s="416">
        <v>0</v>
      </c>
      <c r="AC164" s="435"/>
    </row>
    <row r="165" spans="1:29" s="155" customFormat="1" hidden="1">
      <c r="A165" s="405"/>
      <c r="B165" s="406"/>
      <c r="C165" s="405"/>
      <c r="D165" s="407"/>
      <c r="E165" s="408"/>
      <c r="F165" s="405"/>
      <c r="G165" s="405"/>
      <c r="H165" s="405"/>
      <c r="I165" s="415"/>
      <c r="J165" s="415"/>
      <c r="K165" s="416">
        <v>0</v>
      </c>
      <c r="L165" s="416">
        <v>0</v>
      </c>
      <c r="M165" s="416">
        <v>0</v>
      </c>
      <c r="N165" s="416">
        <v>0</v>
      </c>
      <c r="O165" s="416">
        <v>0</v>
      </c>
      <c r="P165" s="416">
        <v>0</v>
      </c>
      <c r="Q165" s="416">
        <v>0</v>
      </c>
      <c r="R165" s="416">
        <v>0</v>
      </c>
      <c r="S165" s="416">
        <v>0</v>
      </c>
      <c r="T165" s="416">
        <v>0</v>
      </c>
      <c r="U165" s="416">
        <v>0</v>
      </c>
      <c r="V165" s="416">
        <v>0</v>
      </c>
      <c r="W165" s="416"/>
      <c r="X165" s="416">
        <v>0</v>
      </c>
      <c r="Y165" s="416">
        <v>0</v>
      </c>
      <c r="Z165" s="416">
        <v>0</v>
      </c>
      <c r="AA165" s="416"/>
      <c r="AB165" s="416">
        <v>0</v>
      </c>
      <c r="AC165" s="435"/>
    </row>
    <row r="166" spans="1:29" s="155" customFormat="1" hidden="1">
      <c r="A166" s="405"/>
      <c r="B166" s="406"/>
      <c r="C166" s="405"/>
      <c r="D166" s="407"/>
      <c r="E166" s="408"/>
      <c r="F166" s="405"/>
      <c r="G166" s="405"/>
      <c r="H166" s="405"/>
      <c r="I166" s="415"/>
      <c r="J166" s="415"/>
      <c r="K166" s="416">
        <v>0</v>
      </c>
      <c r="L166" s="416">
        <v>0</v>
      </c>
      <c r="M166" s="416">
        <v>0</v>
      </c>
      <c r="N166" s="416">
        <v>0</v>
      </c>
      <c r="O166" s="416">
        <v>0</v>
      </c>
      <c r="P166" s="416">
        <v>0</v>
      </c>
      <c r="Q166" s="416">
        <v>0</v>
      </c>
      <c r="R166" s="416">
        <v>0</v>
      </c>
      <c r="S166" s="416">
        <v>0</v>
      </c>
      <c r="T166" s="416">
        <v>0</v>
      </c>
      <c r="U166" s="416">
        <v>0</v>
      </c>
      <c r="V166" s="416">
        <v>0</v>
      </c>
      <c r="W166" s="416"/>
      <c r="X166" s="416">
        <v>0</v>
      </c>
      <c r="Y166" s="416">
        <v>0</v>
      </c>
      <c r="Z166" s="416">
        <v>0</v>
      </c>
      <c r="AA166" s="416"/>
      <c r="AB166" s="416">
        <v>0</v>
      </c>
      <c r="AC166" s="435"/>
    </row>
    <row r="167" spans="1:29" s="155" customFormat="1" hidden="1">
      <c r="A167" s="405"/>
      <c r="B167" s="406"/>
      <c r="C167" s="405"/>
      <c r="D167" s="407"/>
      <c r="E167" s="408"/>
      <c r="F167" s="405"/>
      <c r="G167" s="405"/>
      <c r="H167" s="405"/>
      <c r="I167" s="415"/>
      <c r="J167" s="415"/>
      <c r="K167" s="416">
        <v>0</v>
      </c>
      <c r="L167" s="416">
        <v>0</v>
      </c>
      <c r="M167" s="416">
        <v>0</v>
      </c>
      <c r="N167" s="416">
        <v>0</v>
      </c>
      <c r="O167" s="416">
        <v>0</v>
      </c>
      <c r="P167" s="416">
        <v>0</v>
      </c>
      <c r="Q167" s="416">
        <v>0</v>
      </c>
      <c r="R167" s="416">
        <v>0</v>
      </c>
      <c r="S167" s="416">
        <v>0</v>
      </c>
      <c r="T167" s="416">
        <v>0</v>
      </c>
      <c r="U167" s="416">
        <v>0</v>
      </c>
      <c r="V167" s="416">
        <v>0</v>
      </c>
      <c r="W167" s="416"/>
      <c r="X167" s="416">
        <v>0</v>
      </c>
      <c r="Y167" s="416">
        <v>0</v>
      </c>
      <c r="Z167" s="416">
        <v>0</v>
      </c>
      <c r="AA167" s="416"/>
      <c r="AB167" s="416">
        <v>0</v>
      </c>
      <c r="AC167" s="435"/>
    </row>
    <row r="168" spans="1:29" s="155" customFormat="1" hidden="1">
      <c r="A168" s="405"/>
      <c r="B168" s="406"/>
      <c r="C168" s="405"/>
      <c r="D168" s="407"/>
      <c r="E168" s="408"/>
      <c r="F168" s="405"/>
      <c r="G168" s="405"/>
      <c r="H168" s="405"/>
      <c r="I168" s="415"/>
      <c r="J168" s="415"/>
      <c r="K168" s="416">
        <v>0</v>
      </c>
      <c r="L168" s="416">
        <v>0</v>
      </c>
      <c r="M168" s="416">
        <v>0</v>
      </c>
      <c r="N168" s="416">
        <v>0</v>
      </c>
      <c r="O168" s="416">
        <v>0</v>
      </c>
      <c r="P168" s="416">
        <v>0</v>
      </c>
      <c r="Q168" s="416">
        <v>0</v>
      </c>
      <c r="R168" s="416">
        <v>0</v>
      </c>
      <c r="S168" s="416">
        <v>0</v>
      </c>
      <c r="T168" s="416">
        <v>0</v>
      </c>
      <c r="U168" s="416">
        <v>0</v>
      </c>
      <c r="V168" s="416">
        <v>0</v>
      </c>
      <c r="W168" s="416"/>
      <c r="X168" s="416">
        <v>0</v>
      </c>
      <c r="Y168" s="416">
        <v>0</v>
      </c>
      <c r="Z168" s="416">
        <v>0</v>
      </c>
      <c r="AA168" s="416"/>
      <c r="AB168" s="416">
        <v>0</v>
      </c>
      <c r="AC168" s="435"/>
    </row>
    <row r="169" spans="1:29" s="155" customFormat="1" hidden="1">
      <c r="A169" s="405"/>
      <c r="B169" s="406"/>
      <c r="C169" s="405"/>
      <c r="D169" s="407"/>
      <c r="E169" s="408"/>
      <c r="F169" s="405"/>
      <c r="G169" s="405"/>
      <c r="H169" s="405"/>
      <c r="I169" s="415"/>
      <c r="J169" s="415"/>
      <c r="K169" s="416">
        <v>0</v>
      </c>
      <c r="L169" s="416">
        <v>0</v>
      </c>
      <c r="M169" s="416">
        <v>0</v>
      </c>
      <c r="N169" s="416">
        <v>0</v>
      </c>
      <c r="O169" s="416">
        <v>0</v>
      </c>
      <c r="P169" s="416">
        <v>0</v>
      </c>
      <c r="Q169" s="416">
        <v>0</v>
      </c>
      <c r="R169" s="416">
        <v>0</v>
      </c>
      <c r="S169" s="416">
        <v>0</v>
      </c>
      <c r="T169" s="416">
        <v>0</v>
      </c>
      <c r="U169" s="416">
        <v>0</v>
      </c>
      <c r="V169" s="416">
        <v>0</v>
      </c>
      <c r="W169" s="416"/>
      <c r="X169" s="416">
        <v>0</v>
      </c>
      <c r="Y169" s="416">
        <v>0</v>
      </c>
      <c r="Z169" s="416">
        <v>0</v>
      </c>
      <c r="AA169" s="416"/>
      <c r="AB169" s="416">
        <v>0</v>
      </c>
      <c r="AC169" s="435"/>
    </row>
    <row r="170" spans="1:29" s="155" customFormat="1" hidden="1">
      <c r="A170" s="405"/>
      <c r="B170" s="406"/>
      <c r="C170" s="405"/>
      <c r="D170" s="407"/>
      <c r="E170" s="408"/>
      <c r="F170" s="405"/>
      <c r="G170" s="405"/>
      <c r="H170" s="405"/>
      <c r="I170" s="415"/>
      <c r="J170" s="415"/>
      <c r="K170" s="416">
        <v>0</v>
      </c>
      <c r="L170" s="416">
        <v>0</v>
      </c>
      <c r="M170" s="416">
        <v>0</v>
      </c>
      <c r="N170" s="416">
        <v>0</v>
      </c>
      <c r="O170" s="416">
        <v>0</v>
      </c>
      <c r="P170" s="416">
        <v>0</v>
      </c>
      <c r="Q170" s="416">
        <v>0</v>
      </c>
      <c r="R170" s="416">
        <v>0</v>
      </c>
      <c r="S170" s="416">
        <v>0</v>
      </c>
      <c r="T170" s="416">
        <v>0</v>
      </c>
      <c r="U170" s="416">
        <v>0</v>
      </c>
      <c r="V170" s="416">
        <v>0</v>
      </c>
      <c r="W170" s="416"/>
      <c r="X170" s="416">
        <v>0</v>
      </c>
      <c r="Y170" s="416">
        <v>0</v>
      </c>
      <c r="Z170" s="416">
        <v>0</v>
      </c>
      <c r="AA170" s="416"/>
      <c r="AB170" s="416">
        <v>0</v>
      </c>
      <c r="AC170" s="435"/>
    </row>
    <row r="171" spans="1:29" s="155" customFormat="1" hidden="1">
      <c r="A171" s="405"/>
      <c r="B171" s="406"/>
      <c r="C171" s="405"/>
      <c r="D171" s="407"/>
      <c r="E171" s="408"/>
      <c r="F171" s="405"/>
      <c r="G171" s="405"/>
      <c r="H171" s="405"/>
      <c r="I171" s="415"/>
      <c r="J171" s="415"/>
      <c r="K171" s="416">
        <v>0</v>
      </c>
      <c r="L171" s="416">
        <v>0</v>
      </c>
      <c r="M171" s="416">
        <v>0</v>
      </c>
      <c r="N171" s="416">
        <v>0</v>
      </c>
      <c r="O171" s="416">
        <v>0</v>
      </c>
      <c r="P171" s="416">
        <v>0</v>
      </c>
      <c r="Q171" s="416">
        <v>0</v>
      </c>
      <c r="R171" s="416">
        <v>0</v>
      </c>
      <c r="S171" s="416">
        <v>0</v>
      </c>
      <c r="T171" s="416">
        <v>0</v>
      </c>
      <c r="U171" s="416">
        <v>0</v>
      </c>
      <c r="V171" s="416">
        <v>0</v>
      </c>
      <c r="W171" s="416"/>
      <c r="X171" s="416">
        <v>0</v>
      </c>
      <c r="Y171" s="416">
        <v>0</v>
      </c>
      <c r="Z171" s="416">
        <v>0</v>
      </c>
      <c r="AA171" s="416"/>
      <c r="AB171" s="416">
        <v>0</v>
      </c>
      <c r="AC171" s="435"/>
    </row>
    <row r="172" spans="1:29" s="155" customFormat="1" hidden="1">
      <c r="A172" s="405"/>
      <c r="B172" s="406"/>
      <c r="C172" s="405"/>
      <c r="D172" s="407"/>
      <c r="E172" s="410"/>
      <c r="F172" s="405"/>
      <c r="G172" s="405"/>
      <c r="H172" s="405"/>
      <c r="I172" s="415"/>
      <c r="J172" s="415"/>
      <c r="K172" s="416">
        <v>0</v>
      </c>
      <c r="L172" s="416">
        <v>0</v>
      </c>
      <c r="M172" s="416">
        <v>0</v>
      </c>
      <c r="N172" s="416">
        <v>0</v>
      </c>
      <c r="O172" s="416">
        <v>0</v>
      </c>
      <c r="P172" s="416">
        <v>0</v>
      </c>
      <c r="Q172" s="416">
        <v>0</v>
      </c>
      <c r="R172" s="416">
        <v>0</v>
      </c>
      <c r="S172" s="416">
        <v>0</v>
      </c>
      <c r="T172" s="416">
        <v>0</v>
      </c>
      <c r="U172" s="416">
        <v>0</v>
      </c>
      <c r="V172" s="416">
        <v>0</v>
      </c>
      <c r="W172" s="416"/>
      <c r="X172" s="416">
        <v>0</v>
      </c>
      <c r="Y172" s="416">
        <v>0</v>
      </c>
      <c r="Z172" s="416">
        <v>0</v>
      </c>
      <c r="AA172" s="416"/>
      <c r="AB172" s="416">
        <v>0</v>
      </c>
      <c r="AC172" s="435"/>
    </row>
    <row r="173" spans="1:29" s="155" customFormat="1" hidden="1">
      <c r="A173" s="405"/>
      <c r="B173" s="406"/>
      <c r="C173" s="405"/>
      <c r="D173" s="407"/>
      <c r="E173" s="408"/>
      <c r="F173" s="405"/>
      <c r="G173" s="405"/>
      <c r="H173" s="405"/>
      <c r="I173" s="415"/>
      <c r="J173" s="415"/>
      <c r="K173" s="416">
        <v>0</v>
      </c>
      <c r="L173" s="416">
        <v>0</v>
      </c>
      <c r="M173" s="416">
        <v>0</v>
      </c>
      <c r="N173" s="416">
        <v>0</v>
      </c>
      <c r="O173" s="416">
        <v>0</v>
      </c>
      <c r="P173" s="416">
        <v>0</v>
      </c>
      <c r="Q173" s="416">
        <v>0</v>
      </c>
      <c r="R173" s="416">
        <v>0</v>
      </c>
      <c r="S173" s="416">
        <v>0</v>
      </c>
      <c r="T173" s="416">
        <v>0</v>
      </c>
      <c r="U173" s="416">
        <v>0</v>
      </c>
      <c r="V173" s="416">
        <v>0</v>
      </c>
      <c r="W173" s="416"/>
      <c r="X173" s="416">
        <v>0</v>
      </c>
      <c r="Y173" s="416">
        <v>0</v>
      </c>
      <c r="Z173" s="416">
        <v>0</v>
      </c>
      <c r="AA173" s="416"/>
      <c r="AB173" s="416">
        <v>0</v>
      </c>
      <c r="AC173" s="435"/>
    </row>
    <row r="174" spans="1:29" s="155" customFormat="1" hidden="1">
      <c r="A174" s="405"/>
      <c r="B174" s="406"/>
      <c r="C174" s="405"/>
      <c r="D174" s="407"/>
      <c r="E174" s="408"/>
      <c r="F174" s="405"/>
      <c r="G174" s="405"/>
      <c r="H174" s="405"/>
      <c r="I174" s="415"/>
      <c r="J174" s="415"/>
      <c r="K174" s="416">
        <v>0</v>
      </c>
      <c r="L174" s="416">
        <v>0</v>
      </c>
      <c r="M174" s="416">
        <v>0</v>
      </c>
      <c r="N174" s="416">
        <v>0</v>
      </c>
      <c r="O174" s="416">
        <v>0</v>
      </c>
      <c r="P174" s="416">
        <v>0</v>
      </c>
      <c r="Q174" s="416">
        <v>0</v>
      </c>
      <c r="R174" s="416">
        <v>0</v>
      </c>
      <c r="S174" s="416">
        <v>0</v>
      </c>
      <c r="T174" s="416">
        <v>0</v>
      </c>
      <c r="U174" s="416">
        <v>0</v>
      </c>
      <c r="V174" s="416">
        <v>0</v>
      </c>
      <c r="W174" s="416"/>
      <c r="X174" s="416">
        <v>0</v>
      </c>
      <c r="Y174" s="416">
        <v>0</v>
      </c>
      <c r="Z174" s="416">
        <v>0</v>
      </c>
      <c r="AA174" s="416"/>
      <c r="AB174" s="416">
        <v>0</v>
      </c>
      <c r="AC174" s="435"/>
    </row>
    <row r="175" spans="1:29" s="155" customFormat="1" hidden="1">
      <c r="A175" s="405"/>
      <c r="B175" s="406"/>
      <c r="C175" s="405"/>
      <c r="D175" s="407"/>
      <c r="E175" s="408"/>
      <c r="F175" s="405"/>
      <c r="G175" s="405"/>
      <c r="H175" s="405"/>
      <c r="I175" s="415"/>
      <c r="J175" s="415"/>
      <c r="K175" s="416">
        <v>0</v>
      </c>
      <c r="L175" s="416">
        <v>0</v>
      </c>
      <c r="M175" s="416">
        <v>0</v>
      </c>
      <c r="N175" s="416">
        <v>0</v>
      </c>
      <c r="O175" s="416">
        <v>0</v>
      </c>
      <c r="P175" s="416">
        <v>0</v>
      </c>
      <c r="Q175" s="416">
        <v>0</v>
      </c>
      <c r="R175" s="416">
        <v>0</v>
      </c>
      <c r="S175" s="416">
        <v>0</v>
      </c>
      <c r="T175" s="416">
        <v>0</v>
      </c>
      <c r="U175" s="416">
        <v>0</v>
      </c>
      <c r="V175" s="416">
        <v>0</v>
      </c>
      <c r="W175" s="416"/>
      <c r="X175" s="416">
        <v>0</v>
      </c>
      <c r="Y175" s="416">
        <v>0</v>
      </c>
      <c r="Z175" s="416">
        <v>0</v>
      </c>
      <c r="AA175" s="416"/>
      <c r="AB175" s="416">
        <v>0</v>
      </c>
      <c r="AC175" s="435"/>
    </row>
    <row r="176" spans="1:29" s="155" customFormat="1" hidden="1">
      <c r="A176" s="405"/>
      <c r="B176" s="406"/>
      <c r="C176" s="405"/>
      <c r="D176" s="407"/>
      <c r="E176" s="408"/>
      <c r="F176" s="405"/>
      <c r="G176" s="405"/>
      <c r="H176" s="405"/>
      <c r="I176" s="415"/>
      <c r="J176" s="415"/>
      <c r="K176" s="416">
        <v>0</v>
      </c>
      <c r="L176" s="416">
        <v>0</v>
      </c>
      <c r="M176" s="416">
        <v>0</v>
      </c>
      <c r="N176" s="416">
        <v>0</v>
      </c>
      <c r="O176" s="416">
        <v>0</v>
      </c>
      <c r="P176" s="416">
        <v>0</v>
      </c>
      <c r="Q176" s="416">
        <v>0</v>
      </c>
      <c r="R176" s="416">
        <v>0</v>
      </c>
      <c r="S176" s="416">
        <v>0</v>
      </c>
      <c r="T176" s="416">
        <v>0</v>
      </c>
      <c r="U176" s="416">
        <v>0</v>
      </c>
      <c r="V176" s="416">
        <v>0</v>
      </c>
      <c r="W176" s="416"/>
      <c r="X176" s="416">
        <v>0</v>
      </c>
      <c r="Y176" s="416">
        <v>0</v>
      </c>
      <c r="Z176" s="416">
        <v>0</v>
      </c>
      <c r="AA176" s="416"/>
      <c r="AB176" s="416">
        <v>0</v>
      </c>
      <c r="AC176" s="435"/>
    </row>
    <row r="177" spans="1:29" s="155" customFormat="1" hidden="1">
      <c r="A177" s="405"/>
      <c r="B177" s="406"/>
      <c r="C177" s="405"/>
      <c r="D177" s="407"/>
      <c r="E177" s="411"/>
      <c r="F177" s="405"/>
      <c r="G177" s="405"/>
      <c r="H177" s="405"/>
      <c r="I177" s="415"/>
      <c r="J177" s="415"/>
      <c r="K177" s="416">
        <v>0</v>
      </c>
      <c r="L177" s="416">
        <v>0</v>
      </c>
      <c r="M177" s="416">
        <v>0</v>
      </c>
      <c r="N177" s="416">
        <v>0</v>
      </c>
      <c r="O177" s="416">
        <v>0</v>
      </c>
      <c r="P177" s="416">
        <v>0</v>
      </c>
      <c r="Q177" s="416">
        <v>0</v>
      </c>
      <c r="R177" s="416">
        <v>0</v>
      </c>
      <c r="S177" s="416">
        <v>0</v>
      </c>
      <c r="T177" s="416">
        <v>0</v>
      </c>
      <c r="U177" s="416">
        <v>0</v>
      </c>
      <c r="V177" s="416">
        <v>0</v>
      </c>
      <c r="W177" s="416"/>
      <c r="X177" s="416">
        <v>0</v>
      </c>
      <c r="Y177" s="416">
        <v>0</v>
      </c>
      <c r="Z177" s="416">
        <v>0</v>
      </c>
      <c r="AA177" s="416"/>
      <c r="AB177" s="416">
        <v>0</v>
      </c>
      <c r="AC177" s="435"/>
    </row>
    <row r="178" spans="1:29" s="155" customFormat="1" hidden="1">
      <c r="A178" s="405"/>
      <c r="B178" s="406"/>
      <c r="C178" s="405"/>
      <c r="D178" s="407"/>
      <c r="E178" s="409"/>
      <c r="F178" s="405"/>
      <c r="G178" s="405"/>
      <c r="H178" s="405"/>
      <c r="I178" s="415"/>
      <c r="J178" s="415"/>
      <c r="K178" s="416">
        <v>0</v>
      </c>
      <c r="L178" s="416">
        <v>0</v>
      </c>
      <c r="M178" s="416">
        <v>0</v>
      </c>
      <c r="N178" s="416">
        <v>0</v>
      </c>
      <c r="O178" s="416">
        <v>0</v>
      </c>
      <c r="P178" s="416">
        <v>0</v>
      </c>
      <c r="Q178" s="416">
        <v>0</v>
      </c>
      <c r="R178" s="416">
        <v>0</v>
      </c>
      <c r="S178" s="416">
        <v>0</v>
      </c>
      <c r="T178" s="416">
        <v>0</v>
      </c>
      <c r="U178" s="416">
        <v>0</v>
      </c>
      <c r="V178" s="416">
        <v>0</v>
      </c>
      <c r="W178" s="416"/>
      <c r="X178" s="416">
        <v>0</v>
      </c>
      <c r="Y178" s="416">
        <v>0</v>
      </c>
      <c r="Z178" s="416">
        <v>0</v>
      </c>
      <c r="AA178" s="416"/>
      <c r="AB178" s="416">
        <v>0</v>
      </c>
      <c r="AC178" s="435"/>
    </row>
    <row r="179" spans="1:29" s="155" customFormat="1" hidden="1">
      <c r="A179" s="405"/>
      <c r="B179" s="406"/>
      <c r="C179" s="405"/>
      <c r="D179" s="407"/>
      <c r="E179" s="408"/>
      <c r="F179" s="405"/>
      <c r="G179" s="405"/>
      <c r="H179" s="405"/>
      <c r="I179" s="415"/>
      <c r="J179" s="415"/>
      <c r="K179" s="416">
        <v>0</v>
      </c>
      <c r="L179" s="416">
        <v>0</v>
      </c>
      <c r="M179" s="416">
        <v>0</v>
      </c>
      <c r="N179" s="416">
        <v>0</v>
      </c>
      <c r="O179" s="416">
        <v>0</v>
      </c>
      <c r="P179" s="416">
        <v>0</v>
      </c>
      <c r="Q179" s="416">
        <v>0</v>
      </c>
      <c r="R179" s="416">
        <v>0</v>
      </c>
      <c r="S179" s="416">
        <v>0</v>
      </c>
      <c r="T179" s="416">
        <v>0</v>
      </c>
      <c r="U179" s="416">
        <v>0</v>
      </c>
      <c r="V179" s="416">
        <v>0</v>
      </c>
      <c r="W179" s="416"/>
      <c r="X179" s="416">
        <v>0</v>
      </c>
      <c r="Y179" s="416">
        <v>0</v>
      </c>
      <c r="Z179" s="416">
        <v>0</v>
      </c>
      <c r="AA179" s="416"/>
      <c r="AB179" s="416">
        <v>0</v>
      </c>
      <c r="AC179" s="435"/>
    </row>
    <row r="180" spans="1:29" s="155" customFormat="1" hidden="1">
      <c r="A180" s="405"/>
      <c r="B180" s="406"/>
      <c r="C180" s="405"/>
      <c r="D180" s="407"/>
      <c r="E180" s="410"/>
      <c r="F180" s="405"/>
      <c r="G180" s="405"/>
      <c r="H180" s="405"/>
      <c r="I180" s="415"/>
      <c r="J180" s="415"/>
      <c r="K180" s="416">
        <v>0</v>
      </c>
      <c r="L180" s="416">
        <v>0</v>
      </c>
      <c r="M180" s="416">
        <v>0</v>
      </c>
      <c r="N180" s="416">
        <v>0</v>
      </c>
      <c r="O180" s="416">
        <v>0</v>
      </c>
      <c r="P180" s="416">
        <v>0</v>
      </c>
      <c r="Q180" s="416">
        <v>0</v>
      </c>
      <c r="R180" s="416">
        <v>0</v>
      </c>
      <c r="S180" s="416">
        <v>0</v>
      </c>
      <c r="T180" s="416">
        <v>0</v>
      </c>
      <c r="U180" s="416">
        <v>0</v>
      </c>
      <c r="V180" s="416">
        <v>0</v>
      </c>
      <c r="W180" s="416"/>
      <c r="X180" s="416">
        <v>0</v>
      </c>
      <c r="Y180" s="416">
        <v>0</v>
      </c>
      <c r="Z180" s="416">
        <v>0</v>
      </c>
      <c r="AA180" s="416"/>
      <c r="AB180" s="416">
        <v>0</v>
      </c>
      <c r="AC180" s="435"/>
    </row>
    <row r="181" spans="1:29" s="155" customFormat="1" hidden="1">
      <c r="A181" s="405"/>
      <c r="B181" s="406"/>
      <c r="C181" s="405"/>
      <c r="D181" s="407"/>
      <c r="E181" s="408"/>
      <c r="F181" s="405"/>
      <c r="G181" s="405"/>
      <c r="H181" s="405"/>
      <c r="I181" s="415"/>
      <c r="J181" s="415"/>
      <c r="K181" s="416">
        <v>0</v>
      </c>
      <c r="L181" s="416">
        <v>0</v>
      </c>
      <c r="M181" s="416">
        <v>0</v>
      </c>
      <c r="N181" s="416">
        <v>0</v>
      </c>
      <c r="O181" s="416">
        <v>0</v>
      </c>
      <c r="P181" s="416">
        <v>0</v>
      </c>
      <c r="Q181" s="416">
        <v>0</v>
      </c>
      <c r="R181" s="416">
        <v>0</v>
      </c>
      <c r="S181" s="416">
        <v>0</v>
      </c>
      <c r="T181" s="416">
        <v>0</v>
      </c>
      <c r="U181" s="416">
        <v>0</v>
      </c>
      <c r="V181" s="416">
        <v>0</v>
      </c>
      <c r="W181" s="416"/>
      <c r="X181" s="416">
        <v>0</v>
      </c>
      <c r="Y181" s="416">
        <v>0</v>
      </c>
      <c r="Z181" s="416">
        <v>0</v>
      </c>
      <c r="AA181" s="416"/>
      <c r="AB181" s="416">
        <v>0</v>
      </c>
      <c r="AC181" s="435"/>
    </row>
    <row r="182" spans="1:29" s="155" customFormat="1" hidden="1">
      <c r="A182" s="405"/>
      <c r="B182" s="406"/>
      <c r="C182" s="405"/>
      <c r="D182" s="407"/>
      <c r="E182" s="408"/>
      <c r="F182" s="405"/>
      <c r="G182" s="405"/>
      <c r="H182" s="405"/>
      <c r="I182" s="415"/>
      <c r="J182" s="415"/>
      <c r="K182" s="416">
        <v>0</v>
      </c>
      <c r="L182" s="416">
        <v>0</v>
      </c>
      <c r="M182" s="416">
        <v>0</v>
      </c>
      <c r="N182" s="416">
        <v>0</v>
      </c>
      <c r="O182" s="416">
        <v>0</v>
      </c>
      <c r="P182" s="416">
        <v>0</v>
      </c>
      <c r="Q182" s="416">
        <v>0</v>
      </c>
      <c r="R182" s="416">
        <v>0</v>
      </c>
      <c r="S182" s="416">
        <v>0</v>
      </c>
      <c r="T182" s="416">
        <v>0</v>
      </c>
      <c r="U182" s="416">
        <v>0</v>
      </c>
      <c r="V182" s="416">
        <v>0</v>
      </c>
      <c r="W182" s="416"/>
      <c r="X182" s="416">
        <v>0</v>
      </c>
      <c r="Y182" s="416">
        <v>0</v>
      </c>
      <c r="Z182" s="416">
        <v>0</v>
      </c>
      <c r="AA182" s="416"/>
      <c r="AB182" s="416">
        <v>0</v>
      </c>
      <c r="AC182" s="435"/>
    </row>
    <row r="183" spans="1:29" s="155" customFormat="1" hidden="1">
      <c r="A183" s="405"/>
      <c r="B183" s="406"/>
      <c r="C183" s="405"/>
      <c r="D183" s="407"/>
      <c r="E183" s="408"/>
      <c r="F183" s="405"/>
      <c r="G183" s="405"/>
      <c r="H183" s="405"/>
      <c r="I183" s="415"/>
      <c r="J183" s="415"/>
      <c r="K183" s="416">
        <v>0</v>
      </c>
      <c r="L183" s="416">
        <v>0</v>
      </c>
      <c r="M183" s="416">
        <v>0</v>
      </c>
      <c r="N183" s="416">
        <v>0</v>
      </c>
      <c r="O183" s="416">
        <v>0</v>
      </c>
      <c r="P183" s="416">
        <v>0</v>
      </c>
      <c r="Q183" s="416">
        <v>0</v>
      </c>
      <c r="R183" s="416">
        <v>0</v>
      </c>
      <c r="S183" s="416">
        <v>0</v>
      </c>
      <c r="T183" s="416">
        <v>0</v>
      </c>
      <c r="U183" s="416">
        <v>0</v>
      </c>
      <c r="V183" s="416">
        <v>0</v>
      </c>
      <c r="W183" s="416"/>
      <c r="X183" s="416">
        <v>0</v>
      </c>
      <c r="Y183" s="416">
        <v>0</v>
      </c>
      <c r="Z183" s="416">
        <v>0</v>
      </c>
      <c r="AA183" s="416"/>
      <c r="AB183" s="416">
        <v>0</v>
      </c>
      <c r="AC183" s="435"/>
    </row>
    <row r="184" spans="1:29" s="155" customFormat="1" hidden="1">
      <c r="A184" s="405"/>
      <c r="B184" s="406"/>
      <c r="C184" s="405"/>
      <c r="D184" s="407"/>
      <c r="E184" s="408"/>
      <c r="F184" s="405"/>
      <c r="G184" s="405"/>
      <c r="H184" s="405"/>
      <c r="I184" s="415"/>
      <c r="J184" s="415"/>
      <c r="K184" s="416">
        <v>0</v>
      </c>
      <c r="L184" s="416">
        <v>0</v>
      </c>
      <c r="M184" s="416">
        <v>0</v>
      </c>
      <c r="N184" s="416">
        <v>0</v>
      </c>
      <c r="O184" s="416">
        <v>0</v>
      </c>
      <c r="P184" s="416">
        <v>0</v>
      </c>
      <c r="Q184" s="416">
        <v>0</v>
      </c>
      <c r="R184" s="416">
        <v>0</v>
      </c>
      <c r="S184" s="416">
        <v>0</v>
      </c>
      <c r="T184" s="416">
        <v>0</v>
      </c>
      <c r="U184" s="416">
        <v>0</v>
      </c>
      <c r="V184" s="416">
        <v>0</v>
      </c>
      <c r="W184" s="416"/>
      <c r="X184" s="416">
        <v>0</v>
      </c>
      <c r="Y184" s="416">
        <v>0</v>
      </c>
      <c r="Z184" s="416">
        <v>0</v>
      </c>
      <c r="AA184" s="416"/>
      <c r="AB184" s="416">
        <v>0</v>
      </c>
      <c r="AC184" s="435"/>
    </row>
    <row r="185" spans="1:29" s="155" customFormat="1" hidden="1">
      <c r="A185" s="405"/>
      <c r="B185" s="406"/>
      <c r="C185" s="405"/>
      <c r="D185" s="407"/>
      <c r="E185" s="408"/>
      <c r="F185" s="405"/>
      <c r="G185" s="405"/>
      <c r="H185" s="405"/>
      <c r="I185" s="415"/>
      <c r="J185" s="415"/>
      <c r="K185" s="416">
        <v>0</v>
      </c>
      <c r="L185" s="416">
        <v>0</v>
      </c>
      <c r="M185" s="416">
        <v>0</v>
      </c>
      <c r="N185" s="416">
        <v>0</v>
      </c>
      <c r="O185" s="416">
        <v>0</v>
      </c>
      <c r="P185" s="416">
        <v>0</v>
      </c>
      <c r="Q185" s="416">
        <v>0</v>
      </c>
      <c r="R185" s="416">
        <v>0</v>
      </c>
      <c r="S185" s="416">
        <v>0</v>
      </c>
      <c r="T185" s="416">
        <v>0</v>
      </c>
      <c r="U185" s="416">
        <v>0</v>
      </c>
      <c r="V185" s="416">
        <v>0</v>
      </c>
      <c r="W185" s="416"/>
      <c r="X185" s="416">
        <v>0</v>
      </c>
      <c r="Y185" s="416">
        <v>0</v>
      </c>
      <c r="Z185" s="416">
        <v>0</v>
      </c>
      <c r="AA185" s="416"/>
      <c r="AB185" s="416">
        <v>0</v>
      </c>
      <c r="AC185" s="435"/>
    </row>
    <row r="186" spans="1:29" s="155" customFormat="1" hidden="1">
      <c r="A186" s="405"/>
      <c r="B186" s="406"/>
      <c r="C186" s="405"/>
      <c r="D186" s="407"/>
      <c r="E186" s="409"/>
      <c r="F186" s="405"/>
      <c r="G186" s="405"/>
      <c r="H186" s="405"/>
      <c r="I186" s="415"/>
      <c r="J186" s="415"/>
      <c r="K186" s="416">
        <v>0</v>
      </c>
      <c r="L186" s="416">
        <v>0</v>
      </c>
      <c r="M186" s="416">
        <v>0</v>
      </c>
      <c r="N186" s="416">
        <v>0</v>
      </c>
      <c r="O186" s="416">
        <v>0</v>
      </c>
      <c r="P186" s="416">
        <v>0</v>
      </c>
      <c r="Q186" s="416">
        <v>0</v>
      </c>
      <c r="R186" s="416">
        <v>0</v>
      </c>
      <c r="S186" s="416">
        <v>0</v>
      </c>
      <c r="T186" s="416">
        <v>0</v>
      </c>
      <c r="U186" s="416">
        <v>0</v>
      </c>
      <c r="V186" s="416">
        <v>0</v>
      </c>
      <c r="W186" s="416"/>
      <c r="X186" s="416">
        <v>0</v>
      </c>
      <c r="Y186" s="416">
        <v>0</v>
      </c>
      <c r="Z186" s="416">
        <v>0</v>
      </c>
      <c r="AA186" s="416"/>
      <c r="AB186" s="416">
        <v>0</v>
      </c>
      <c r="AC186" s="435"/>
    </row>
    <row r="187" spans="1:29" s="155" customFormat="1" hidden="1">
      <c r="A187" s="405"/>
      <c r="B187" s="406"/>
      <c r="C187" s="405"/>
      <c r="D187" s="407"/>
      <c r="E187" s="408"/>
      <c r="F187" s="405"/>
      <c r="G187" s="405"/>
      <c r="H187" s="405"/>
      <c r="I187" s="415"/>
      <c r="J187" s="415"/>
      <c r="K187" s="416">
        <v>0</v>
      </c>
      <c r="L187" s="416">
        <v>0</v>
      </c>
      <c r="M187" s="416">
        <v>0</v>
      </c>
      <c r="N187" s="416">
        <v>0</v>
      </c>
      <c r="O187" s="416">
        <v>0</v>
      </c>
      <c r="P187" s="416">
        <v>0</v>
      </c>
      <c r="Q187" s="416">
        <v>0</v>
      </c>
      <c r="R187" s="416">
        <v>0</v>
      </c>
      <c r="S187" s="416">
        <v>0</v>
      </c>
      <c r="T187" s="416">
        <v>0</v>
      </c>
      <c r="U187" s="416">
        <v>0</v>
      </c>
      <c r="V187" s="416">
        <v>0</v>
      </c>
      <c r="W187" s="416"/>
      <c r="X187" s="416">
        <v>0</v>
      </c>
      <c r="Y187" s="416">
        <v>0</v>
      </c>
      <c r="Z187" s="416">
        <v>0</v>
      </c>
      <c r="AA187" s="416"/>
      <c r="AB187" s="416">
        <v>0</v>
      </c>
      <c r="AC187" s="435"/>
    </row>
    <row r="188" spans="1:29" s="155" customFormat="1" hidden="1">
      <c r="A188" s="405"/>
      <c r="B188" s="406"/>
      <c r="C188" s="405"/>
      <c r="D188" s="407"/>
      <c r="E188" s="408"/>
      <c r="F188" s="405"/>
      <c r="G188" s="405"/>
      <c r="H188" s="405"/>
      <c r="I188" s="415"/>
      <c r="J188" s="415"/>
      <c r="K188" s="416">
        <v>0</v>
      </c>
      <c r="L188" s="416">
        <v>0</v>
      </c>
      <c r="M188" s="416">
        <v>0</v>
      </c>
      <c r="N188" s="416">
        <v>0</v>
      </c>
      <c r="O188" s="416">
        <v>0</v>
      </c>
      <c r="P188" s="416">
        <v>0</v>
      </c>
      <c r="Q188" s="416">
        <v>0</v>
      </c>
      <c r="R188" s="416">
        <v>0</v>
      </c>
      <c r="S188" s="416">
        <v>0</v>
      </c>
      <c r="T188" s="416">
        <v>0</v>
      </c>
      <c r="U188" s="416">
        <v>0</v>
      </c>
      <c r="V188" s="416">
        <v>0</v>
      </c>
      <c r="W188" s="416"/>
      <c r="X188" s="416">
        <v>0</v>
      </c>
      <c r="Y188" s="416">
        <v>0</v>
      </c>
      <c r="Z188" s="416">
        <v>0</v>
      </c>
      <c r="AA188" s="416"/>
      <c r="AB188" s="416">
        <v>0</v>
      </c>
      <c r="AC188" s="435"/>
    </row>
    <row r="189" spans="1:29" s="155" customFormat="1" hidden="1">
      <c r="A189" s="405"/>
      <c r="B189" s="406"/>
      <c r="C189" s="405"/>
      <c r="D189" s="407"/>
      <c r="E189" s="408"/>
      <c r="F189" s="405"/>
      <c r="G189" s="405"/>
      <c r="H189" s="405"/>
      <c r="I189" s="415"/>
      <c r="J189" s="415"/>
      <c r="K189" s="416">
        <v>0</v>
      </c>
      <c r="L189" s="416">
        <v>0</v>
      </c>
      <c r="M189" s="416">
        <v>0</v>
      </c>
      <c r="N189" s="416">
        <v>0</v>
      </c>
      <c r="O189" s="416">
        <v>0</v>
      </c>
      <c r="P189" s="416">
        <v>0</v>
      </c>
      <c r="Q189" s="416">
        <v>0</v>
      </c>
      <c r="R189" s="416">
        <v>0</v>
      </c>
      <c r="S189" s="416">
        <v>0</v>
      </c>
      <c r="T189" s="416">
        <v>0</v>
      </c>
      <c r="U189" s="416">
        <v>0</v>
      </c>
      <c r="V189" s="416">
        <v>0</v>
      </c>
      <c r="W189" s="416"/>
      <c r="X189" s="416">
        <v>0</v>
      </c>
      <c r="Y189" s="416">
        <v>0</v>
      </c>
      <c r="Z189" s="416">
        <v>0</v>
      </c>
      <c r="AA189" s="416"/>
      <c r="AB189" s="416">
        <v>0</v>
      </c>
      <c r="AC189" s="435"/>
    </row>
    <row r="190" spans="1:29" s="155" customFormat="1" hidden="1">
      <c r="A190" s="405"/>
      <c r="B190" s="406"/>
      <c r="C190" s="405"/>
      <c r="D190" s="407"/>
      <c r="E190" s="408"/>
      <c r="F190" s="405"/>
      <c r="G190" s="405"/>
      <c r="H190" s="405"/>
      <c r="I190" s="415"/>
      <c r="J190" s="415"/>
      <c r="K190" s="416">
        <v>0</v>
      </c>
      <c r="L190" s="416">
        <v>0</v>
      </c>
      <c r="M190" s="416">
        <v>0</v>
      </c>
      <c r="N190" s="416">
        <v>0</v>
      </c>
      <c r="O190" s="416">
        <v>0</v>
      </c>
      <c r="P190" s="416">
        <v>0</v>
      </c>
      <c r="Q190" s="416">
        <v>0</v>
      </c>
      <c r="R190" s="416">
        <v>0</v>
      </c>
      <c r="S190" s="416">
        <v>0</v>
      </c>
      <c r="T190" s="416">
        <v>0</v>
      </c>
      <c r="U190" s="416">
        <v>0</v>
      </c>
      <c r="V190" s="416">
        <v>0</v>
      </c>
      <c r="W190" s="416"/>
      <c r="X190" s="416">
        <v>0</v>
      </c>
      <c r="Y190" s="416">
        <v>0</v>
      </c>
      <c r="Z190" s="416">
        <v>0</v>
      </c>
      <c r="AA190" s="416"/>
      <c r="AB190" s="416">
        <v>0</v>
      </c>
      <c r="AC190" s="435"/>
    </row>
    <row r="191" spans="1:29" s="155" customFormat="1" hidden="1">
      <c r="A191" s="405"/>
      <c r="B191" s="406"/>
      <c r="C191" s="405"/>
      <c r="D191" s="407"/>
      <c r="E191" s="408"/>
      <c r="F191" s="405"/>
      <c r="G191" s="405"/>
      <c r="H191" s="405"/>
      <c r="I191" s="415"/>
      <c r="J191" s="415"/>
      <c r="K191" s="416">
        <v>0</v>
      </c>
      <c r="L191" s="416">
        <v>0</v>
      </c>
      <c r="M191" s="416">
        <v>0</v>
      </c>
      <c r="N191" s="416">
        <v>0</v>
      </c>
      <c r="O191" s="416">
        <v>0</v>
      </c>
      <c r="P191" s="416">
        <v>0</v>
      </c>
      <c r="Q191" s="416">
        <v>0</v>
      </c>
      <c r="R191" s="416">
        <v>0</v>
      </c>
      <c r="S191" s="416">
        <v>0</v>
      </c>
      <c r="T191" s="416">
        <v>0</v>
      </c>
      <c r="U191" s="416">
        <v>0</v>
      </c>
      <c r="V191" s="416">
        <v>0</v>
      </c>
      <c r="W191" s="416"/>
      <c r="X191" s="416">
        <v>0</v>
      </c>
      <c r="Y191" s="416">
        <v>0</v>
      </c>
      <c r="Z191" s="416">
        <v>0</v>
      </c>
      <c r="AA191" s="416"/>
      <c r="AB191" s="416">
        <v>0</v>
      </c>
      <c r="AC191" s="435"/>
    </row>
    <row r="192" spans="1:29" s="155" customFormat="1" hidden="1">
      <c r="A192" s="405"/>
      <c r="B192" s="406"/>
      <c r="C192" s="405"/>
      <c r="D192" s="407"/>
      <c r="E192" s="408"/>
      <c r="F192" s="405"/>
      <c r="G192" s="405"/>
      <c r="H192" s="405"/>
      <c r="I192" s="415"/>
      <c r="J192" s="415"/>
      <c r="K192" s="416">
        <v>0</v>
      </c>
      <c r="L192" s="416">
        <v>0</v>
      </c>
      <c r="M192" s="416">
        <v>0</v>
      </c>
      <c r="N192" s="416">
        <v>0</v>
      </c>
      <c r="O192" s="416">
        <v>0</v>
      </c>
      <c r="P192" s="416">
        <v>0</v>
      </c>
      <c r="Q192" s="416">
        <v>0</v>
      </c>
      <c r="R192" s="416">
        <v>0</v>
      </c>
      <c r="S192" s="416">
        <v>0</v>
      </c>
      <c r="T192" s="416">
        <v>0</v>
      </c>
      <c r="U192" s="416">
        <v>0</v>
      </c>
      <c r="V192" s="416">
        <v>0</v>
      </c>
      <c r="W192" s="416"/>
      <c r="X192" s="416">
        <v>0</v>
      </c>
      <c r="Y192" s="416">
        <v>0</v>
      </c>
      <c r="Z192" s="416">
        <v>0</v>
      </c>
      <c r="AA192" s="416"/>
      <c r="AB192" s="416">
        <v>0</v>
      </c>
      <c r="AC192" s="435"/>
    </row>
    <row r="193" spans="1:28" ht="15">
      <c r="A193" s="161"/>
      <c r="B193" s="161"/>
      <c r="C193" s="161"/>
      <c r="D193" s="161"/>
      <c r="E193" s="161"/>
      <c r="F193" s="161"/>
      <c r="G193" s="161"/>
      <c r="H193" s="161"/>
      <c r="I193" s="412"/>
      <c r="J193" s="412"/>
      <c r="K193" s="161"/>
      <c r="L193" s="412"/>
      <c r="M193" s="161"/>
      <c r="N193" s="161"/>
      <c r="O193" s="161"/>
      <c r="P193" s="161"/>
      <c r="Q193" s="412"/>
      <c r="R193" s="412"/>
      <c r="S193" s="161"/>
      <c r="T193" s="412"/>
      <c r="U193" s="161"/>
      <c r="V193" s="161"/>
      <c r="W193" s="412"/>
      <c r="X193" s="161"/>
      <c r="Y193" s="161"/>
      <c r="Z193" s="161"/>
      <c r="AA193" s="161"/>
      <c r="AB193" s="161"/>
    </row>
    <row r="214" spans="1:28" ht="15">
      <c r="A214" s="161"/>
      <c r="B214" s="161"/>
      <c r="C214" s="161"/>
      <c r="D214" s="161"/>
      <c r="E214" s="161"/>
      <c r="F214" s="161"/>
      <c r="G214" s="161"/>
      <c r="H214" s="161"/>
      <c r="I214" s="412"/>
      <c r="J214" s="412"/>
      <c r="K214" s="161"/>
      <c r="L214" s="412"/>
      <c r="M214" s="161"/>
      <c r="N214" s="161"/>
      <c r="O214" s="161"/>
      <c r="P214" s="161"/>
      <c r="Q214" s="412"/>
      <c r="R214" s="412"/>
      <c r="S214" s="161"/>
      <c r="T214" s="412"/>
      <c r="U214" s="161"/>
      <c r="V214" s="161"/>
      <c r="W214" s="412"/>
      <c r="X214" s="161"/>
      <c r="Y214" s="161"/>
      <c r="Z214" s="161"/>
      <c r="AA214" s="161"/>
      <c r="AB214" s="161"/>
    </row>
  </sheetData>
  <protectedRanges>
    <protectedRange sqref="D5" name="Intervalo1_2_1_2"/>
    <protectedRange sqref="E58" name="Intervalo1_2_1_4"/>
  </protectedRanges>
  <autoFilter ref="A1:AB192">
    <filterColumn colId="4">
      <filters>
        <filter val="2"/>
      </filters>
    </filterColumn>
  </autoFilter>
  <pageMargins left="0" right="0" top="0" bottom="0" header="0.31496062992125984" footer="0.31496062992125984"/>
  <pageSetup paperSize="9" scale="19" orientation="landscape" horizontalDpi="4294967294" verticalDpi="4294967294" r:id="rId1"/>
  <rowBreaks count="1" manualBreakCount="1">
    <brk id="75" max="238" man="1"/>
  </rowBreaks>
  <colBreaks count="1" manualBreakCount="1">
    <brk id="36" max="13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9"/>
  <sheetViews>
    <sheetView topLeftCell="E1" zoomScaleNormal="100" workbookViewId="0">
      <selection activeCell="J94" sqref="J94"/>
    </sheetView>
  </sheetViews>
  <sheetFormatPr defaultRowHeight="15"/>
  <cols>
    <col min="1" max="1" width="24.140625" style="454" customWidth="1"/>
    <col min="2" max="2" width="86.140625" style="454" customWidth="1"/>
    <col min="3" max="3" width="15.5703125" style="454" customWidth="1"/>
    <col min="4" max="4" width="22.5703125" style="454" customWidth="1"/>
    <col min="5" max="5" width="66.28515625" style="458" customWidth="1"/>
    <col min="6" max="7" width="9.140625" style="454"/>
    <col min="8" max="8" width="12.42578125" style="454" bestFit="1" customWidth="1"/>
    <col min="9" max="9" width="13.5703125" style="454" customWidth="1"/>
    <col min="10" max="10" width="52.5703125" style="454" customWidth="1"/>
    <col min="11" max="11" width="19.85546875" style="454" customWidth="1"/>
    <col min="12" max="12" width="18.5703125" style="454" customWidth="1"/>
    <col min="13" max="16384" width="9.140625" style="454"/>
  </cols>
  <sheetData>
    <row r="1" spans="1:13" ht="45">
      <c r="A1" s="449" t="s">
        <v>234</v>
      </c>
      <c r="B1" s="449" t="s">
        <v>235</v>
      </c>
      <c r="C1" s="449" t="s">
        <v>262</v>
      </c>
      <c r="D1" s="449" t="s">
        <v>263</v>
      </c>
      <c r="E1" s="449" t="s">
        <v>264</v>
      </c>
      <c r="F1" s="449" t="s">
        <v>265</v>
      </c>
      <c r="G1" s="450" t="s">
        <v>266</v>
      </c>
      <c r="H1" s="450" t="s">
        <v>267</v>
      </c>
      <c r="I1" s="451" t="s">
        <v>268</v>
      </c>
      <c r="J1" s="451" t="s">
        <v>269</v>
      </c>
      <c r="K1" s="451" t="s">
        <v>270</v>
      </c>
      <c r="L1" s="452" t="s">
        <v>271</v>
      </c>
      <c r="M1" s="453"/>
    </row>
    <row r="2" spans="1:13">
      <c r="A2" s="308" t="s">
        <v>467</v>
      </c>
      <c r="B2" s="446" t="s">
        <v>1371</v>
      </c>
      <c r="C2" s="308" t="s">
        <v>196</v>
      </c>
      <c r="D2" s="308" t="s">
        <v>758</v>
      </c>
      <c r="E2" s="460" t="s">
        <v>1042</v>
      </c>
      <c r="F2" s="460" t="s">
        <v>1043</v>
      </c>
      <c r="G2" s="443" t="s">
        <v>1044</v>
      </c>
      <c r="H2" s="308" t="s">
        <v>1045</v>
      </c>
      <c r="I2" s="308" t="s">
        <v>1046</v>
      </c>
      <c r="J2" s="308" t="s">
        <v>1047</v>
      </c>
      <c r="K2" s="461" t="s">
        <v>1048</v>
      </c>
      <c r="L2" s="467">
        <v>1923.87</v>
      </c>
      <c r="M2" s="453"/>
    </row>
    <row r="3" spans="1:13">
      <c r="A3" s="308" t="s">
        <v>467</v>
      </c>
      <c r="B3" s="446" t="s">
        <v>1371</v>
      </c>
      <c r="C3" s="308" t="s">
        <v>196</v>
      </c>
      <c r="D3" s="308" t="s">
        <v>758</v>
      </c>
      <c r="E3" s="460" t="s">
        <v>1042</v>
      </c>
      <c r="F3" s="460" t="s">
        <v>1043</v>
      </c>
      <c r="G3" s="443" t="s">
        <v>1044</v>
      </c>
      <c r="H3" s="308" t="s">
        <v>1049</v>
      </c>
      <c r="I3" s="308" t="s">
        <v>1050</v>
      </c>
      <c r="J3" s="308" t="s">
        <v>1051</v>
      </c>
      <c r="K3" s="461" t="s">
        <v>1048</v>
      </c>
      <c r="L3" s="467">
        <v>1222.3599999999999</v>
      </c>
      <c r="M3" s="453"/>
    </row>
    <row r="4" spans="1:13">
      <c r="A4" s="308" t="s">
        <v>467</v>
      </c>
      <c r="B4" s="446" t="s">
        <v>1371</v>
      </c>
      <c r="C4" s="308" t="s">
        <v>196</v>
      </c>
      <c r="D4" s="308" t="s">
        <v>758</v>
      </c>
      <c r="E4" s="460" t="s">
        <v>1042</v>
      </c>
      <c r="F4" s="460" t="s">
        <v>1043</v>
      </c>
      <c r="G4" s="443" t="s">
        <v>1044</v>
      </c>
      <c r="H4" s="308" t="s">
        <v>1052</v>
      </c>
      <c r="I4" s="308" t="s">
        <v>1053</v>
      </c>
      <c r="J4" s="308" t="s">
        <v>1054</v>
      </c>
      <c r="K4" s="461" t="s">
        <v>1048</v>
      </c>
      <c r="L4" s="467">
        <v>1222.3599999999999</v>
      </c>
      <c r="M4" s="453"/>
    </row>
    <row r="5" spans="1:13">
      <c r="A5" s="308" t="s">
        <v>467</v>
      </c>
      <c r="B5" s="446" t="s">
        <v>1371</v>
      </c>
      <c r="C5" s="308" t="s">
        <v>196</v>
      </c>
      <c r="D5" s="308" t="s">
        <v>758</v>
      </c>
      <c r="E5" s="460" t="s">
        <v>1042</v>
      </c>
      <c r="F5" s="460" t="s">
        <v>1043</v>
      </c>
      <c r="G5" s="443" t="s">
        <v>1044</v>
      </c>
      <c r="H5" s="308" t="s">
        <v>1055</v>
      </c>
      <c r="I5" s="308" t="s">
        <v>1056</v>
      </c>
      <c r="J5" s="308" t="s">
        <v>1057</v>
      </c>
      <c r="K5" s="461" t="s">
        <v>1048</v>
      </c>
      <c r="L5" s="467">
        <v>1843.42</v>
      </c>
      <c r="M5" s="453"/>
    </row>
    <row r="6" spans="1:13">
      <c r="A6" s="308" t="s">
        <v>467</v>
      </c>
      <c r="B6" s="446" t="s">
        <v>1371</v>
      </c>
      <c r="C6" s="308" t="s">
        <v>196</v>
      </c>
      <c r="D6" s="308" t="s">
        <v>758</v>
      </c>
      <c r="E6" s="460" t="s">
        <v>1042</v>
      </c>
      <c r="F6" s="460" t="s">
        <v>1043</v>
      </c>
      <c r="G6" s="443" t="s">
        <v>1044</v>
      </c>
      <c r="H6" s="308" t="s">
        <v>1058</v>
      </c>
      <c r="I6" s="308" t="s">
        <v>1059</v>
      </c>
      <c r="J6" s="308" t="s">
        <v>1060</v>
      </c>
      <c r="K6" s="461" t="s">
        <v>1048</v>
      </c>
      <c r="L6" s="467">
        <v>2063.61</v>
      </c>
      <c r="M6" s="453"/>
    </row>
    <row r="7" spans="1:13">
      <c r="A7" s="308" t="s">
        <v>467</v>
      </c>
      <c r="B7" s="446" t="s">
        <v>1371</v>
      </c>
      <c r="C7" s="308" t="s">
        <v>196</v>
      </c>
      <c r="D7" s="308" t="s">
        <v>758</v>
      </c>
      <c r="E7" s="460" t="s">
        <v>1042</v>
      </c>
      <c r="F7" s="460" t="s">
        <v>1043</v>
      </c>
      <c r="G7" s="443" t="s">
        <v>1044</v>
      </c>
      <c r="H7" s="308" t="s">
        <v>1061</v>
      </c>
      <c r="I7" s="308" t="s">
        <v>867</v>
      </c>
      <c r="J7" s="308" t="s">
        <v>1062</v>
      </c>
      <c r="K7" s="461" t="s">
        <v>1048</v>
      </c>
      <c r="L7" s="467" t="s">
        <v>1063</v>
      </c>
      <c r="M7" s="453"/>
    </row>
    <row r="8" spans="1:13">
      <c r="A8" s="308" t="s">
        <v>467</v>
      </c>
      <c r="B8" s="446" t="s">
        <v>1371</v>
      </c>
      <c r="C8" s="308" t="s">
        <v>196</v>
      </c>
      <c r="D8" s="308" t="s">
        <v>758</v>
      </c>
      <c r="E8" s="460" t="s">
        <v>1042</v>
      </c>
      <c r="F8" s="460" t="s">
        <v>1043</v>
      </c>
      <c r="G8" s="443" t="s">
        <v>1044</v>
      </c>
      <c r="H8" s="308" t="s">
        <v>1064</v>
      </c>
      <c r="I8" s="308" t="s">
        <v>1059</v>
      </c>
      <c r="J8" s="308" t="s">
        <v>1065</v>
      </c>
      <c r="K8" s="461" t="s">
        <v>1048</v>
      </c>
      <c r="L8" s="467">
        <v>2244.85</v>
      </c>
      <c r="M8" s="453"/>
    </row>
    <row r="9" spans="1:13">
      <c r="A9" s="308" t="s">
        <v>467</v>
      </c>
      <c r="B9" s="446" t="s">
        <v>1371</v>
      </c>
      <c r="C9" s="308" t="s">
        <v>1066</v>
      </c>
      <c r="D9" s="308" t="s">
        <v>1067</v>
      </c>
      <c r="E9" s="460" t="s">
        <v>1068</v>
      </c>
      <c r="F9" s="460" t="s">
        <v>1043</v>
      </c>
      <c r="G9" s="443" t="s">
        <v>1044</v>
      </c>
      <c r="H9" s="308" t="s">
        <v>1069</v>
      </c>
      <c r="I9" s="308" t="s">
        <v>1070</v>
      </c>
      <c r="J9" s="308" t="s">
        <v>1071</v>
      </c>
      <c r="K9" s="461">
        <v>2603454</v>
      </c>
      <c r="L9" s="467">
        <v>2813</v>
      </c>
      <c r="M9" s="453"/>
    </row>
    <row r="10" spans="1:13">
      <c r="A10" s="308" t="s">
        <v>467</v>
      </c>
      <c r="B10" s="446" t="s">
        <v>1371</v>
      </c>
      <c r="C10" s="308" t="s">
        <v>200</v>
      </c>
      <c r="D10" s="308" t="s">
        <v>1067</v>
      </c>
      <c r="E10" s="460" t="s">
        <v>1068</v>
      </c>
      <c r="F10" s="460" t="s">
        <v>1043</v>
      </c>
      <c r="G10" s="443" t="s">
        <v>1044</v>
      </c>
      <c r="H10" s="308" t="s">
        <v>1072</v>
      </c>
      <c r="I10" s="308" t="s">
        <v>1073</v>
      </c>
      <c r="J10" s="308" t="s">
        <v>1074</v>
      </c>
      <c r="K10" s="461">
        <v>2603454</v>
      </c>
      <c r="L10" s="467" t="s">
        <v>1075</v>
      </c>
      <c r="M10" s="453"/>
    </row>
    <row r="11" spans="1:13">
      <c r="A11" s="308" t="s">
        <v>467</v>
      </c>
      <c r="B11" s="446" t="s">
        <v>1371</v>
      </c>
      <c r="C11" s="308" t="s">
        <v>200</v>
      </c>
      <c r="D11" s="308" t="s">
        <v>1067</v>
      </c>
      <c r="E11" s="460" t="s">
        <v>1068</v>
      </c>
      <c r="F11" s="460" t="s">
        <v>1043</v>
      </c>
      <c r="G11" s="443" t="s">
        <v>1044</v>
      </c>
      <c r="H11" s="308" t="s">
        <v>1076</v>
      </c>
      <c r="I11" s="308" t="s">
        <v>1077</v>
      </c>
      <c r="J11" s="308" t="s">
        <v>1078</v>
      </c>
      <c r="K11" s="461">
        <v>2603454</v>
      </c>
      <c r="L11" s="467">
        <v>2430.5</v>
      </c>
      <c r="M11" s="453"/>
    </row>
    <row r="12" spans="1:13">
      <c r="A12" s="308" t="s">
        <v>467</v>
      </c>
      <c r="B12" s="446" t="s">
        <v>1371</v>
      </c>
      <c r="C12" s="308" t="s">
        <v>200</v>
      </c>
      <c r="D12" s="308" t="s">
        <v>1067</v>
      </c>
      <c r="E12" s="460" t="s">
        <v>1068</v>
      </c>
      <c r="F12" s="460" t="s">
        <v>1043</v>
      </c>
      <c r="G12" s="443" t="s">
        <v>1044</v>
      </c>
      <c r="H12" s="308" t="s">
        <v>1079</v>
      </c>
      <c r="I12" s="308" t="s">
        <v>1077</v>
      </c>
      <c r="J12" s="308" t="s">
        <v>1080</v>
      </c>
      <c r="K12" s="461">
        <v>2603454</v>
      </c>
      <c r="L12" s="467">
        <v>7782.92</v>
      </c>
      <c r="M12" s="453"/>
    </row>
    <row r="13" spans="1:13">
      <c r="A13" s="308" t="s">
        <v>467</v>
      </c>
      <c r="B13" s="446" t="s">
        <v>1371</v>
      </c>
      <c r="C13" s="308" t="s">
        <v>200</v>
      </c>
      <c r="D13" s="308" t="s">
        <v>1067</v>
      </c>
      <c r="E13" s="460" t="s">
        <v>1068</v>
      </c>
      <c r="F13" s="460" t="s">
        <v>1043</v>
      </c>
      <c r="G13" s="443" t="s">
        <v>1044</v>
      </c>
      <c r="H13" s="308" t="s">
        <v>1081</v>
      </c>
      <c r="I13" s="308" t="s">
        <v>1059</v>
      </c>
      <c r="J13" s="308" t="s">
        <v>1082</v>
      </c>
      <c r="K13" s="461">
        <v>2603454</v>
      </c>
      <c r="L13" s="467" t="s">
        <v>1083</v>
      </c>
      <c r="M13" s="453"/>
    </row>
    <row r="14" spans="1:13">
      <c r="A14" s="308" t="s">
        <v>467</v>
      </c>
      <c r="B14" s="446" t="s">
        <v>1371</v>
      </c>
      <c r="C14" s="308" t="s">
        <v>200</v>
      </c>
      <c r="D14" s="308" t="s">
        <v>1084</v>
      </c>
      <c r="E14" s="460" t="s">
        <v>1085</v>
      </c>
      <c r="F14" s="460" t="s">
        <v>1043</v>
      </c>
      <c r="G14" s="443" t="s">
        <v>1044</v>
      </c>
      <c r="H14" s="308" t="s">
        <v>1086</v>
      </c>
      <c r="I14" s="308" t="s">
        <v>1077</v>
      </c>
      <c r="J14" s="308" t="s">
        <v>1087</v>
      </c>
      <c r="K14" s="462">
        <v>2607901</v>
      </c>
      <c r="L14" s="467">
        <v>3182.5</v>
      </c>
      <c r="M14" s="453"/>
    </row>
    <row r="15" spans="1:13">
      <c r="A15" s="308" t="s">
        <v>467</v>
      </c>
      <c r="B15" s="446" t="s">
        <v>1371</v>
      </c>
      <c r="C15" s="308" t="s">
        <v>200</v>
      </c>
      <c r="D15" s="308" t="s">
        <v>1088</v>
      </c>
      <c r="E15" s="460" t="s">
        <v>1085</v>
      </c>
      <c r="F15" s="460" t="s">
        <v>1043</v>
      </c>
      <c r="G15" s="443" t="s">
        <v>1044</v>
      </c>
      <c r="H15" s="308" t="s">
        <v>1089</v>
      </c>
      <c r="I15" s="308" t="s">
        <v>1059</v>
      </c>
      <c r="J15" s="308" t="s">
        <v>1090</v>
      </c>
      <c r="K15" s="462">
        <v>2607901</v>
      </c>
      <c r="L15" s="467">
        <v>3952.64</v>
      </c>
      <c r="M15" s="453"/>
    </row>
    <row r="16" spans="1:13">
      <c r="A16" s="308" t="s">
        <v>467</v>
      </c>
      <c r="B16" s="446" t="s">
        <v>1371</v>
      </c>
      <c r="C16" s="308" t="s">
        <v>200</v>
      </c>
      <c r="D16" s="308" t="s">
        <v>1088</v>
      </c>
      <c r="E16" s="460" t="s">
        <v>1085</v>
      </c>
      <c r="F16" s="460" t="s">
        <v>1043</v>
      </c>
      <c r="G16" s="443" t="s">
        <v>1044</v>
      </c>
      <c r="H16" s="308" t="s">
        <v>1091</v>
      </c>
      <c r="I16" s="308" t="s">
        <v>1070</v>
      </c>
      <c r="J16" s="308" t="s">
        <v>1092</v>
      </c>
      <c r="K16" s="462">
        <v>2607901</v>
      </c>
      <c r="L16" s="467" t="s">
        <v>1093</v>
      </c>
      <c r="M16" s="453"/>
    </row>
    <row r="17" spans="1:13">
      <c r="A17" s="308" t="s">
        <v>467</v>
      </c>
      <c r="B17" s="446" t="s">
        <v>1371</v>
      </c>
      <c r="C17" s="308" t="s">
        <v>200</v>
      </c>
      <c r="D17" s="308" t="s">
        <v>1094</v>
      </c>
      <c r="E17" s="460" t="s">
        <v>1095</v>
      </c>
      <c r="F17" s="460" t="s">
        <v>1043</v>
      </c>
      <c r="G17" s="443" t="s">
        <v>1044</v>
      </c>
      <c r="H17" s="308" t="s">
        <v>1096</v>
      </c>
      <c r="I17" s="308" t="s">
        <v>1050</v>
      </c>
      <c r="J17" s="308" t="s">
        <v>1097</v>
      </c>
      <c r="K17" s="462">
        <v>2611606</v>
      </c>
      <c r="L17" s="467">
        <v>1182.4000000000001</v>
      </c>
      <c r="M17" s="453"/>
    </row>
    <row r="18" spans="1:13">
      <c r="A18" s="308" t="s">
        <v>467</v>
      </c>
      <c r="B18" s="446" t="s">
        <v>1371</v>
      </c>
      <c r="C18" s="308" t="s">
        <v>200</v>
      </c>
      <c r="D18" s="308" t="s">
        <v>1094</v>
      </c>
      <c r="E18" s="460" t="s">
        <v>1095</v>
      </c>
      <c r="F18" s="460" t="s">
        <v>1043</v>
      </c>
      <c r="G18" s="443" t="s">
        <v>1044</v>
      </c>
      <c r="H18" s="308" t="s">
        <v>1098</v>
      </c>
      <c r="I18" s="308" t="s">
        <v>1099</v>
      </c>
      <c r="J18" s="308" t="s">
        <v>1100</v>
      </c>
      <c r="K18" s="462">
        <v>2611606</v>
      </c>
      <c r="L18" s="467" t="s">
        <v>1101</v>
      </c>
      <c r="M18" s="453"/>
    </row>
    <row r="19" spans="1:13">
      <c r="A19" s="308" t="s">
        <v>467</v>
      </c>
      <c r="B19" s="446" t="s">
        <v>1371</v>
      </c>
      <c r="C19" s="308" t="s">
        <v>200</v>
      </c>
      <c r="D19" s="308" t="s">
        <v>1094</v>
      </c>
      <c r="E19" s="460" t="s">
        <v>1095</v>
      </c>
      <c r="F19" s="460" t="s">
        <v>1043</v>
      </c>
      <c r="G19" s="443" t="s">
        <v>1044</v>
      </c>
      <c r="H19" s="308" t="s">
        <v>1098</v>
      </c>
      <c r="I19" s="308" t="s">
        <v>1070</v>
      </c>
      <c r="J19" s="308" t="s">
        <v>1102</v>
      </c>
      <c r="K19" s="462">
        <v>2611606</v>
      </c>
      <c r="L19" s="467" t="s">
        <v>1103</v>
      </c>
      <c r="M19" s="453"/>
    </row>
    <row r="20" spans="1:13">
      <c r="A20" s="308" t="s">
        <v>467</v>
      </c>
      <c r="B20" s="446" t="s">
        <v>1371</v>
      </c>
      <c r="C20" s="308" t="s">
        <v>1066</v>
      </c>
      <c r="D20" s="308" t="s">
        <v>1104</v>
      </c>
      <c r="E20" s="460" t="s">
        <v>1105</v>
      </c>
      <c r="F20" s="460" t="s">
        <v>1043</v>
      </c>
      <c r="G20" s="443" t="s">
        <v>1044</v>
      </c>
      <c r="H20" s="308" t="s">
        <v>1106</v>
      </c>
      <c r="I20" s="308" t="s">
        <v>1056</v>
      </c>
      <c r="J20" s="308" t="s">
        <v>1107</v>
      </c>
      <c r="K20" s="462">
        <v>2611606</v>
      </c>
      <c r="L20" s="467" t="s">
        <v>1108</v>
      </c>
      <c r="M20" s="453"/>
    </row>
    <row r="21" spans="1:13">
      <c r="A21" s="308" t="s">
        <v>467</v>
      </c>
      <c r="B21" s="446" t="s">
        <v>1371</v>
      </c>
      <c r="C21" s="308" t="s">
        <v>1066</v>
      </c>
      <c r="D21" s="308" t="s">
        <v>1109</v>
      </c>
      <c r="E21" s="460" t="s">
        <v>1110</v>
      </c>
      <c r="F21" s="460" t="s">
        <v>1043</v>
      </c>
      <c r="G21" s="443" t="s">
        <v>1044</v>
      </c>
      <c r="H21" s="308" t="s">
        <v>1111</v>
      </c>
      <c r="I21" s="308" t="s">
        <v>1070</v>
      </c>
      <c r="J21" s="308" t="s">
        <v>1112</v>
      </c>
      <c r="K21" s="462">
        <v>2611606</v>
      </c>
      <c r="L21" s="467">
        <v>7467.5</v>
      </c>
      <c r="M21" s="453"/>
    </row>
    <row r="22" spans="1:13">
      <c r="A22" s="308" t="s">
        <v>467</v>
      </c>
      <c r="B22" s="446" t="s">
        <v>1371</v>
      </c>
      <c r="C22" s="308" t="s">
        <v>1066</v>
      </c>
      <c r="D22" s="308" t="s">
        <v>1109</v>
      </c>
      <c r="E22" s="460" t="s">
        <v>1110</v>
      </c>
      <c r="F22" s="460" t="s">
        <v>1043</v>
      </c>
      <c r="G22" s="443" t="s">
        <v>1044</v>
      </c>
      <c r="H22" s="308" t="s">
        <v>1113</v>
      </c>
      <c r="I22" s="308" t="s">
        <v>1050</v>
      </c>
      <c r="J22" s="308" t="s">
        <v>1114</v>
      </c>
      <c r="K22" s="462">
        <v>2611606</v>
      </c>
      <c r="L22" s="467">
        <v>25738.799999999999</v>
      </c>
      <c r="M22" s="453"/>
    </row>
    <row r="23" spans="1:13">
      <c r="A23" s="308" t="s">
        <v>467</v>
      </c>
      <c r="B23" s="446" t="s">
        <v>1371</v>
      </c>
      <c r="C23" s="308" t="s">
        <v>1066</v>
      </c>
      <c r="D23" s="308" t="s">
        <v>1115</v>
      </c>
      <c r="E23" s="460" t="s">
        <v>1116</v>
      </c>
      <c r="F23" s="460" t="s">
        <v>1043</v>
      </c>
      <c r="G23" s="443" t="s">
        <v>1044</v>
      </c>
      <c r="H23" s="308" t="s">
        <v>1117</v>
      </c>
      <c r="I23" s="308" t="s">
        <v>1059</v>
      </c>
      <c r="J23" s="308" t="s">
        <v>1118</v>
      </c>
      <c r="K23" s="462">
        <v>2613701</v>
      </c>
      <c r="L23" s="467">
        <v>12003.6</v>
      </c>
      <c r="M23" s="453"/>
    </row>
    <row r="24" spans="1:13">
      <c r="A24" s="308" t="s">
        <v>467</v>
      </c>
      <c r="B24" s="446" t="s">
        <v>1371</v>
      </c>
      <c r="C24" s="308" t="s">
        <v>216</v>
      </c>
      <c r="D24" s="308" t="s">
        <v>1119</v>
      </c>
      <c r="E24" s="460" t="s">
        <v>919</v>
      </c>
      <c r="F24" s="460" t="s">
        <v>1120</v>
      </c>
      <c r="G24" s="443" t="s">
        <v>1044</v>
      </c>
      <c r="H24" s="308" t="s">
        <v>1121</v>
      </c>
      <c r="I24" s="308" t="s">
        <v>1099</v>
      </c>
      <c r="J24" s="308" t="s">
        <v>1122</v>
      </c>
      <c r="K24" s="462">
        <v>2602902</v>
      </c>
      <c r="L24" s="467" t="s">
        <v>1123</v>
      </c>
      <c r="M24" s="453"/>
    </row>
    <row r="25" spans="1:13">
      <c r="A25" s="308" t="s">
        <v>467</v>
      </c>
      <c r="B25" s="446" t="s">
        <v>1371</v>
      </c>
      <c r="C25" s="308" t="s">
        <v>1066</v>
      </c>
      <c r="D25" s="308" t="s">
        <v>1119</v>
      </c>
      <c r="E25" s="460" t="s">
        <v>919</v>
      </c>
      <c r="F25" s="460" t="s">
        <v>1120</v>
      </c>
      <c r="G25" s="443" t="s">
        <v>1044</v>
      </c>
      <c r="H25" s="308" t="s">
        <v>1124</v>
      </c>
      <c r="I25" s="308" t="s">
        <v>1099</v>
      </c>
      <c r="J25" s="308" t="s">
        <v>1125</v>
      </c>
      <c r="K25" s="462">
        <v>2602902</v>
      </c>
      <c r="L25" s="467">
        <v>5820</v>
      </c>
      <c r="M25" s="453"/>
    </row>
    <row r="26" spans="1:13">
      <c r="A26" s="308" t="s">
        <v>467</v>
      </c>
      <c r="B26" s="446" t="s">
        <v>1371</v>
      </c>
      <c r="C26" s="308" t="s">
        <v>200</v>
      </c>
      <c r="D26" s="308" t="s">
        <v>1126</v>
      </c>
      <c r="E26" s="460" t="s">
        <v>1127</v>
      </c>
      <c r="F26" s="460" t="s">
        <v>1043</v>
      </c>
      <c r="G26" s="443" t="s">
        <v>1044</v>
      </c>
      <c r="H26" s="308" t="s">
        <v>1128</v>
      </c>
      <c r="I26" s="308" t="s">
        <v>1059</v>
      </c>
      <c r="J26" s="308" t="s">
        <v>1129</v>
      </c>
      <c r="K26" s="462">
        <v>2602902</v>
      </c>
      <c r="L26" s="467">
        <v>1386</v>
      </c>
      <c r="M26" s="453"/>
    </row>
    <row r="27" spans="1:13">
      <c r="A27" s="308" t="s">
        <v>467</v>
      </c>
      <c r="B27" s="446" t="s">
        <v>1371</v>
      </c>
      <c r="C27" s="308" t="s">
        <v>1066</v>
      </c>
      <c r="D27" s="308" t="s">
        <v>1130</v>
      </c>
      <c r="E27" s="460" t="s">
        <v>1131</v>
      </c>
      <c r="F27" s="460" t="s">
        <v>1043</v>
      </c>
      <c r="G27" s="443" t="s">
        <v>1044</v>
      </c>
      <c r="H27" s="308" t="s">
        <v>1132</v>
      </c>
      <c r="I27" s="308" t="s">
        <v>1050</v>
      </c>
      <c r="J27" s="308" t="s">
        <v>1133</v>
      </c>
      <c r="K27" s="462">
        <v>2611606</v>
      </c>
      <c r="L27" s="467" t="s">
        <v>1134</v>
      </c>
      <c r="M27" s="453"/>
    </row>
    <row r="28" spans="1:13">
      <c r="A28" s="308" t="s">
        <v>467</v>
      </c>
      <c r="B28" s="446" t="s">
        <v>1371</v>
      </c>
      <c r="C28" s="308" t="s">
        <v>1066</v>
      </c>
      <c r="D28" s="308" t="s">
        <v>1135</v>
      </c>
      <c r="E28" s="460" t="s">
        <v>1136</v>
      </c>
      <c r="F28" s="460" t="s">
        <v>1043</v>
      </c>
      <c r="G28" s="443" t="s">
        <v>1044</v>
      </c>
      <c r="H28" s="308" t="s">
        <v>1137</v>
      </c>
      <c r="I28" s="308" t="s">
        <v>1077</v>
      </c>
      <c r="J28" s="308" t="s">
        <v>1138</v>
      </c>
      <c r="K28" s="462">
        <v>2607901</v>
      </c>
      <c r="L28" s="467">
        <v>1131.3599999999999</v>
      </c>
      <c r="M28" s="453"/>
    </row>
    <row r="29" spans="1:13">
      <c r="A29" s="308" t="s">
        <v>467</v>
      </c>
      <c r="B29" s="446" t="s">
        <v>1371</v>
      </c>
      <c r="C29" s="308" t="s">
        <v>1066</v>
      </c>
      <c r="D29" s="308" t="s">
        <v>1135</v>
      </c>
      <c r="E29" s="460" t="s">
        <v>1136</v>
      </c>
      <c r="F29" s="460" t="s">
        <v>1043</v>
      </c>
      <c r="G29" s="443" t="s">
        <v>1044</v>
      </c>
      <c r="H29" s="308" t="s">
        <v>1139</v>
      </c>
      <c r="I29" s="308" t="s">
        <v>1077</v>
      </c>
      <c r="J29" s="308" t="s">
        <v>1140</v>
      </c>
      <c r="K29" s="463">
        <v>2607901</v>
      </c>
      <c r="L29" s="467">
        <v>11779.94</v>
      </c>
      <c r="M29" s="453"/>
    </row>
    <row r="30" spans="1:13">
      <c r="A30" s="308" t="s">
        <v>467</v>
      </c>
      <c r="B30" s="446" t="s">
        <v>1371</v>
      </c>
      <c r="C30" s="308" t="s">
        <v>196</v>
      </c>
      <c r="D30" s="308" t="s">
        <v>758</v>
      </c>
      <c r="E30" s="460" t="s">
        <v>1042</v>
      </c>
      <c r="F30" s="460" t="s">
        <v>1043</v>
      </c>
      <c r="G30" s="443" t="s">
        <v>1044</v>
      </c>
      <c r="H30" s="308" t="s">
        <v>1141</v>
      </c>
      <c r="I30" s="308" t="s">
        <v>1070</v>
      </c>
      <c r="J30" s="308" t="s">
        <v>1142</v>
      </c>
      <c r="K30" s="461" t="s">
        <v>1048</v>
      </c>
      <c r="L30" s="467">
        <v>1202.5899999999999</v>
      </c>
      <c r="M30" s="453"/>
    </row>
    <row r="31" spans="1:13">
      <c r="A31" s="308" t="s">
        <v>467</v>
      </c>
      <c r="B31" s="446" t="s">
        <v>1371</v>
      </c>
      <c r="C31" s="308" t="s">
        <v>196</v>
      </c>
      <c r="D31" s="308" t="s">
        <v>758</v>
      </c>
      <c r="E31" s="460" t="s">
        <v>928</v>
      </c>
      <c r="F31" s="460" t="s">
        <v>1043</v>
      </c>
      <c r="G31" s="443" t="s">
        <v>1044</v>
      </c>
      <c r="H31" s="308" t="s">
        <v>1143</v>
      </c>
      <c r="I31" s="308" t="s">
        <v>1073</v>
      </c>
      <c r="J31" s="308" t="s">
        <v>1144</v>
      </c>
      <c r="K31" s="461" t="s">
        <v>1048</v>
      </c>
      <c r="L31" s="467" t="s">
        <v>1145</v>
      </c>
      <c r="M31" s="453"/>
    </row>
    <row r="32" spans="1:13">
      <c r="A32" s="308" t="s">
        <v>467</v>
      </c>
      <c r="B32" s="446" t="s">
        <v>1371</v>
      </c>
      <c r="C32" s="308" t="s">
        <v>196</v>
      </c>
      <c r="D32" s="308" t="s">
        <v>758</v>
      </c>
      <c r="E32" s="460" t="s">
        <v>1042</v>
      </c>
      <c r="F32" s="460" t="s">
        <v>1043</v>
      </c>
      <c r="G32" s="443" t="s">
        <v>1044</v>
      </c>
      <c r="H32" s="308" t="s">
        <v>1146</v>
      </c>
      <c r="I32" s="308" t="s">
        <v>1070</v>
      </c>
      <c r="J32" s="308" t="s">
        <v>1147</v>
      </c>
      <c r="K32" s="461" t="s">
        <v>1048</v>
      </c>
      <c r="L32" s="467">
        <v>3046.02</v>
      </c>
      <c r="M32" s="453"/>
    </row>
    <row r="33" spans="1:13">
      <c r="A33" s="308" t="s">
        <v>467</v>
      </c>
      <c r="B33" s="446" t="s">
        <v>1371</v>
      </c>
      <c r="C33" s="308" t="s">
        <v>1148</v>
      </c>
      <c r="D33" s="308" t="s">
        <v>1115</v>
      </c>
      <c r="E33" s="460" t="s">
        <v>1116</v>
      </c>
      <c r="F33" s="460" t="s">
        <v>1043</v>
      </c>
      <c r="G33" s="443" t="s">
        <v>1044</v>
      </c>
      <c r="H33" s="308" t="s">
        <v>1149</v>
      </c>
      <c r="I33" s="308" t="s">
        <v>1150</v>
      </c>
      <c r="J33" s="308" t="s">
        <v>1151</v>
      </c>
      <c r="K33" s="462">
        <v>2613701</v>
      </c>
      <c r="L33" s="467">
        <v>1960.5</v>
      </c>
      <c r="M33" s="453"/>
    </row>
    <row r="34" spans="1:13">
      <c r="A34" s="308" t="s">
        <v>467</v>
      </c>
      <c r="B34" s="446" t="s">
        <v>1371</v>
      </c>
      <c r="C34" s="308" t="s">
        <v>1066</v>
      </c>
      <c r="D34" s="308" t="s">
        <v>1115</v>
      </c>
      <c r="E34" s="460" t="s">
        <v>1116</v>
      </c>
      <c r="F34" s="460" t="s">
        <v>1043</v>
      </c>
      <c r="G34" s="443" t="s">
        <v>1044</v>
      </c>
      <c r="H34" s="308" t="s">
        <v>1152</v>
      </c>
      <c r="I34" s="308" t="s">
        <v>1150</v>
      </c>
      <c r="J34" s="308" t="s">
        <v>1153</v>
      </c>
      <c r="K34" s="463">
        <v>2613701</v>
      </c>
      <c r="L34" s="467">
        <v>3900</v>
      </c>
      <c r="M34" s="453"/>
    </row>
    <row r="35" spans="1:13">
      <c r="A35" s="308" t="s">
        <v>467</v>
      </c>
      <c r="B35" s="446" t="s">
        <v>1371</v>
      </c>
      <c r="C35" s="308" t="s">
        <v>1066</v>
      </c>
      <c r="D35" s="308" t="s">
        <v>1154</v>
      </c>
      <c r="E35" s="460" t="s">
        <v>1136</v>
      </c>
      <c r="F35" s="460" t="s">
        <v>1043</v>
      </c>
      <c r="G35" s="443" t="s">
        <v>1044</v>
      </c>
      <c r="H35" s="308" t="s">
        <v>1155</v>
      </c>
      <c r="I35" s="308" t="s">
        <v>1156</v>
      </c>
      <c r="J35" s="308" t="s">
        <v>1157</v>
      </c>
      <c r="K35" s="462">
        <v>2613701</v>
      </c>
      <c r="L35" s="467" t="s">
        <v>1158</v>
      </c>
      <c r="M35" s="453"/>
    </row>
    <row r="36" spans="1:13">
      <c r="A36" s="308" t="s">
        <v>467</v>
      </c>
      <c r="B36" s="446" t="s">
        <v>1371</v>
      </c>
      <c r="C36" s="308" t="s">
        <v>214</v>
      </c>
      <c r="D36" s="308" t="s">
        <v>1159</v>
      </c>
      <c r="E36" s="460" t="s">
        <v>1160</v>
      </c>
      <c r="F36" s="460" t="s">
        <v>1043</v>
      </c>
      <c r="G36" s="443" t="s">
        <v>1044</v>
      </c>
      <c r="H36" s="308" t="s">
        <v>1161</v>
      </c>
      <c r="I36" s="308" t="s">
        <v>1156</v>
      </c>
      <c r="J36" s="308" t="s">
        <v>1162</v>
      </c>
      <c r="K36" s="462">
        <v>2611606</v>
      </c>
      <c r="L36" s="467" t="s">
        <v>1163</v>
      </c>
      <c r="M36" s="453"/>
    </row>
    <row r="37" spans="1:13">
      <c r="A37" s="308" t="s">
        <v>467</v>
      </c>
      <c r="B37" s="446" t="s">
        <v>1371</v>
      </c>
      <c r="C37" s="308" t="s">
        <v>1148</v>
      </c>
      <c r="D37" s="308" t="s">
        <v>1159</v>
      </c>
      <c r="E37" s="460" t="s">
        <v>1160</v>
      </c>
      <c r="F37" s="460" t="s">
        <v>1043</v>
      </c>
      <c r="G37" s="443" t="s">
        <v>1044</v>
      </c>
      <c r="H37" s="308" t="s">
        <v>1164</v>
      </c>
      <c r="I37" s="308" t="s">
        <v>1156</v>
      </c>
      <c r="J37" s="308" t="s">
        <v>1165</v>
      </c>
      <c r="K37" s="462">
        <v>2611606</v>
      </c>
      <c r="L37" s="467">
        <v>1268.3800000000001</v>
      </c>
      <c r="M37" s="453"/>
    </row>
    <row r="38" spans="1:13">
      <c r="A38" s="308" t="s">
        <v>467</v>
      </c>
      <c r="B38" s="446" t="s">
        <v>1371</v>
      </c>
      <c r="C38" s="308" t="s">
        <v>1066</v>
      </c>
      <c r="D38" s="308" t="s">
        <v>1166</v>
      </c>
      <c r="E38" s="460" t="s">
        <v>1167</v>
      </c>
      <c r="F38" s="460" t="s">
        <v>1043</v>
      </c>
      <c r="G38" s="443" t="s">
        <v>1044</v>
      </c>
      <c r="H38" s="308" t="s">
        <v>1168</v>
      </c>
      <c r="I38" s="308" t="s">
        <v>1070</v>
      </c>
      <c r="J38" s="308" t="s">
        <v>1169</v>
      </c>
      <c r="K38" s="462">
        <v>2611606</v>
      </c>
      <c r="L38" s="467">
        <v>2187.5</v>
      </c>
      <c r="M38" s="453"/>
    </row>
    <row r="39" spans="1:13">
      <c r="A39" s="308" t="s">
        <v>467</v>
      </c>
      <c r="B39" s="446" t="s">
        <v>1371</v>
      </c>
      <c r="C39" s="308" t="s">
        <v>214</v>
      </c>
      <c r="D39" s="308" t="s">
        <v>1170</v>
      </c>
      <c r="E39" s="460" t="s">
        <v>1171</v>
      </c>
      <c r="F39" s="460" t="s">
        <v>1043</v>
      </c>
      <c r="G39" s="443" t="s">
        <v>1044</v>
      </c>
      <c r="H39" s="308" t="s">
        <v>1172</v>
      </c>
      <c r="I39" s="308" t="s">
        <v>1173</v>
      </c>
      <c r="J39" s="308" t="s">
        <v>1174</v>
      </c>
      <c r="K39" s="462">
        <v>2607901</v>
      </c>
      <c r="L39" s="467">
        <v>2768.7</v>
      </c>
      <c r="M39" s="453"/>
    </row>
    <row r="40" spans="1:13">
      <c r="A40" s="308" t="s">
        <v>467</v>
      </c>
      <c r="B40" s="446" t="s">
        <v>1371</v>
      </c>
      <c r="C40" s="308" t="s">
        <v>1066</v>
      </c>
      <c r="D40" s="308" t="s">
        <v>1119</v>
      </c>
      <c r="E40" s="460" t="s">
        <v>919</v>
      </c>
      <c r="F40" s="460" t="s">
        <v>1043</v>
      </c>
      <c r="G40" s="443" t="s">
        <v>1044</v>
      </c>
      <c r="H40" s="308" t="s">
        <v>1175</v>
      </c>
      <c r="I40" s="308" t="s">
        <v>1176</v>
      </c>
      <c r="J40" s="308" t="s">
        <v>1177</v>
      </c>
      <c r="K40" s="462">
        <v>2607901</v>
      </c>
      <c r="L40" s="467">
        <v>1200</v>
      </c>
      <c r="M40" s="453"/>
    </row>
    <row r="41" spans="1:13">
      <c r="A41" s="308" t="s">
        <v>467</v>
      </c>
      <c r="B41" s="446" t="s">
        <v>1371</v>
      </c>
      <c r="C41" s="308" t="s">
        <v>214</v>
      </c>
      <c r="D41" s="308" t="s">
        <v>1119</v>
      </c>
      <c r="E41" s="460" t="s">
        <v>919</v>
      </c>
      <c r="F41" s="460" t="s">
        <v>1043</v>
      </c>
      <c r="G41" s="443" t="s">
        <v>1044</v>
      </c>
      <c r="H41" s="308" t="s">
        <v>1178</v>
      </c>
      <c r="I41" s="308" t="s">
        <v>1156</v>
      </c>
      <c r="J41" s="308" t="s">
        <v>1179</v>
      </c>
      <c r="K41" s="462">
        <v>2607901</v>
      </c>
      <c r="L41" s="467">
        <v>5812</v>
      </c>
      <c r="M41" s="453"/>
    </row>
    <row r="42" spans="1:13">
      <c r="A42" s="308" t="s">
        <v>467</v>
      </c>
      <c r="B42" s="446" t="s">
        <v>1371</v>
      </c>
      <c r="C42" s="308" t="s">
        <v>214</v>
      </c>
      <c r="D42" s="308" t="s">
        <v>1119</v>
      </c>
      <c r="E42" s="460" t="s">
        <v>919</v>
      </c>
      <c r="F42" s="460" t="s">
        <v>1043</v>
      </c>
      <c r="G42" s="443" t="s">
        <v>1044</v>
      </c>
      <c r="H42" s="308" t="s">
        <v>1180</v>
      </c>
      <c r="I42" s="308" t="s">
        <v>1156</v>
      </c>
      <c r="J42" s="308" t="s">
        <v>1181</v>
      </c>
      <c r="K42" s="462">
        <v>2607901</v>
      </c>
      <c r="L42" s="467" t="s">
        <v>1182</v>
      </c>
      <c r="M42" s="453"/>
    </row>
    <row r="43" spans="1:13">
      <c r="A43" s="308" t="s">
        <v>467</v>
      </c>
      <c r="B43" s="446" t="s">
        <v>1371</v>
      </c>
      <c r="C43" s="308" t="s">
        <v>1066</v>
      </c>
      <c r="D43" s="308" t="s">
        <v>1119</v>
      </c>
      <c r="E43" s="460" t="s">
        <v>919</v>
      </c>
      <c r="F43" s="460" t="s">
        <v>1043</v>
      </c>
      <c r="G43" s="443" t="s">
        <v>1044</v>
      </c>
      <c r="H43" s="308" t="s">
        <v>1175</v>
      </c>
      <c r="I43" s="308" t="s">
        <v>1176</v>
      </c>
      <c r="J43" s="308" t="s">
        <v>1183</v>
      </c>
      <c r="K43" s="461">
        <v>2603454</v>
      </c>
      <c r="L43" s="467">
        <v>1200</v>
      </c>
      <c r="M43" s="453"/>
    </row>
    <row r="44" spans="1:13">
      <c r="A44" s="308" t="s">
        <v>467</v>
      </c>
      <c r="B44" s="446" t="s">
        <v>1371</v>
      </c>
      <c r="C44" s="308" t="s">
        <v>1066</v>
      </c>
      <c r="D44" s="308" t="s">
        <v>1067</v>
      </c>
      <c r="E44" s="460" t="s">
        <v>1068</v>
      </c>
      <c r="F44" s="460" t="s">
        <v>1043</v>
      </c>
      <c r="G44" s="443" t="s">
        <v>1044</v>
      </c>
      <c r="H44" s="308" t="s">
        <v>1184</v>
      </c>
      <c r="I44" s="308" t="s">
        <v>1150</v>
      </c>
      <c r="J44" s="308" t="s">
        <v>1185</v>
      </c>
      <c r="K44" s="461">
        <v>2603454</v>
      </c>
      <c r="L44" s="467">
        <v>1400</v>
      </c>
      <c r="M44" s="453"/>
    </row>
    <row r="45" spans="1:13">
      <c r="A45" s="308" t="s">
        <v>467</v>
      </c>
      <c r="B45" s="446" t="s">
        <v>1371</v>
      </c>
      <c r="C45" s="308" t="s">
        <v>1066</v>
      </c>
      <c r="D45" s="308" t="s">
        <v>1186</v>
      </c>
      <c r="E45" s="460" t="s">
        <v>1187</v>
      </c>
      <c r="F45" s="460" t="s">
        <v>1043</v>
      </c>
      <c r="G45" s="443" t="s">
        <v>1044</v>
      </c>
      <c r="H45" s="308" t="s">
        <v>1188</v>
      </c>
      <c r="I45" s="308" t="s">
        <v>1189</v>
      </c>
      <c r="J45" s="308" t="s">
        <v>1190</v>
      </c>
      <c r="K45" s="462">
        <v>2611606</v>
      </c>
      <c r="L45" s="467">
        <v>1440</v>
      </c>
      <c r="M45" s="453"/>
    </row>
    <row r="46" spans="1:13">
      <c r="A46" s="308" t="s">
        <v>467</v>
      </c>
      <c r="B46" s="446" t="s">
        <v>1371</v>
      </c>
      <c r="C46" s="308" t="s">
        <v>196</v>
      </c>
      <c r="D46" s="308" t="s">
        <v>758</v>
      </c>
      <c r="E46" s="460" t="s">
        <v>1042</v>
      </c>
      <c r="F46" s="460" t="s">
        <v>1043</v>
      </c>
      <c r="G46" s="443" t="s">
        <v>1044</v>
      </c>
      <c r="H46" s="308" t="s">
        <v>1191</v>
      </c>
      <c r="I46" s="308" t="s">
        <v>1192</v>
      </c>
      <c r="J46" s="308" t="s">
        <v>1193</v>
      </c>
      <c r="K46" s="461" t="s">
        <v>1048</v>
      </c>
      <c r="L46" s="467">
        <v>1222.3599999999999</v>
      </c>
      <c r="M46" s="453"/>
    </row>
    <row r="47" spans="1:13">
      <c r="A47" s="308" t="s">
        <v>467</v>
      </c>
      <c r="B47" s="446" t="s">
        <v>1371</v>
      </c>
      <c r="C47" s="308" t="s">
        <v>1194</v>
      </c>
      <c r="D47" s="308" t="s">
        <v>1195</v>
      </c>
      <c r="E47" s="460" t="s">
        <v>1196</v>
      </c>
      <c r="F47" s="460" t="s">
        <v>1044</v>
      </c>
      <c r="G47" s="443" t="s">
        <v>1044</v>
      </c>
      <c r="H47" s="308" t="s">
        <v>1197</v>
      </c>
      <c r="I47" s="308" t="s">
        <v>1198</v>
      </c>
      <c r="J47" s="308" t="s">
        <v>1199</v>
      </c>
      <c r="K47" s="462">
        <v>2611606</v>
      </c>
      <c r="L47" s="467">
        <v>11942.55</v>
      </c>
      <c r="M47" s="453"/>
    </row>
    <row r="48" spans="1:13">
      <c r="A48" s="308" t="s">
        <v>467</v>
      </c>
      <c r="B48" s="446" t="s">
        <v>1371</v>
      </c>
      <c r="C48" s="308" t="s">
        <v>196</v>
      </c>
      <c r="D48" s="308" t="s">
        <v>758</v>
      </c>
      <c r="E48" s="460" t="s">
        <v>1042</v>
      </c>
      <c r="F48" s="460" t="s">
        <v>1043</v>
      </c>
      <c r="G48" s="443" t="s">
        <v>1044</v>
      </c>
      <c r="H48" s="308" t="s">
        <v>1200</v>
      </c>
      <c r="I48" s="308" t="s">
        <v>1150</v>
      </c>
      <c r="J48" s="308" t="s">
        <v>1201</v>
      </c>
      <c r="K48" s="461" t="s">
        <v>1048</v>
      </c>
      <c r="L48" s="467">
        <v>3787.05</v>
      </c>
      <c r="M48" s="453"/>
    </row>
    <row r="49" spans="1:13">
      <c r="A49" s="308" t="s">
        <v>467</v>
      </c>
      <c r="B49" s="446" t="s">
        <v>1371</v>
      </c>
      <c r="C49" s="308" t="s">
        <v>196</v>
      </c>
      <c r="D49" s="308" t="s">
        <v>758</v>
      </c>
      <c r="E49" s="460" t="s">
        <v>1042</v>
      </c>
      <c r="F49" s="460" t="s">
        <v>1043</v>
      </c>
      <c r="G49" s="443" t="s">
        <v>1044</v>
      </c>
      <c r="H49" s="308" t="s">
        <v>1202</v>
      </c>
      <c r="I49" s="308" t="s">
        <v>1156</v>
      </c>
      <c r="J49" s="308" t="s">
        <v>1203</v>
      </c>
      <c r="K49" s="461" t="s">
        <v>1048</v>
      </c>
      <c r="L49" s="467" t="s">
        <v>1204</v>
      </c>
      <c r="M49" s="453"/>
    </row>
    <row r="50" spans="1:13">
      <c r="A50" s="308" t="s">
        <v>467</v>
      </c>
      <c r="B50" s="446" t="s">
        <v>1371</v>
      </c>
      <c r="C50" s="308" t="s">
        <v>196</v>
      </c>
      <c r="D50" s="308" t="s">
        <v>758</v>
      </c>
      <c r="E50" s="460" t="s">
        <v>1042</v>
      </c>
      <c r="F50" s="460" t="s">
        <v>1043</v>
      </c>
      <c r="G50" s="443" t="s">
        <v>1044</v>
      </c>
      <c r="H50" s="308" t="s">
        <v>1205</v>
      </c>
      <c r="I50" s="308" t="s">
        <v>1099</v>
      </c>
      <c r="J50" s="308" t="s">
        <v>1206</v>
      </c>
      <c r="K50" s="461" t="s">
        <v>1048</v>
      </c>
      <c r="L50" s="467">
        <v>1222.3599999999999</v>
      </c>
      <c r="M50" s="453"/>
    </row>
    <row r="51" spans="1:13">
      <c r="A51" s="308" t="s">
        <v>467</v>
      </c>
      <c r="B51" s="446" t="s">
        <v>1371</v>
      </c>
      <c r="C51" s="444" t="s">
        <v>1207</v>
      </c>
      <c r="D51" s="444" t="s">
        <v>1208</v>
      </c>
      <c r="E51" s="445" t="s">
        <v>1209</v>
      </c>
      <c r="F51" s="445" t="s">
        <v>1044</v>
      </c>
      <c r="G51" s="443" t="s">
        <v>1044</v>
      </c>
      <c r="H51" s="308" t="s">
        <v>1210</v>
      </c>
      <c r="I51" s="308" t="s">
        <v>1211</v>
      </c>
      <c r="J51" s="308" t="s">
        <v>1199</v>
      </c>
      <c r="K51" s="462">
        <v>2606804</v>
      </c>
      <c r="L51" s="467">
        <v>22000</v>
      </c>
      <c r="M51" s="453"/>
    </row>
    <row r="52" spans="1:13">
      <c r="A52" s="308" t="s">
        <v>467</v>
      </c>
      <c r="B52" s="446" t="s">
        <v>1371</v>
      </c>
      <c r="C52" s="444" t="s">
        <v>1212</v>
      </c>
      <c r="D52" s="444" t="s">
        <v>1213</v>
      </c>
      <c r="E52" s="445" t="s">
        <v>1214</v>
      </c>
      <c r="F52" s="445" t="s">
        <v>1044</v>
      </c>
      <c r="G52" s="446" t="s">
        <v>1044</v>
      </c>
      <c r="H52" s="308" t="s">
        <v>1215</v>
      </c>
      <c r="I52" s="308" t="s">
        <v>1216</v>
      </c>
      <c r="J52" s="308" t="s">
        <v>1217</v>
      </c>
      <c r="K52" s="463">
        <v>2614105</v>
      </c>
      <c r="L52" s="467">
        <v>31483.68</v>
      </c>
      <c r="M52" s="453"/>
    </row>
    <row r="53" spans="1:13">
      <c r="A53" s="308" t="s">
        <v>467</v>
      </c>
      <c r="B53" s="446" t="s">
        <v>1371</v>
      </c>
      <c r="C53" s="465" t="s">
        <v>1218</v>
      </c>
      <c r="D53" s="466" t="s">
        <v>1219</v>
      </c>
      <c r="E53" s="465" t="s">
        <v>1220</v>
      </c>
      <c r="F53" s="465" t="s">
        <v>1044</v>
      </c>
      <c r="G53" s="465" t="s">
        <v>1044</v>
      </c>
      <c r="H53" s="308" t="s">
        <v>1221</v>
      </c>
      <c r="I53" s="308" t="s">
        <v>1211</v>
      </c>
      <c r="J53" s="308" t="s">
        <v>1222</v>
      </c>
      <c r="K53" s="462">
        <v>2611606</v>
      </c>
      <c r="L53" s="467" t="s">
        <v>1223</v>
      </c>
      <c r="M53" s="453"/>
    </row>
    <row r="54" spans="1:13">
      <c r="A54" s="308" t="s">
        <v>467</v>
      </c>
      <c r="B54" s="446" t="s">
        <v>1371</v>
      </c>
      <c r="C54" s="444" t="s">
        <v>1224</v>
      </c>
      <c r="D54" s="444" t="s">
        <v>1225</v>
      </c>
      <c r="E54" s="445" t="s">
        <v>1226</v>
      </c>
      <c r="F54" s="445" t="s">
        <v>1044</v>
      </c>
      <c r="G54" s="446" t="s">
        <v>1044</v>
      </c>
      <c r="H54" s="308" t="s">
        <v>1227</v>
      </c>
      <c r="I54" s="308" t="s">
        <v>1211</v>
      </c>
      <c r="J54" s="308" t="s">
        <v>1228</v>
      </c>
      <c r="K54" s="462">
        <v>2611606</v>
      </c>
      <c r="L54" s="467" t="s">
        <v>1229</v>
      </c>
      <c r="M54" s="453"/>
    </row>
    <row r="55" spans="1:13">
      <c r="A55" s="308" t="s">
        <v>467</v>
      </c>
      <c r="B55" s="446" t="s">
        <v>1371</v>
      </c>
      <c r="C55" s="444" t="s">
        <v>1224</v>
      </c>
      <c r="D55" s="444" t="s">
        <v>754</v>
      </c>
      <c r="E55" s="445" t="s">
        <v>1230</v>
      </c>
      <c r="F55" s="445" t="s">
        <v>1044</v>
      </c>
      <c r="G55" s="443" t="s">
        <v>1044</v>
      </c>
      <c r="H55" s="308" t="s">
        <v>1231</v>
      </c>
      <c r="I55" s="308" t="s">
        <v>1211</v>
      </c>
      <c r="J55" s="308" t="s">
        <v>1199</v>
      </c>
      <c r="K55" s="462">
        <v>2611606</v>
      </c>
      <c r="L55" s="467">
        <v>3289.51</v>
      </c>
      <c r="M55" s="453"/>
    </row>
    <row r="56" spans="1:13">
      <c r="A56" s="308" t="s">
        <v>467</v>
      </c>
      <c r="B56" s="446" t="s">
        <v>1371</v>
      </c>
      <c r="C56" s="444" t="s">
        <v>1212</v>
      </c>
      <c r="D56" s="444" t="s">
        <v>887</v>
      </c>
      <c r="E56" s="445" t="s">
        <v>1232</v>
      </c>
      <c r="F56" s="445" t="s">
        <v>1233</v>
      </c>
      <c r="G56" s="443" t="s">
        <v>1044</v>
      </c>
      <c r="H56" s="308" t="s">
        <v>1234</v>
      </c>
      <c r="I56" s="308" t="s">
        <v>1211</v>
      </c>
      <c r="J56" s="308" t="s">
        <v>1235</v>
      </c>
      <c r="K56" s="462">
        <v>2611606</v>
      </c>
      <c r="L56" s="467">
        <v>17748.07</v>
      </c>
      <c r="M56" s="453"/>
    </row>
    <row r="57" spans="1:13">
      <c r="A57" s="308" t="s">
        <v>467</v>
      </c>
      <c r="B57" s="446" t="s">
        <v>1371</v>
      </c>
      <c r="C57" s="444" t="s">
        <v>1224</v>
      </c>
      <c r="D57" s="308" t="s">
        <v>891</v>
      </c>
      <c r="E57" s="460" t="s">
        <v>1236</v>
      </c>
      <c r="F57" s="460" t="s">
        <v>1044</v>
      </c>
      <c r="G57" s="443" t="s">
        <v>1044</v>
      </c>
      <c r="H57" s="308" t="s">
        <v>1237</v>
      </c>
      <c r="I57" s="308" t="s">
        <v>1211</v>
      </c>
      <c r="J57" s="308" t="s">
        <v>1199</v>
      </c>
      <c r="K57" s="462">
        <v>2611606</v>
      </c>
      <c r="L57" s="467" t="s">
        <v>1238</v>
      </c>
      <c r="M57" s="453"/>
    </row>
    <row r="58" spans="1:13">
      <c r="A58" s="308" t="s">
        <v>467</v>
      </c>
      <c r="B58" s="446" t="s">
        <v>1371</v>
      </c>
      <c r="C58" s="444" t="s">
        <v>1224</v>
      </c>
      <c r="D58" s="308" t="s">
        <v>891</v>
      </c>
      <c r="E58" s="460" t="s">
        <v>1236</v>
      </c>
      <c r="F58" s="460" t="s">
        <v>1044</v>
      </c>
      <c r="G58" s="443" t="s">
        <v>1044</v>
      </c>
      <c r="H58" s="308" t="s">
        <v>1239</v>
      </c>
      <c r="I58" s="308" t="s">
        <v>1211</v>
      </c>
      <c r="J58" s="308" t="s">
        <v>1199</v>
      </c>
      <c r="K58" s="462">
        <v>2611606</v>
      </c>
      <c r="L58" s="467" t="s">
        <v>1240</v>
      </c>
      <c r="M58" s="453"/>
    </row>
    <row r="59" spans="1:13">
      <c r="A59" s="308" t="s">
        <v>467</v>
      </c>
      <c r="B59" s="446" t="s">
        <v>1371</v>
      </c>
      <c r="C59" s="444" t="s">
        <v>924</v>
      </c>
      <c r="D59" s="444" t="s">
        <v>1241</v>
      </c>
      <c r="E59" s="445" t="s">
        <v>1242</v>
      </c>
      <c r="F59" s="445" t="s">
        <v>1044</v>
      </c>
      <c r="G59" s="443" t="s">
        <v>1243</v>
      </c>
      <c r="H59" s="308" t="s">
        <v>1244</v>
      </c>
      <c r="I59" s="308" t="s">
        <v>1216</v>
      </c>
      <c r="J59" s="308" t="s">
        <v>1245</v>
      </c>
      <c r="K59" s="462">
        <v>2610707</v>
      </c>
      <c r="L59" s="467" t="s">
        <v>1246</v>
      </c>
      <c r="M59" s="453"/>
    </row>
    <row r="60" spans="1:13">
      <c r="A60" s="308" t="s">
        <v>467</v>
      </c>
      <c r="B60" s="446" t="s">
        <v>1371</v>
      </c>
      <c r="C60" s="444" t="s">
        <v>1247</v>
      </c>
      <c r="D60" s="444" t="s">
        <v>893</v>
      </c>
      <c r="E60" s="445" t="s">
        <v>1248</v>
      </c>
      <c r="F60" s="445" t="s">
        <v>1044</v>
      </c>
      <c r="G60" s="443" t="s">
        <v>1044</v>
      </c>
      <c r="H60" s="308" t="s">
        <v>1249</v>
      </c>
      <c r="I60" s="308" t="s">
        <v>1211</v>
      </c>
      <c r="J60" s="308" t="s">
        <v>1250</v>
      </c>
      <c r="K60" s="463">
        <v>2607901</v>
      </c>
      <c r="L60" s="467" t="s">
        <v>1223</v>
      </c>
      <c r="M60" s="453"/>
    </row>
    <row r="61" spans="1:13">
      <c r="A61" s="308" t="s">
        <v>467</v>
      </c>
      <c r="B61" s="446" t="s">
        <v>1371</v>
      </c>
      <c r="C61" s="444" t="s">
        <v>1224</v>
      </c>
      <c r="D61" s="444" t="s">
        <v>1251</v>
      </c>
      <c r="E61" s="445" t="s">
        <v>1252</v>
      </c>
      <c r="F61" s="445" t="s">
        <v>1044</v>
      </c>
      <c r="G61" s="446" t="s">
        <v>1044</v>
      </c>
      <c r="H61" s="308" t="s">
        <v>1253</v>
      </c>
      <c r="I61" s="308" t="s">
        <v>1211</v>
      </c>
      <c r="J61" s="308" t="s">
        <v>1254</v>
      </c>
      <c r="K61" s="462">
        <v>2611606</v>
      </c>
      <c r="L61" s="467" t="s">
        <v>1255</v>
      </c>
      <c r="M61" s="453"/>
    </row>
    <row r="62" spans="1:13">
      <c r="A62" s="308" t="s">
        <v>467</v>
      </c>
      <c r="B62" s="446" t="s">
        <v>1371</v>
      </c>
      <c r="C62" s="444" t="s">
        <v>1212</v>
      </c>
      <c r="D62" s="444" t="s">
        <v>1256</v>
      </c>
      <c r="E62" s="445" t="s">
        <v>1257</v>
      </c>
      <c r="F62" s="445" t="s">
        <v>1044</v>
      </c>
      <c r="G62" s="443" t="s">
        <v>1044</v>
      </c>
      <c r="H62" s="308" t="s">
        <v>1258</v>
      </c>
      <c r="I62" s="308" t="s">
        <v>1211</v>
      </c>
      <c r="J62" s="308" t="s">
        <v>1259</v>
      </c>
      <c r="K62" s="462">
        <v>2611606</v>
      </c>
      <c r="L62" s="467">
        <v>31351.919999999998</v>
      </c>
      <c r="M62" s="453"/>
    </row>
    <row r="63" spans="1:13">
      <c r="A63" s="308" t="s">
        <v>467</v>
      </c>
      <c r="B63" s="446" t="s">
        <v>1371</v>
      </c>
      <c r="C63" s="444" t="s">
        <v>1212</v>
      </c>
      <c r="D63" s="444" t="s">
        <v>1260</v>
      </c>
      <c r="E63" s="445" t="s">
        <v>1261</v>
      </c>
      <c r="F63" s="445" t="s">
        <v>1044</v>
      </c>
      <c r="G63" s="446" t="s">
        <v>1044</v>
      </c>
      <c r="H63" s="308" t="s">
        <v>1262</v>
      </c>
      <c r="I63" s="308" t="s">
        <v>1211</v>
      </c>
      <c r="J63" s="308" t="s">
        <v>1263</v>
      </c>
      <c r="K63" s="463">
        <v>2616407</v>
      </c>
      <c r="L63" s="467">
        <v>5136</v>
      </c>
      <c r="M63" s="453"/>
    </row>
    <row r="64" spans="1:13">
      <c r="A64" s="308" t="s">
        <v>467</v>
      </c>
      <c r="B64" s="446" t="s">
        <v>1371</v>
      </c>
      <c r="C64" s="444" t="s">
        <v>1212</v>
      </c>
      <c r="D64" s="444" t="s">
        <v>1264</v>
      </c>
      <c r="E64" s="445" t="s">
        <v>1265</v>
      </c>
      <c r="F64" s="445" t="s">
        <v>1044</v>
      </c>
      <c r="G64" s="443" t="s">
        <v>1044</v>
      </c>
      <c r="H64" s="308" t="s">
        <v>1266</v>
      </c>
      <c r="I64" s="308" t="s">
        <v>1211</v>
      </c>
      <c r="J64" s="308" t="s">
        <v>1267</v>
      </c>
      <c r="K64" s="462">
        <v>2611606</v>
      </c>
      <c r="L64" s="467">
        <v>49491.6</v>
      </c>
      <c r="M64" s="453"/>
    </row>
    <row r="65" spans="1:13">
      <c r="A65" s="308" t="s">
        <v>467</v>
      </c>
      <c r="B65" s="446" t="s">
        <v>1371</v>
      </c>
      <c r="C65" s="444" t="s">
        <v>1212</v>
      </c>
      <c r="D65" s="444" t="s">
        <v>1268</v>
      </c>
      <c r="E65" s="445" t="s">
        <v>1269</v>
      </c>
      <c r="F65" s="445" t="s">
        <v>1044</v>
      </c>
      <c r="G65" s="443" t="s">
        <v>1044</v>
      </c>
      <c r="H65" s="308" t="s">
        <v>1270</v>
      </c>
      <c r="I65" s="308" t="s">
        <v>1216</v>
      </c>
      <c r="J65" s="308" t="s">
        <v>1199</v>
      </c>
      <c r="K65" s="464" t="s">
        <v>1271</v>
      </c>
      <c r="L65" s="467">
        <v>4512</v>
      </c>
      <c r="M65" s="453"/>
    </row>
    <row r="66" spans="1:13">
      <c r="A66" s="308" t="s">
        <v>467</v>
      </c>
      <c r="B66" s="446" t="s">
        <v>1371</v>
      </c>
      <c r="C66" s="444" t="s">
        <v>1212</v>
      </c>
      <c r="D66" s="444" t="s">
        <v>1272</v>
      </c>
      <c r="E66" s="445" t="s">
        <v>1273</v>
      </c>
      <c r="F66" s="445" t="s">
        <v>1044</v>
      </c>
      <c r="G66" s="443" t="s">
        <v>1044</v>
      </c>
      <c r="H66" s="308" t="s">
        <v>1274</v>
      </c>
      <c r="I66" s="308" t="s">
        <v>1216</v>
      </c>
      <c r="J66" s="308" t="s">
        <v>1199</v>
      </c>
      <c r="K66" s="462">
        <v>2611606</v>
      </c>
      <c r="L66" s="467">
        <v>12372</v>
      </c>
      <c r="M66" s="453"/>
    </row>
    <row r="67" spans="1:13">
      <c r="A67" s="308" t="s">
        <v>467</v>
      </c>
      <c r="B67" s="446" t="s">
        <v>1371</v>
      </c>
      <c r="C67" s="465" t="s">
        <v>1212</v>
      </c>
      <c r="D67" s="444" t="s">
        <v>1275</v>
      </c>
      <c r="E67" s="445" t="s">
        <v>1276</v>
      </c>
      <c r="F67" s="465" t="s">
        <v>1044</v>
      </c>
      <c r="G67" s="446" t="s">
        <v>1044</v>
      </c>
      <c r="H67" s="308" t="s">
        <v>1277</v>
      </c>
      <c r="I67" s="308" t="s">
        <v>1211</v>
      </c>
      <c r="J67" s="308" t="s">
        <v>1199</v>
      </c>
      <c r="K67" s="462">
        <v>2611606</v>
      </c>
      <c r="L67" s="467">
        <v>5199.84</v>
      </c>
      <c r="M67" s="453"/>
    </row>
    <row r="68" spans="1:13">
      <c r="A68" s="308" t="s">
        <v>467</v>
      </c>
      <c r="B68" s="446" t="s">
        <v>1371</v>
      </c>
      <c r="C68" s="444" t="s">
        <v>1212</v>
      </c>
      <c r="D68" s="444" t="s">
        <v>881</v>
      </c>
      <c r="E68" s="445" t="s">
        <v>1278</v>
      </c>
      <c r="F68" s="445" t="s">
        <v>1044</v>
      </c>
      <c r="G68" s="446" t="s">
        <v>1044</v>
      </c>
      <c r="H68" s="308" t="s">
        <v>1279</v>
      </c>
      <c r="I68" s="308" t="s">
        <v>1216</v>
      </c>
      <c r="J68" s="308" t="s">
        <v>1280</v>
      </c>
      <c r="K68" s="462">
        <v>2609600</v>
      </c>
      <c r="L68" s="467">
        <v>8364</v>
      </c>
      <c r="M68" s="453"/>
    </row>
    <row r="69" spans="1:13">
      <c r="A69" s="308" t="s">
        <v>467</v>
      </c>
      <c r="B69" s="446" t="s">
        <v>1371</v>
      </c>
      <c r="C69" s="444" t="s">
        <v>1212</v>
      </c>
      <c r="D69" s="444" t="s">
        <v>1213</v>
      </c>
      <c r="E69" s="445" t="s">
        <v>1214</v>
      </c>
      <c r="F69" s="445" t="s">
        <v>1044</v>
      </c>
      <c r="G69" s="446" t="s">
        <v>1044</v>
      </c>
      <c r="H69" s="308" t="s">
        <v>1215</v>
      </c>
      <c r="I69" s="308" t="s">
        <v>1216</v>
      </c>
      <c r="J69" s="308" t="s">
        <v>1281</v>
      </c>
      <c r="K69" s="463">
        <v>2614105</v>
      </c>
      <c r="L69" s="467">
        <v>31483.68</v>
      </c>
      <c r="M69" s="453"/>
    </row>
    <row r="70" spans="1:13">
      <c r="A70" s="308" t="s">
        <v>467</v>
      </c>
      <c r="B70" s="446" t="s">
        <v>1371</v>
      </c>
      <c r="C70" s="444" t="s">
        <v>1212</v>
      </c>
      <c r="D70" s="444" t="s">
        <v>1282</v>
      </c>
      <c r="E70" s="445" t="s">
        <v>1283</v>
      </c>
      <c r="F70" s="445" t="s">
        <v>1044</v>
      </c>
      <c r="G70" s="446" t="s">
        <v>1044</v>
      </c>
      <c r="H70" s="308" t="s">
        <v>1284</v>
      </c>
      <c r="I70" s="308" t="s">
        <v>1216</v>
      </c>
      <c r="J70" s="308" t="s">
        <v>1285</v>
      </c>
      <c r="K70" s="462">
        <v>2611606</v>
      </c>
      <c r="L70" s="467">
        <v>23087.759999999998</v>
      </c>
      <c r="M70" s="453"/>
    </row>
    <row r="71" spans="1:13">
      <c r="A71" s="308" t="s">
        <v>467</v>
      </c>
      <c r="B71" s="446" t="s">
        <v>1371</v>
      </c>
      <c r="C71" s="308" t="s">
        <v>1212</v>
      </c>
      <c r="D71" s="308" t="s">
        <v>1286</v>
      </c>
      <c r="E71" s="460" t="s">
        <v>1287</v>
      </c>
      <c r="F71" s="460" t="s">
        <v>1044</v>
      </c>
      <c r="G71" s="443" t="s">
        <v>1044</v>
      </c>
      <c r="H71" s="308" t="s">
        <v>1288</v>
      </c>
      <c r="I71" s="308" t="s">
        <v>1211</v>
      </c>
      <c r="J71" s="308" t="s">
        <v>1289</v>
      </c>
      <c r="K71" s="462">
        <v>2611606</v>
      </c>
      <c r="L71" s="467">
        <v>1650.58</v>
      </c>
      <c r="M71" s="453"/>
    </row>
    <row r="72" spans="1:13">
      <c r="A72" s="308" t="s">
        <v>467</v>
      </c>
      <c r="B72" s="446" t="s">
        <v>1371</v>
      </c>
      <c r="C72" s="465" t="s">
        <v>1290</v>
      </c>
      <c r="D72" s="466" t="s">
        <v>1291</v>
      </c>
      <c r="E72" s="465" t="s">
        <v>1292</v>
      </c>
      <c r="F72" s="465" t="s">
        <v>1044</v>
      </c>
      <c r="G72" s="465" t="s">
        <v>1044</v>
      </c>
      <c r="H72" s="308" t="s">
        <v>1293</v>
      </c>
      <c r="I72" s="308" t="s">
        <v>1294</v>
      </c>
      <c r="J72" s="308" t="s">
        <v>1199</v>
      </c>
      <c r="K72" s="462">
        <v>2611606</v>
      </c>
      <c r="L72" s="467">
        <v>3910.17</v>
      </c>
      <c r="M72" s="453"/>
    </row>
    <row r="73" spans="1:13">
      <c r="A73" s="308" t="s">
        <v>467</v>
      </c>
      <c r="B73" s="446" t="s">
        <v>1371</v>
      </c>
      <c r="C73" s="444" t="s">
        <v>1295</v>
      </c>
      <c r="D73" s="444" t="s">
        <v>1296</v>
      </c>
      <c r="E73" s="445" t="s">
        <v>1297</v>
      </c>
      <c r="F73" s="445" t="s">
        <v>1044</v>
      </c>
      <c r="G73" s="465" t="s">
        <v>1044</v>
      </c>
      <c r="H73" s="308" t="s">
        <v>1298</v>
      </c>
      <c r="I73" s="308" t="s">
        <v>1216</v>
      </c>
      <c r="J73" s="308" t="s">
        <v>1199</v>
      </c>
      <c r="K73" s="462">
        <v>2611606</v>
      </c>
      <c r="L73" s="467">
        <v>16464.150000000001</v>
      </c>
      <c r="M73" s="453"/>
    </row>
    <row r="74" spans="1:13">
      <c r="A74" s="308" t="s">
        <v>467</v>
      </c>
      <c r="B74" s="446" t="s">
        <v>1371</v>
      </c>
      <c r="C74" s="447" t="s">
        <v>1194</v>
      </c>
      <c r="D74" s="448" t="s">
        <v>869</v>
      </c>
      <c r="E74" s="446" t="s">
        <v>870</v>
      </c>
      <c r="F74" s="446" t="s">
        <v>1044</v>
      </c>
      <c r="G74" s="446" t="s">
        <v>1044</v>
      </c>
      <c r="H74" s="308" t="s">
        <v>1299</v>
      </c>
      <c r="I74" s="308" t="s">
        <v>1294</v>
      </c>
      <c r="J74" s="308" t="s">
        <v>1199</v>
      </c>
      <c r="K74" s="463">
        <v>3550308</v>
      </c>
      <c r="L74" s="467" t="s">
        <v>1300</v>
      </c>
      <c r="M74" s="453"/>
    </row>
    <row r="75" spans="1:13">
      <c r="A75" s="308" t="s">
        <v>467</v>
      </c>
      <c r="B75" s="446" t="s">
        <v>1371</v>
      </c>
      <c r="C75" s="444" t="s">
        <v>1247</v>
      </c>
      <c r="D75" s="444" t="s">
        <v>1301</v>
      </c>
      <c r="E75" s="445" t="s">
        <v>1302</v>
      </c>
      <c r="F75" s="445" t="s">
        <v>1044</v>
      </c>
      <c r="G75" s="443" t="s">
        <v>1044</v>
      </c>
      <c r="H75" s="308" t="s">
        <v>1303</v>
      </c>
      <c r="I75" s="308" t="s">
        <v>1216</v>
      </c>
      <c r="J75" s="308" t="s">
        <v>1304</v>
      </c>
      <c r="K75" s="462">
        <v>2607901</v>
      </c>
      <c r="L75" s="467">
        <v>5458</v>
      </c>
      <c r="M75" s="453"/>
    </row>
    <row r="76" spans="1:13">
      <c r="A76" s="308" t="s">
        <v>467</v>
      </c>
      <c r="B76" s="446" t="s">
        <v>1371</v>
      </c>
      <c r="C76" s="444" t="s">
        <v>1370</v>
      </c>
      <c r="D76" s="308" t="s">
        <v>1305</v>
      </c>
      <c r="E76" s="460" t="s">
        <v>1306</v>
      </c>
      <c r="F76" s="460" t="s">
        <v>1044</v>
      </c>
      <c r="G76" s="443" t="s">
        <v>1044</v>
      </c>
      <c r="H76" s="308" t="s">
        <v>1307</v>
      </c>
      <c r="I76" s="308" t="s">
        <v>1294</v>
      </c>
      <c r="J76" s="308" t="s">
        <v>1308</v>
      </c>
      <c r="K76" s="462">
        <v>2607901</v>
      </c>
      <c r="L76" s="467">
        <v>3000</v>
      </c>
      <c r="M76" s="453"/>
    </row>
    <row r="77" spans="1:13">
      <c r="A77" s="308" t="s">
        <v>467</v>
      </c>
      <c r="B77" s="446" t="s">
        <v>1371</v>
      </c>
      <c r="C77" s="444" t="s">
        <v>1309</v>
      </c>
      <c r="D77" s="444" t="s">
        <v>1310</v>
      </c>
      <c r="E77" s="445" t="s">
        <v>1311</v>
      </c>
      <c r="F77" s="445" t="s">
        <v>1044</v>
      </c>
      <c r="G77" s="443" t="s">
        <v>1044</v>
      </c>
      <c r="H77" s="308" t="s">
        <v>1312</v>
      </c>
      <c r="I77" s="308" t="s">
        <v>1073</v>
      </c>
      <c r="J77" s="308" t="s">
        <v>1199</v>
      </c>
      <c r="K77" s="462">
        <v>2607901</v>
      </c>
      <c r="L77" s="467" t="s">
        <v>1313</v>
      </c>
      <c r="M77" s="453"/>
    </row>
    <row r="78" spans="1:13">
      <c r="A78" s="308" t="s">
        <v>467</v>
      </c>
      <c r="B78" s="446" t="s">
        <v>1371</v>
      </c>
      <c r="C78" s="444" t="s">
        <v>1309</v>
      </c>
      <c r="D78" s="444" t="s">
        <v>1310</v>
      </c>
      <c r="E78" s="445" t="s">
        <v>1311</v>
      </c>
      <c r="F78" s="445" t="s">
        <v>1044</v>
      </c>
      <c r="G78" s="443" t="s">
        <v>1044</v>
      </c>
      <c r="H78" s="308" t="s">
        <v>1314</v>
      </c>
      <c r="I78" s="308" t="s">
        <v>1073</v>
      </c>
      <c r="J78" s="308" t="s">
        <v>1199</v>
      </c>
      <c r="K78" s="462">
        <v>2607901</v>
      </c>
      <c r="L78" s="467" t="s">
        <v>1315</v>
      </c>
      <c r="M78" s="453"/>
    </row>
    <row r="79" spans="1:13">
      <c r="A79" s="308" t="s">
        <v>467</v>
      </c>
      <c r="B79" s="446" t="s">
        <v>1371</v>
      </c>
      <c r="C79" s="444" t="s">
        <v>1212</v>
      </c>
      <c r="D79" s="444" t="s">
        <v>873</v>
      </c>
      <c r="E79" s="445" t="s">
        <v>1316</v>
      </c>
      <c r="F79" s="445" t="s">
        <v>1044</v>
      </c>
      <c r="G79" s="446" t="s">
        <v>1044</v>
      </c>
      <c r="H79" s="308" t="s">
        <v>1317</v>
      </c>
      <c r="I79" s="308" t="s">
        <v>1294</v>
      </c>
      <c r="J79" s="308" t="s">
        <v>1318</v>
      </c>
      <c r="K79" s="461">
        <v>2611606</v>
      </c>
      <c r="L79" s="467">
        <v>11715.6</v>
      </c>
      <c r="M79" s="453"/>
    </row>
    <row r="80" spans="1:13">
      <c r="A80" s="308" t="s">
        <v>467</v>
      </c>
      <c r="B80" s="446" t="s">
        <v>1371</v>
      </c>
      <c r="C80" s="444" t="s">
        <v>1212</v>
      </c>
      <c r="D80" s="444" t="s">
        <v>1319</v>
      </c>
      <c r="E80" s="445" t="s">
        <v>1320</v>
      </c>
      <c r="F80" s="445" t="s">
        <v>1044</v>
      </c>
      <c r="G80" s="443" t="s">
        <v>1044</v>
      </c>
      <c r="H80" s="308" t="s">
        <v>1321</v>
      </c>
      <c r="I80" s="308" t="s">
        <v>1294</v>
      </c>
      <c r="J80" s="308" t="s">
        <v>1322</v>
      </c>
      <c r="K80" s="461">
        <v>2607901</v>
      </c>
      <c r="L80" s="467">
        <v>15567.6</v>
      </c>
      <c r="M80" s="453"/>
    </row>
    <row r="81" spans="1:13">
      <c r="A81" s="308" t="s">
        <v>467</v>
      </c>
      <c r="B81" s="446" t="s">
        <v>1371</v>
      </c>
      <c r="C81" s="465" t="s">
        <v>1212</v>
      </c>
      <c r="D81" s="466" t="s">
        <v>878</v>
      </c>
      <c r="E81" s="465" t="s">
        <v>1323</v>
      </c>
      <c r="F81" s="465" t="s">
        <v>1044</v>
      </c>
      <c r="G81" s="446" t="s">
        <v>1044</v>
      </c>
      <c r="H81" s="308" t="s">
        <v>1324</v>
      </c>
      <c r="I81" s="308" t="s">
        <v>1294</v>
      </c>
      <c r="J81" s="308" t="s">
        <v>1325</v>
      </c>
      <c r="K81" s="464">
        <v>2607901</v>
      </c>
      <c r="L81" s="467">
        <v>8364</v>
      </c>
      <c r="M81" s="453"/>
    </row>
    <row r="82" spans="1:13">
      <c r="A82" s="308" t="s">
        <v>467</v>
      </c>
      <c r="B82" s="446" t="s">
        <v>1371</v>
      </c>
      <c r="C82" s="444" t="s">
        <v>1212</v>
      </c>
      <c r="D82" s="444" t="s">
        <v>1326</v>
      </c>
      <c r="E82" s="445" t="s">
        <v>1327</v>
      </c>
      <c r="F82" s="445" t="s">
        <v>1044</v>
      </c>
      <c r="G82" s="446" t="s">
        <v>1044</v>
      </c>
      <c r="H82" s="308" t="s">
        <v>1328</v>
      </c>
      <c r="I82" s="308" t="s">
        <v>1294</v>
      </c>
      <c r="J82" s="308" t="s">
        <v>1329</v>
      </c>
      <c r="K82" s="461">
        <v>2611606</v>
      </c>
      <c r="L82" s="467">
        <v>9024</v>
      </c>
      <c r="M82" s="453"/>
    </row>
    <row r="83" spans="1:13">
      <c r="A83" s="308" t="s">
        <v>467</v>
      </c>
      <c r="B83" s="446" t="s">
        <v>1371</v>
      </c>
      <c r="C83" s="465" t="s">
        <v>1212</v>
      </c>
      <c r="D83" s="444" t="s">
        <v>1330</v>
      </c>
      <c r="E83" s="445" t="s">
        <v>1331</v>
      </c>
      <c r="F83" s="465" t="s">
        <v>1044</v>
      </c>
      <c r="G83" s="465" t="s">
        <v>1044</v>
      </c>
      <c r="H83" s="308" t="s">
        <v>1332</v>
      </c>
      <c r="I83" s="308" t="s">
        <v>1211</v>
      </c>
      <c r="J83" s="308" t="s">
        <v>1333</v>
      </c>
      <c r="K83" s="461">
        <v>2611606</v>
      </c>
      <c r="L83" s="467">
        <v>23931.599999999999</v>
      </c>
      <c r="M83" s="453"/>
    </row>
    <row r="84" spans="1:13">
      <c r="A84" s="308" t="s">
        <v>467</v>
      </c>
      <c r="B84" s="446" t="s">
        <v>1371</v>
      </c>
      <c r="C84" s="444" t="s">
        <v>924</v>
      </c>
      <c r="D84" s="444" t="s">
        <v>1334</v>
      </c>
      <c r="E84" s="445" t="s">
        <v>840</v>
      </c>
      <c r="F84" s="445" t="s">
        <v>1044</v>
      </c>
      <c r="G84" s="443" t="s">
        <v>1044</v>
      </c>
      <c r="H84" s="308" t="s">
        <v>1335</v>
      </c>
      <c r="I84" s="308" t="s">
        <v>1294</v>
      </c>
      <c r="J84" s="308" t="s">
        <v>1336</v>
      </c>
      <c r="K84" s="464">
        <v>2602902</v>
      </c>
      <c r="L84" s="467">
        <v>1600</v>
      </c>
      <c r="M84" s="453"/>
    </row>
    <row r="85" spans="1:13">
      <c r="A85" s="308" t="s">
        <v>467</v>
      </c>
      <c r="B85" s="446" t="s">
        <v>1371</v>
      </c>
      <c r="C85" s="308" t="s">
        <v>1224</v>
      </c>
      <c r="D85" s="308" t="s">
        <v>1337</v>
      </c>
      <c r="E85" s="460" t="s">
        <v>1338</v>
      </c>
      <c r="F85" s="460" t="s">
        <v>1044</v>
      </c>
      <c r="G85" s="443" t="s">
        <v>1044</v>
      </c>
      <c r="H85" s="308" t="s">
        <v>1339</v>
      </c>
      <c r="I85" s="308" t="s">
        <v>1211</v>
      </c>
      <c r="J85" s="308" t="s">
        <v>1340</v>
      </c>
      <c r="K85" s="461">
        <v>2611606</v>
      </c>
      <c r="L85" s="467">
        <v>12092.9</v>
      </c>
      <c r="M85" s="453"/>
    </row>
    <row r="86" spans="1:13">
      <c r="A86" s="308" t="s">
        <v>467</v>
      </c>
      <c r="B86" s="446" t="s">
        <v>1371</v>
      </c>
      <c r="C86" s="444" t="s">
        <v>1341</v>
      </c>
      <c r="D86" s="444" t="s">
        <v>1342</v>
      </c>
      <c r="E86" s="445" t="s">
        <v>1343</v>
      </c>
      <c r="F86" s="445" t="s">
        <v>1044</v>
      </c>
      <c r="G86" s="446" t="s">
        <v>1044</v>
      </c>
      <c r="H86" s="308" t="s">
        <v>1344</v>
      </c>
      <c r="I86" s="308" t="s">
        <v>1345</v>
      </c>
      <c r="J86" s="308" t="s">
        <v>1346</v>
      </c>
      <c r="K86" s="461">
        <v>2611606</v>
      </c>
      <c r="L86" s="467">
        <v>21848</v>
      </c>
      <c r="M86" s="453"/>
    </row>
    <row r="87" spans="1:13">
      <c r="A87" s="308" t="s">
        <v>467</v>
      </c>
      <c r="B87" s="446" t="s">
        <v>1371</v>
      </c>
      <c r="C87" s="444" t="s">
        <v>1341</v>
      </c>
      <c r="D87" s="444" t="s">
        <v>1342</v>
      </c>
      <c r="E87" s="445" t="s">
        <v>1343</v>
      </c>
      <c r="F87" s="445" t="s">
        <v>1044</v>
      </c>
      <c r="G87" s="446" t="s">
        <v>1044</v>
      </c>
      <c r="H87" s="308" t="s">
        <v>1347</v>
      </c>
      <c r="I87" s="308" t="s">
        <v>1345</v>
      </c>
      <c r="J87" s="308" t="s">
        <v>1348</v>
      </c>
      <c r="K87" s="461">
        <v>2611606</v>
      </c>
      <c r="L87" s="467">
        <v>3193.28</v>
      </c>
      <c r="M87" s="453"/>
    </row>
    <row r="88" spans="1:13">
      <c r="A88" s="308" t="s">
        <v>467</v>
      </c>
      <c r="B88" s="446" t="s">
        <v>1371</v>
      </c>
      <c r="C88" s="444" t="s">
        <v>924</v>
      </c>
      <c r="D88" s="444" t="s">
        <v>1349</v>
      </c>
      <c r="E88" s="445" t="s">
        <v>1350</v>
      </c>
      <c r="F88" s="445" t="s">
        <v>1044</v>
      </c>
      <c r="G88" s="446" t="s">
        <v>1044</v>
      </c>
      <c r="H88" s="308" t="s">
        <v>1351</v>
      </c>
      <c r="I88" s="308" t="s">
        <v>1211</v>
      </c>
      <c r="J88" s="308" t="s">
        <v>1352</v>
      </c>
      <c r="K88" s="461" t="s">
        <v>1353</v>
      </c>
      <c r="L88" s="467">
        <v>14000</v>
      </c>
      <c r="M88" s="453"/>
    </row>
    <row r="89" spans="1:13">
      <c r="A89" s="308" t="s">
        <v>467</v>
      </c>
      <c r="B89" s="446" t="s">
        <v>1371</v>
      </c>
      <c r="C89" s="444" t="s">
        <v>1247</v>
      </c>
      <c r="D89" s="444" t="s">
        <v>1354</v>
      </c>
      <c r="E89" s="445" t="s">
        <v>1355</v>
      </c>
      <c r="F89" s="445" t="s">
        <v>1044</v>
      </c>
      <c r="G89" s="443" t="s">
        <v>1044</v>
      </c>
      <c r="H89" s="308" t="s">
        <v>1356</v>
      </c>
      <c r="I89" s="308" t="s">
        <v>1216</v>
      </c>
      <c r="J89" s="308" t="s">
        <v>1199</v>
      </c>
      <c r="K89" s="464">
        <v>2611309</v>
      </c>
      <c r="L89" s="467">
        <v>2232</v>
      </c>
      <c r="M89" s="453"/>
    </row>
    <row r="90" spans="1:13">
      <c r="A90" s="308" t="s">
        <v>467</v>
      </c>
      <c r="B90" s="446" t="s">
        <v>1371</v>
      </c>
      <c r="C90" s="444" t="s">
        <v>1357</v>
      </c>
      <c r="D90" s="444" t="s">
        <v>1358</v>
      </c>
      <c r="E90" s="445" t="s">
        <v>1359</v>
      </c>
      <c r="F90" s="445" t="s">
        <v>1044</v>
      </c>
      <c r="G90" s="443" t="s">
        <v>1044</v>
      </c>
      <c r="H90" s="308" t="s">
        <v>1360</v>
      </c>
      <c r="I90" s="308" t="s">
        <v>1345</v>
      </c>
      <c r="J90" s="308" t="s">
        <v>1199</v>
      </c>
      <c r="K90" s="461">
        <v>2611606</v>
      </c>
      <c r="L90" s="467">
        <v>1500</v>
      </c>
      <c r="M90" s="453"/>
    </row>
    <row r="91" spans="1:13">
      <c r="A91" s="308" t="s">
        <v>467</v>
      </c>
      <c r="B91" s="446" t="s">
        <v>1371</v>
      </c>
      <c r="C91" s="444" t="s">
        <v>1361</v>
      </c>
      <c r="D91" s="444" t="s">
        <v>1166</v>
      </c>
      <c r="E91" s="445" t="s">
        <v>1362</v>
      </c>
      <c r="F91" s="445" t="s">
        <v>1044</v>
      </c>
      <c r="G91" s="446" t="s">
        <v>1044</v>
      </c>
      <c r="H91" s="308" t="s">
        <v>1363</v>
      </c>
      <c r="I91" s="308" t="s">
        <v>1211</v>
      </c>
      <c r="J91" s="308" t="s">
        <v>1199</v>
      </c>
      <c r="K91" s="461">
        <v>2611606</v>
      </c>
      <c r="L91" s="467" t="s">
        <v>1364</v>
      </c>
      <c r="M91" s="453"/>
    </row>
    <row r="92" spans="1:13">
      <c r="A92" s="308" t="s">
        <v>467</v>
      </c>
      <c r="B92" s="446" t="s">
        <v>1371</v>
      </c>
      <c r="C92" s="308" t="s">
        <v>194</v>
      </c>
      <c r="D92" s="308" t="s">
        <v>1365</v>
      </c>
      <c r="E92" s="460" t="s">
        <v>1366</v>
      </c>
      <c r="F92" s="460" t="s">
        <v>1044</v>
      </c>
      <c r="G92" s="443" t="s">
        <v>1044</v>
      </c>
      <c r="H92" s="308" t="s">
        <v>1367</v>
      </c>
      <c r="I92" s="308" t="s">
        <v>1368</v>
      </c>
      <c r="J92" s="308" t="s">
        <v>1369</v>
      </c>
      <c r="K92" s="464">
        <v>2607901</v>
      </c>
      <c r="L92" s="467">
        <v>3403.3</v>
      </c>
      <c r="M92" s="453"/>
    </row>
    <row r="93" spans="1:13">
      <c r="A93" s="308" t="s">
        <v>467</v>
      </c>
      <c r="B93" s="446" t="s">
        <v>1371</v>
      </c>
      <c r="C93" s="308" t="s">
        <v>1372</v>
      </c>
      <c r="D93" s="308" t="s">
        <v>826</v>
      </c>
      <c r="E93" s="470" t="s">
        <v>1373</v>
      </c>
      <c r="F93" s="470" t="s">
        <v>1044</v>
      </c>
      <c r="G93" s="470" t="s">
        <v>1044</v>
      </c>
      <c r="H93" s="470">
        <v>742</v>
      </c>
      <c r="I93" s="471">
        <v>44228</v>
      </c>
      <c r="J93" s="470" t="s">
        <v>1374</v>
      </c>
      <c r="K93" s="473">
        <v>3548708</v>
      </c>
      <c r="L93" s="472">
        <v>140000</v>
      </c>
      <c r="M93" s="453"/>
    </row>
    <row r="94" spans="1:13">
      <c r="A94" s="308" t="s">
        <v>467</v>
      </c>
      <c r="B94" s="446" t="s">
        <v>1371</v>
      </c>
      <c r="C94" s="308" t="s">
        <v>1372</v>
      </c>
      <c r="D94" s="308" t="s">
        <v>884</v>
      </c>
      <c r="E94" s="470" t="s">
        <v>1375</v>
      </c>
      <c r="F94" s="470" t="s">
        <v>1044</v>
      </c>
      <c r="G94" s="470" t="s">
        <v>1044</v>
      </c>
      <c r="H94" s="470">
        <v>1757</v>
      </c>
      <c r="I94" s="471">
        <v>44229</v>
      </c>
      <c r="J94" s="470" t="s">
        <v>1376</v>
      </c>
      <c r="K94" s="473">
        <v>3548708</v>
      </c>
      <c r="L94" s="472">
        <v>14000</v>
      </c>
      <c r="M94" s="453"/>
    </row>
    <row r="95" spans="1:13">
      <c r="A95" s="308" t="s">
        <v>467</v>
      </c>
      <c r="B95" s="446" t="s">
        <v>1371</v>
      </c>
      <c r="C95" s="308" t="s">
        <v>1372</v>
      </c>
      <c r="D95" s="308" t="s">
        <v>884</v>
      </c>
      <c r="E95" s="470" t="s">
        <v>1375</v>
      </c>
      <c r="F95" s="470" t="s">
        <v>1044</v>
      </c>
      <c r="G95" s="470" t="s">
        <v>1044</v>
      </c>
      <c r="H95" s="470">
        <v>1758</v>
      </c>
      <c r="I95" s="471">
        <v>44229</v>
      </c>
      <c r="J95" s="470" t="s">
        <v>1377</v>
      </c>
      <c r="K95" s="473">
        <v>3548708</v>
      </c>
      <c r="L95" s="472">
        <v>13000</v>
      </c>
      <c r="M95" s="453"/>
    </row>
    <row r="96" spans="1:13">
      <c r="A96" s="308" t="s">
        <v>467</v>
      </c>
      <c r="B96" s="446" t="s">
        <v>1371</v>
      </c>
      <c r="C96" s="308" t="s">
        <v>1372</v>
      </c>
      <c r="D96" s="308" t="s">
        <v>1378</v>
      </c>
      <c r="E96" s="470" t="s">
        <v>1379</v>
      </c>
      <c r="F96" s="470" t="s">
        <v>1044</v>
      </c>
      <c r="G96" s="470" t="s">
        <v>1044</v>
      </c>
      <c r="H96" s="470" t="s">
        <v>1380</v>
      </c>
      <c r="I96" s="470" t="s">
        <v>1216</v>
      </c>
      <c r="J96" s="470" t="s">
        <v>1381</v>
      </c>
      <c r="K96" s="473" t="s">
        <v>1382</v>
      </c>
      <c r="L96" s="472">
        <v>20000</v>
      </c>
      <c r="M96" s="453"/>
    </row>
    <row r="97" spans="1:13">
      <c r="A97" s="308" t="s">
        <v>467</v>
      </c>
      <c r="B97" s="446" t="s">
        <v>1371</v>
      </c>
      <c r="C97" s="308" t="s">
        <v>1372</v>
      </c>
      <c r="D97" s="308" t="s">
        <v>1383</v>
      </c>
      <c r="E97" s="470" t="s">
        <v>1384</v>
      </c>
      <c r="F97" s="470" t="s">
        <v>1044</v>
      </c>
      <c r="G97" s="470" t="s">
        <v>1044</v>
      </c>
      <c r="H97" s="470">
        <v>593</v>
      </c>
      <c r="I97" s="471">
        <v>44236</v>
      </c>
      <c r="J97" s="470" t="s">
        <v>1385</v>
      </c>
      <c r="K97" s="473">
        <v>3548708</v>
      </c>
      <c r="L97" s="472">
        <v>3450</v>
      </c>
      <c r="M97" s="453"/>
    </row>
    <row r="98" spans="1:13">
      <c r="A98" s="441"/>
      <c r="B98" s="442"/>
      <c r="C98" s="441"/>
      <c r="D98" s="441"/>
      <c r="E98" s="442"/>
      <c r="F98" s="442"/>
      <c r="G98" s="443"/>
      <c r="H98" s="441"/>
      <c r="I98" s="441"/>
      <c r="J98" s="441"/>
      <c r="K98" s="441"/>
      <c r="L98" s="455">
        <v>0</v>
      </c>
      <c r="M98" s="453"/>
    </row>
    <row r="99" spans="1:13">
      <c r="A99" s="441"/>
      <c r="B99" s="442"/>
      <c r="C99" s="441"/>
      <c r="D99" s="441"/>
      <c r="E99" s="442"/>
      <c r="F99" s="442"/>
      <c r="G99" s="443"/>
      <c r="H99" s="441"/>
      <c r="I99" s="441"/>
      <c r="J99" s="441"/>
      <c r="K99" s="441"/>
      <c r="L99" s="455">
        <v>0</v>
      </c>
      <c r="M99" s="453"/>
    </row>
    <row r="100" spans="1:13">
      <c r="A100" s="441"/>
      <c r="B100" s="442"/>
      <c r="C100" s="441"/>
      <c r="D100" s="441"/>
      <c r="E100" s="442"/>
      <c r="F100" s="442"/>
      <c r="G100" s="443"/>
      <c r="H100" s="441"/>
      <c r="I100" s="441"/>
      <c r="J100" s="441"/>
      <c r="K100" s="441"/>
      <c r="L100" s="455">
        <v>0</v>
      </c>
      <c r="M100" s="453"/>
    </row>
    <row r="101" spans="1:13">
      <c r="A101" s="441"/>
      <c r="B101" s="442"/>
      <c r="C101" s="441"/>
      <c r="D101" s="441"/>
      <c r="E101" s="442"/>
      <c r="F101" s="442"/>
      <c r="G101" s="443"/>
      <c r="H101" s="441"/>
      <c r="I101" s="441"/>
      <c r="J101" s="441"/>
      <c r="K101" s="441"/>
      <c r="L101" s="455">
        <v>0</v>
      </c>
      <c r="M101" s="453"/>
    </row>
    <row r="102" spans="1:13">
      <c r="A102" s="441"/>
      <c r="B102" s="442"/>
      <c r="C102" s="441"/>
      <c r="D102" s="441"/>
      <c r="E102" s="442"/>
      <c r="F102" s="442"/>
      <c r="G102" s="443"/>
      <c r="H102" s="441"/>
      <c r="I102" s="441"/>
      <c r="J102" s="441"/>
      <c r="K102" s="441"/>
      <c r="L102" s="455">
        <v>0</v>
      </c>
      <c r="M102" s="453"/>
    </row>
    <row r="103" spans="1:13">
      <c r="A103" s="441"/>
      <c r="B103" s="442"/>
      <c r="C103" s="441"/>
      <c r="D103" s="441"/>
      <c r="E103" s="442"/>
      <c r="F103" s="442"/>
      <c r="G103" s="443"/>
      <c r="H103" s="441"/>
      <c r="I103" s="441"/>
      <c r="J103" s="441"/>
      <c r="K103" s="441"/>
      <c r="L103" s="455">
        <v>0</v>
      </c>
      <c r="M103" s="453"/>
    </row>
    <row r="104" spans="1:13">
      <c r="A104" s="441"/>
      <c r="B104" s="442"/>
      <c r="C104" s="441"/>
      <c r="D104" s="441"/>
      <c r="E104" s="442"/>
      <c r="F104" s="442"/>
      <c r="G104" s="443"/>
      <c r="H104" s="441"/>
      <c r="I104" s="441"/>
      <c r="J104" s="441"/>
      <c r="K104" s="441"/>
      <c r="L104" s="455">
        <v>0</v>
      </c>
      <c r="M104" s="453"/>
    </row>
    <row r="105" spans="1:13">
      <c r="A105" s="441"/>
      <c r="B105" s="442"/>
      <c r="C105" s="441"/>
      <c r="D105" s="441"/>
      <c r="E105" s="442"/>
      <c r="F105" s="442"/>
      <c r="G105" s="443"/>
      <c r="H105" s="441"/>
      <c r="I105" s="441"/>
      <c r="J105" s="441"/>
      <c r="K105" s="441"/>
      <c r="L105" s="455">
        <v>0</v>
      </c>
      <c r="M105" s="453"/>
    </row>
    <row r="106" spans="1:13">
      <c r="A106" s="441"/>
      <c r="B106" s="442"/>
      <c r="C106" s="441"/>
      <c r="D106" s="441"/>
      <c r="E106" s="442"/>
      <c r="F106" s="442"/>
      <c r="G106" s="443"/>
      <c r="H106" s="441"/>
      <c r="I106" s="441"/>
      <c r="J106" s="441"/>
      <c r="K106" s="441"/>
      <c r="L106" s="455">
        <v>0</v>
      </c>
      <c r="M106" s="453"/>
    </row>
    <row r="107" spans="1:13">
      <c r="A107" s="441"/>
      <c r="B107" s="442"/>
      <c r="C107" s="441"/>
      <c r="D107" s="441"/>
      <c r="E107" s="442"/>
      <c r="F107" s="442"/>
      <c r="G107" s="443"/>
      <c r="H107" s="441"/>
      <c r="I107" s="441"/>
      <c r="J107" s="441"/>
      <c r="K107" s="441"/>
      <c r="L107" s="455">
        <v>0</v>
      </c>
      <c r="M107" s="453"/>
    </row>
    <row r="108" spans="1:13">
      <c r="A108" s="441"/>
      <c r="B108" s="442"/>
      <c r="C108" s="441"/>
      <c r="D108" s="441"/>
      <c r="E108" s="442"/>
      <c r="F108" s="442"/>
      <c r="G108" s="443"/>
      <c r="H108" s="441"/>
      <c r="I108" s="441"/>
      <c r="J108" s="441"/>
      <c r="K108" s="441"/>
      <c r="L108" s="455">
        <v>0</v>
      </c>
      <c r="M108" s="453"/>
    </row>
    <row r="109" spans="1:13">
      <c r="A109" s="441"/>
      <c r="B109" s="442"/>
      <c r="C109" s="441"/>
      <c r="D109" s="441"/>
      <c r="E109" s="442"/>
      <c r="F109" s="442"/>
      <c r="G109" s="443"/>
      <c r="H109" s="441"/>
      <c r="I109" s="441"/>
      <c r="J109" s="441"/>
      <c r="K109" s="441"/>
      <c r="L109" s="455">
        <v>0</v>
      </c>
      <c r="M109" s="453"/>
    </row>
    <row r="110" spans="1:13">
      <c r="A110" s="441"/>
      <c r="B110" s="442"/>
      <c r="C110" s="441"/>
      <c r="D110" s="441"/>
      <c r="E110" s="442"/>
      <c r="F110" s="442"/>
      <c r="G110" s="443"/>
      <c r="H110" s="441"/>
      <c r="I110" s="441"/>
      <c r="J110" s="441"/>
      <c r="K110" s="441"/>
      <c r="L110" s="455">
        <v>0</v>
      </c>
      <c r="M110" s="453"/>
    </row>
    <row r="111" spans="1:13">
      <c r="A111" s="441"/>
      <c r="B111" s="442"/>
      <c r="C111" s="441"/>
      <c r="D111" s="441"/>
      <c r="E111" s="442"/>
      <c r="F111" s="442"/>
      <c r="G111" s="443"/>
      <c r="H111" s="441"/>
      <c r="I111" s="441"/>
      <c r="J111" s="441"/>
      <c r="K111" s="441"/>
      <c r="L111" s="455">
        <v>0</v>
      </c>
      <c r="M111" s="453"/>
    </row>
    <row r="112" spans="1:13">
      <c r="A112" s="441"/>
      <c r="B112" s="442"/>
      <c r="C112" s="441"/>
      <c r="D112" s="441"/>
      <c r="E112" s="442"/>
      <c r="F112" s="442"/>
      <c r="G112" s="443"/>
      <c r="H112" s="441"/>
      <c r="I112" s="441"/>
      <c r="J112" s="441"/>
      <c r="K112" s="441"/>
      <c r="L112" s="455">
        <v>0</v>
      </c>
      <c r="M112" s="453"/>
    </row>
    <row r="113" spans="1:13">
      <c r="A113" s="441"/>
      <c r="B113" s="442"/>
      <c r="C113" s="441"/>
      <c r="D113" s="441"/>
      <c r="E113" s="442"/>
      <c r="F113" s="442"/>
      <c r="G113" s="443"/>
      <c r="H113" s="441"/>
      <c r="I113" s="441"/>
      <c r="J113" s="441"/>
      <c r="K113" s="441"/>
      <c r="L113" s="455">
        <v>0</v>
      </c>
      <c r="M113" s="453"/>
    </row>
    <row r="114" spans="1:13">
      <c r="A114" s="441"/>
      <c r="B114" s="442"/>
      <c r="C114" s="441"/>
      <c r="D114" s="441"/>
      <c r="E114" s="442"/>
      <c r="F114" s="442"/>
      <c r="G114" s="443"/>
      <c r="H114" s="441"/>
      <c r="I114" s="441"/>
      <c r="J114" s="441"/>
      <c r="K114" s="441"/>
      <c r="L114" s="455">
        <v>0</v>
      </c>
      <c r="M114" s="453"/>
    </row>
    <row r="115" spans="1:13">
      <c r="A115" s="441"/>
      <c r="B115" s="442"/>
      <c r="C115" s="441"/>
      <c r="D115" s="441"/>
      <c r="E115" s="442"/>
      <c r="F115" s="442"/>
      <c r="G115" s="443"/>
      <c r="H115" s="441"/>
      <c r="I115" s="441"/>
      <c r="J115" s="441"/>
      <c r="K115" s="441"/>
      <c r="L115" s="455">
        <v>0</v>
      </c>
      <c r="M115" s="453"/>
    </row>
    <row r="116" spans="1:13">
      <c r="A116" s="441"/>
      <c r="B116" s="442"/>
      <c r="C116" s="441"/>
      <c r="D116" s="441"/>
      <c r="E116" s="442"/>
      <c r="F116" s="442"/>
      <c r="G116" s="443"/>
      <c r="H116" s="441"/>
      <c r="I116" s="441"/>
      <c r="J116" s="441"/>
      <c r="K116" s="441"/>
      <c r="L116" s="455">
        <v>0</v>
      </c>
      <c r="M116" s="453"/>
    </row>
    <row r="117" spans="1:13">
      <c r="A117" s="441"/>
      <c r="B117" s="442"/>
      <c r="C117" s="441"/>
      <c r="D117" s="441"/>
      <c r="E117" s="442"/>
      <c r="F117" s="442"/>
      <c r="G117" s="443"/>
      <c r="H117" s="441"/>
      <c r="I117" s="441"/>
      <c r="J117" s="441"/>
      <c r="K117" s="441"/>
      <c r="L117" s="455">
        <v>0</v>
      </c>
      <c r="M117" s="453"/>
    </row>
    <row r="118" spans="1:13">
      <c r="A118" s="441"/>
      <c r="B118" s="442"/>
      <c r="C118" s="441"/>
      <c r="D118" s="441"/>
      <c r="E118" s="442"/>
      <c r="F118" s="442"/>
      <c r="G118" s="443"/>
      <c r="H118" s="441"/>
      <c r="I118" s="441"/>
      <c r="J118" s="441"/>
      <c r="K118" s="441"/>
      <c r="L118" s="455">
        <v>0</v>
      </c>
      <c r="M118" s="453"/>
    </row>
    <row r="119" spans="1:13">
      <c r="A119" s="441"/>
      <c r="B119" s="442"/>
      <c r="C119" s="441"/>
      <c r="D119" s="441"/>
      <c r="E119" s="442"/>
      <c r="F119" s="442"/>
      <c r="G119" s="443"/>
      <c r="H119" s="441"/>
      <c r="I119" s="441"/>
      <c r="J119" s="441"/>
      <c r="K119" s="441"/>
      <c r="L119" s="455">
        <v>0</v>
      </c>
      <c r="M119" s="453"/>
    </row>
    <row r="120" spans="1:13">
      <c r="A120" s="441"/>
      <c r="B120" s="442"/>
      <c r="C120" s="441"/>
      <c r="D120" s="441"/>
      <c r="E120" s="442"/>
      <c r="F120" s="442"/>
      <c r="G120" s="443"/>
      <c r="H120" s="441"/>
      <c r="I120" s="441"/>
      <c r="J120" s="441"/>
      <c r="K120" s="441"/>
      <c r="L120" s="455">
        <v>0</v>
      </c>
      <c r="M120" s="453"/>
    </row>
    <row r="121" spans="1:13">
      <c r="A121" s="441"/>
      <c r="B121" s="442"/>
      <c r="C121" s="441"/>
      <c r="D121" s="441"/>
      <c r="E121" s="442"/>
      <c r="F121" s="442"/>
      <c r="G121" s="443"/>
      <c r="H121" s="441"/>
      <c r="I121" s="441"/>
      <c r="J121" s="441"/>
      <c r="K121" s="441"/>
      <c r="L121" s="455">
        <v>0</v>
      </c>
      <c r="M121" s="453"/>
    </row>
    <row r="122" spans="1:13">
      <c r="A122" s="441"/>
      <c r="B122" s="442"/>
      <c r="C122" s="441"/>
      <c r="D122" s="441"/>
      <c r="E122" s="442"/>
      <c r="F122" s="442"/>
      <c r="G122" s="443"/>
      <c r="H122" s="441"/>
      <c r="I122" s="441"/>
      <c r="J122" s="441"/>
      <c r="K122" s="441"/>
      <c r="L122" s="455">
        <v>0</v>
      </c>
      <c r="M122" s="453"/>
    </row>
    <row r="123" spans="1:13">
      <c r="A123" s="441"/>
      <c r="B123" s="442"/>
      <c r="C123" s="441"/>
      <c r="D123" s="441"/>
      <c r="E123" s="442"/>
      <c r="F123" s="442"/>
      <c r="G123" s="443"/>
      <c r="H123" s="441"/>
      <c r="I123" s="441"/>
      <c r="J123" s="441"/>
      <c r="K123" s="441"/>
      <c r="L123" s="455">
        <v>0</v>
      </c>
      <c r="M123" s="453"/>
    </row>
    <row r="124" spans="1:13">
      <c r="A124" s="441"/>
      <c r="B124" s="442"/>
      <c r="C124" s="441"/>
      <c r="D124" s="441"/>
      <c r="E124" s="442"/>
      <c r="F124" s="442"/>
      <c r="G124" s="443"/>
      <c r="H124" s="441"/>
      <c r="I124" s="441"/>
      <c r="J124" s="441"/>
      <c r="K124" s="441"/>
      <c r="L124" s="455">
        <v>0</v>
      </c>
      <c r="M124" s="453"/>
    </row>
    <row r="125" spans="1:13">
      <c r="A125" s="441"/>
      <c r="B125" s="442"/>
      <c r="C125" s="441"/>
      <c r="D125" s="441"/>
      <c r="E125" s="442"/>
      <c r="F125" s="442"/>
      <c r="G125" s="443"/>
      <c r="H125" s="441"/>
      <c r="I125" s="441"/>
      <c r="J125" s="441"/>
      <c r="K125" s="441"/>
      <c r="L125" s="455">
        <v>0</v>
      </c>
      <c r="M125" s="453"/>
    </row>
    <row r="126" spans="1:13">
      <c r="A126" s="441"/>
      <c r="B126" s="442"/>
      <c r="C126" s="441"/>
      <c r="D126" s="441"/>
      <c r="E126" s="442"/>
      <c r="F126" s="442"/>
      <c r="G126" s="443"/>
      <c r="H126" s="441"/>
      <c r="I126" s="441"/>
      <c r="J126" s="441"/>
      <c r="K126" s="441"/>
      <c r="L126" s="455">
        <v>0</v>
      </c>
      <c r="M126" s="453"/>
    </row>
    <row r="127" spans="1:13">
      <c r="A127" s="441"/>
      <c r="B127" s="442"/>
      <c r="C127" s="441"/>
      <c r="D127" s="441"/>
      <c r="E127" s="442"/>
      <c r="F127" s="442"/>
      <c r="G127" s="443"/>
      <c r="H127" s="441"/>
      <c r="I127" s="441"/>
      <c r="J127" s="441"/>
      <c r="K127" s="441"/>
      <c r="L127" s="455">
        <v>0</v>
      </c>
      <c r="M127" s="453"/>
    </row>
    <row r="128" spans="1:13">
      <c r="A128" s="441"/>
      <c r="B128" s="442"/>
      <c r="C128" s="441"/>
      <c r="D128" s="441"/>
      <c r="E128" s="442"/>
      <c r="F128" s="442"/>
      <c r="G128" s="443"/>
      <c r="H128" s="441"/>
      <c r="I128" s="441"/>
      <c r="J128" s="441"/>
      <c r="K128" s="441"/>
      <c r="L128" s="455">
        <v>0</v>
      </c>
      <c r="M128" s="453"/>
    </row>
    <row r="129" spans="1:13">
      <c r="A129" s="441"/>
      <c r="B129" s="442"/>
      <c r="C129" s="441"/>
      <c r="D129" s="441"/>
      <c r="E129" s="442"/>
      <c r="F129" s="442"/>
      <c r="G129" s="443"/>
      <c r="H129" s="441"/>
      <c r="I129" s="441"/>
      <c r="J129" s="441"/>
      <c r="K129" s="441"/>
      <c r="L129" s="455">
        <v>0</v>
      </c>
      <c r="M129" s="453"/>
    </row>
    <row r="130" spans="1:13">
      <c r="A130" s="441"/>
      <c r="B130" s="442"/>
      <c r="C130" s="441"/>
      <c r="D130" s="441"/>
      <c r="E130" s="442"/>
      <c r="F130" s="442"/>
      <c r="G130" s="443"/>
      <c r="H130" s="441"/>
      <c r="I130" s="441"/>
      <c r="J130" s="441"/>
      <c r="K130" s="441"/>
      <c r="L130" s="455">
        <v>0</v>
      </c>
      <c r="M130" s="453"/>
    </row>
    <row r="131" spans="1:13">
      <c r="A131" s="441"/>
      <c r="B131" s="442"/>
      <c r="C131" s="441"/>
      <c r="D131" s="441"/>
      <c r="E131" s="442"/>
      <c r="F131" s="442"/>
      <c r="G131" s="443"/>
      <c r="H131" s="441"/>
      <c r="I131" s="441"/>
      <c r="J131" s="441"/>
      <c r="K131" s="441"/>
      <c r="L131" s="455">
        <v>0</v>
      </c>
      <c r="M131" s="453"/>
    </row>
    <row r="132" spans="1:13">
      <c r="A132" s="441"/>
      <c r="B132" s="442"/>
      <c r="C132" s="441"/>
      <c r="D132" s="441"/>
      <c r="E132" s="442"/>
      <c r="F132" s="442"/>
      <c r="G132" s="443"/>
      <c r="H132" s="441"/>
      <c r="I132" s="441"/>
      <c r="J132" s="441"/>
      <c r="K132" s="441"/>
      <c r="L132" s="455">
        <v>0</v>
      </c>
      <c r="M132" s="453"/>
    </row>
    <row r="133" spans="1:13">
      <c r="A133" s="441"/>
      <c r="B133" s="442"/>
      <c r="C133" s="441"/>
      <c r="D133" s="441"/>
      <c r="E133" s="442"/>
      <c r="F133" s="442"/>
      <c r="G133" s="443"/>
      <c r="H133" s="441"/>
      <c r="I133" s="441"/>
      <c r="J133" s="441"/>
      <c r="K133" s="441"/>
      <c r="L133" s="455">
        <v>0</v>
      </c>
      <c r="M133" s="453"/>
    </row>
    <row r="134" spans="1:13">
      <c r="A134" s="441"/>
      <c r="B134" s="442"/>
      <c r="C134" s="441"/>
      <c r="D134" s="441"/>
      <c r="E134" s="442"/>
      <c r="F134" s="442"/>
      <c r="G134" s="443"/>
      <c r="H134" s="441"/>
      <c r="I134" s="441"/>
      <c r="J134" s="441"/>
      <c r="K134" s="441"/>
      <c r="L134" s="455">
        <v>0</v>
      </c>
      <c r="M134" s="453"/>
    </row>
    <row r="135" spans="1:13">
      <c r="A135" s="441"/>
      <c r="B135" s="442"/>
      <c r="C135" s="441"/>
      <c r="D135" s="441"/>
      <c r="E135" s="442"/>
      <c r="F135" s="442"/>
      <c r="G135" s="443"/>
      <c r="H135" s="441"/>
      <c r="I135" s="441"/>
      <c r="J135" s="441"/>
      <c r="K135" s="441"/>
      <c r="L135" s="455">
        <v>0</v>
      </c>
      <c r="M135" s="453"/>
    </row>
    <row r="136" spans="1:13">
      <c r="A136" s="441"/>
      <c r="B136" s="442"/>
      <c r="C136" s="441"/>
      <c r="D136" s="441"/>
      <c r="E136" s="442"/>
      <c r="F136" s="442"/>
      <c r="G136" s="443"/>
      <c r="H136" s="441"/>
      <c r="I136" s="441"/>
      <c r="J136" s="441"/>
      <c r="K136" s="441"/>
      <c r="L136" s="455">
        <v>0</v>
      </c>
      <c r="M136" s="453"/>
    </row>
    <row r="137" spans="1:13">
      <c r="A137" s="441"/>
      <c r="B137" s="442"/>
      <c r="C137" s="441"/>
      <c r="D137" s="441"/>
      <c r="E137" s="442"/>
      <c r="F137" s="442"/>
      <c r="G137" s="443"/>
      <c r="H137" s="441"/>
      <c r="I137" s="441"/>
      <c r="J137" s="441"/>
      <c r="K137" s="441"/>
      <c r="L137" s="455">
        <v>0</v>
      </c>
      <c r="M137" s="453"/>
    </row>
    <row r="138" spans="1:13">
      <c r="A138" s="441"/>
      <c r="B138" s="442"/>
      <c r="C138" s="441"/>
      <c r="D138" s="441"/>
      <c r="E138" s="442"/>
      <c r="F138" s="442"/>
      <c r="G138" s="443"/>
      <c r="H138" s="441"/>
      <c r="I138" s="441"/>
      <c r="J138" s="441"/>
      <c r="K138" s="441"/>
      <c r="L138" s="455">
        <v>0</v>
      </c>
      <c r="M138" s="453"/>
    </row>
    <row r="139" spans="1:13">
      <c r="A139" s="441"/>
      <c r="B139" s="442"/>
      <c r="C139" s="441"/>
      <c r="D139" s="441"/>
      <c r="E139" s="442"/>
      <c r="F139" s="442"/>
      <c r="G139" s="443"/>
      <c r="H139" s="441"/>
      <c r="I139" s="441"/>
      <c r="J139" s="441"/>
      <c r="K139" s="441"/>
      <c r="L139" s="455">
        <v>0</v>
      </c>
      <c r="M139" s="453"/>
    </row>
    <row r="140" spans="1:13">
      <c r="A140" s="441"/>
      <c r="B140" s="442"/>
      <c r="C140" s="441"/>
      <c r="D140" s="441"/>
      <c r="E140" s="442"/>
      <c r="F140" s="442"/>
      <c r="G140" s="443"/>
      <c r="H140" s="441"/>
      <c r="I140" s="441"/>
      <c r="J140" s="441"/>
      <c r="K140" s="441"/>
      <c r="L140" s="455">
        <v>0</v>
      </c>
      <c r="M140" s="453"/>
    </row>
    <row r="141" spans="1:13">
      <c r="A141" s="441"/>
      <c r="B141" s="442"/>
      <c r="C141" s="441"/>
      <c r="D141" s="441"/>
      <c r="E141" s="442"/>
      <c r="F141" s="442"/>
      <c r="G141" s="443"/>
      <c r="H141" s="441"/>
      <c r="I141" s="441"/>
      <c r="J141" s="441"/>
      <c r="K141" s="441"/>
      <c r="L141" s="455">
        <v>0</v>
      </c>
      <c r="M141" s="453"/>
    </row>
    <row r="142" spans="1:13">
      <c r="A142" s="441"/>
      <c r="B142" s="442"/>
      <c r="C142" s="441"/>
      <c r="D142" s="441"/>
      <c r="E142" s="442"/>
      <c r="F142" s="442"/>
      <c r="G142" s="443"/>
      <c r="H142" s="441"/>
      <c r="I142" s="441"/>
      <c r="J142" s="441"/>
      <c r="K142" s="441"/>
      <c r="L142" s="455">
        <v>0</v>
      </c>
      <c r="M142" s="453"/>
    </row>
    <row r="143" spans="1:13">
      <c r="A143" s="441"/>
      <c r="B143" s="442"/>
      <c r="C143" s="441"/>
      <c r="D143" s="441"/>
      <c r="E143" s="442"/>
      <c r="F143" s="442"/>
      <c r="G143" s="443"/>
      <c r="H143" s="441"/>
      <c r="I143" s="441"/>
      <c r="J143" s="441"/>
      <c r="K143" s="441"/>
      <c r="L143" s="455">
        <v>0</v>
      </c>
      <c r="M143" s="453"/>
    </row>
    <row r="144" spans="1:13">
      <c r="A144" s="441"/>
      <c r="B144" s="442"/>
      <c r="C144" s="441"/>
      <c r="D144" s="441"/>
      <c r="E144" s="442"/>
      <c r="F144" s="442"/>
      <c r="G144" s="443"/>
      <c r="H144" s="441"/>
      <c r="I144" s="441"/>
      <c r="J144" s="441"/>
      <c r="K144" s="441"/>
      <c r="L144" s="455">
        <v>0</v>
      </c>
      <c r="M144" s="453"/>
    </row>
    <row r="145" spans="1:13">
      <c r="A145" s="441"/>
      <c r="B145" s="442"/>
      <c r="C145" s="441"/>
      <c r="D145" s="441"/>
      <c r="E145" s="442"/>
      <c r="F145" s="442"/>
      <c r="G145" s="443"/>
      <c r="H145" s="441"/>
      <c r="I145" s="441"/>
      <c r="J145" s="441"/>
      <c r="K145" s="441"/>
      <c r="L145" s="455">
        <v>0</v>
      </c>
      <c r="M145" s="453"/>
    </row>
    <row r="146" spans="1:13">
      <c r="A146" s="441"/>
      <c r="B146" s="442"/>
      <c r="C146" s="441"/>
      <c r="D146" s="441"/>
      <c r="E146" s="442"/>
      <c r="F146" s="442"/>
      <c r="G146" s="443"/>
      <c r="H146" s="441"/>
      <c r="I146" s="441"/>
      <c r="J146" s="441"/>
      <c r="K146" s="441"/>
      <c r="L146" s="455">
        <v>0</v>
      </c>
      <c r="M146" s="453"/>
    </row>
    <row r="147" spans="1:13">
      <c r="A147" s="441"/>
      <c r="B147" s="442"/>
      <c r="C147" s="441"/>
      <c r="D147" s="441"/>
      <c r="E147" s="442"/>
      <c r="F147" s="442"/>
      <c r="G147" s="443"/>
      <c r="H147" s="441"/>
      <c r="I147" s="441"/>
      <c r="J147" s="441"/>
      <c r="K147" s="441"/>
      <c r="L147" s="455">
        <v>0</v>
      </c>
      <c r="M147" s="453"/>
    </row>
    <row r="148" spans="1:13">
      <c r="A148" s="441"/>
      <c r="B148" s="442"/>
      <c r="C148" s="441"/>
      <c r="D148" s="441"/>
      <c r="E148" s="442"/>
      <c r="F148" s="442"/>
      <c r="G148" s="443"/>
      <c r="H148" s="441"/>
      <c r="I148" s="441"/>
      <c r="J148" s="441"/>
      <c r="K148" s="441"/>
      <c r="L148" s="455">
        <v>0</v>
      </c>
      <c r="M148" s="453"/>
    </row>
    <row r="149" spans="1:13">
      <c r="A149" s="441"/>
      <c r="B149" s="442"/>
      <c r="C149" s="441"/>
      <c r="D149" s="441"/>
      <c r="E149" s="442"/>
      <c r="F149" s="442"/>
      <c r="G149" s="443"/>
      <c r="H149" s="441"/>
      <c r="I149" s="441"/>
      <c r="J149" s="441"/>
      <c r="K149" s="441"/>
      <c r="L149" s="455">
        <v>0</v>
      </c>
      <c r="M149" s="453"/>
    </row>
    <row r="150" spans="1:13">
      <c r="A150" s="441"/>
      <c r="B150" s="442"/>
      <c r="C150" s="441"/>
      <c r="D150" s="441"/>
      <c r="E150" s="442"/>
      <c r="F150" s="442"/>
      <c r="G150" s="443"/>
      <c r="H150" s="441"/>
      <c r="I150" s="441"/>
      <c r="J150" s="441"/>
      <c r="K150" s="441"/>
      <c r="L150" s="455">
        <v>0</v>
      </c>
      <c r="M150" s="453"/>
    </row>
    <row r="151" spans="1:13">
      <c r="A151" s="441"/>
      <c r="B151" s="442"/>
      <c r="C151" s="441"/>
      <c r="D151" s="441"/>
      <c r="E151" s="442"/>
      <c r="F151" s="442"/>
      <c r="G151" s="443"/>
      <c r="H151" s="441"/>
      <c r="I151" s="441"/>
      <c r="J151" s="441"/>
      <c r="K151" s="441"/>
      <c r="L151" s="455">
        <v>0</v>
      </c>
      <c r="M151" s="453"/>
    </row>
    <row r="152" spans="1:13">
      <c r="A152" s="441"/>
      <c r="B152" s="442"/>
      <c r="C152" s="441"/>
      <c r="D152" s="441"/>
      <c r="E152" s="442"/>
      <c r="F152" s="442"/>
      <c r="G152" s="443"/>
      <c r="H152" s="441"/>
      <c r="I152" s="441"/>
      <c r="J152" s="441"/>
      <c r="K152" s="441"/>
      <c r="L152" s="455">
        <v>0</v>
      </c>
      <c r="M152" s="453"/>
    </row>
    <row r="153" spans="1:13">
      <c r="A153" s="441"/>
      <c r="B153" s="442"/>
      <c r="C153" s="441"/>
      <c r="D153" s="441"/>
      <c r="E153" s="442"/>
      <c r="F153" s="442"/>
      <c r="G153" s="443"/>
      <c r="H153" s="441"/>
      <c r="I153" s="441"/>
      <c r="J153" s="441"/>
      <c r="K153" s="441"/>
      <c r="L153" s="456">
        <v>0</v>
      </c>
      <c r="M153" s="453"/>
    </row>
    <row r="154" spans="1:13">
      <c r="A154" s="441"/>
      <c r="B154" s="442"/>
      <c r="C154" s="441"/>
      <c r="D154" s="441"/>
      <c r="E154" s="442"/>
      <c r="F154" s="442"/>
      <c r="G154" s="443"/>
      <c r="H154" s="441"/>
      <c r="I154" s="441"/>
      <c r="J154" s="441"/>
      <c r="K154" s="441"/>
      <c r="L154" s="456">
        <v>0</v>
      </c>
      <c r="M154" s="453"/>
    </row>
    <row r="155" spans="1:13">
      <c r="A155" s="441"/>
      <c r="B155" s="442"/>
      <c r="C155" s="441"/>
      <c r="D155" s="441"/>
      <c r="E155" s="442"/>
      <c r="F155" s="442"/>
      <c r="G155" s="443"/>
      <c r="H155" s="441"/>
      <c r="I155" s="441"/>
      <c r="J155" s="441"/>
      <c r="K155" s="441"/>
      <c r="L155" s="456">
        <v>0</v>
      </c>
      <c r="M155" s="453"/>
    </row>
    <row r="156" spans="1:13">
      <c r="A156" s="441"/>
      <c r="B156" s="442"/>
      <c r="C156" s="441"/>
      <c r="D156" s="441"/>
      <c r="E156" s="442"/>
      <c r="F156" s="442"/>
      <c r="G156" s="443"/>
      <c r="H156" s="441"/>
      <c r="I156" s="441"/>
      <c r="J156" s="441"/>
      <c r="K156" s="441"/>
      <c r="L156" s="456">
        <v>0</v>
      </c>
      <c r="M156" s="453"/>
    </row>
    <row r="157" spans="1:13">
      <c r="A157" s="441"/>
      <c r="B157" s="442"/>
      <c r="C157" s="441"/>
      <c r="D157" s="441"/>
      <c r="E157" s="442"/>
      <c r="F157" s="442"/>
      <c r="G157" s="443"/>
      <c r="H157" s="441"/>
      <c r="I157" s="441"/>
      <c r="J157" s="441"/>
      <c r="K157" s="441"/>
      <c r="L157" s="456">
        <v>0</v>
      </c>
      <c r="M157" s="453"/>
    </row>
    <row r="158" spans="1:13">
      <c r="A158" s="441"/>
      <c r="B158" s="442"/>
      <c r="C158" s="441"/>
      <c r="D158" s="441"/>
      <c r="E158" s="442"/>
      <c r="F158" s="442"/>
      <c r="G158" s="443"/>
      <c r="H158" s="441"/>
      <c r="I158" s="441"/>
      <c r="J158" s="441"/>
      <c r="K158" s="441"/>
      <c r="L158" s="456">
        <v>0</v>
      </c>
      <c r="M158" s="453"/>
    </row>
    <row r="159" spans="1:13">
      <c r="A159" s="441"/>
      <c r="B159" s="442"/>
      <c r="C159" s="441"/>
      <c r="D159" s="441"/>
      <c r="E159" s="442"/>
      <c r="F159" s="442"/>
      <c r="G159" s="443"/>
      <c r="H159" s="441"/>
      <c r="I159" s="441"/>
      <c r="J159" s="441"/>
      <c r="K159" s="441"/>
      <c r="L159" s="456">
        <v>0</v>
      </c>
      <c r="M159" s="453"/>
    </row>
    <row r="160" spans="1:13">
      <c r="A160" s="441"/>
      <c r="B160" s="442"/>
      <c r="C160" s="441"/>
      <c r="D160" s="441"/>
      <c r="E160" s="442"/>
      <c r="F160" s="442"/>
      <c r="G160" s="443"/>
      <c r="H160" s="441"/>
      <c r="I160" s="441"/>
      <c r="J160" s="441"/>
      <c r="K160" s="441"/>
      <c r="L160" s="456">
        <v>0</v>
      </c>
      <c r="M160" s="453"/>
    </row>
    <row r="161" spans="1:13">
      <c r="A161" s="441"/>
      <c r="B161" s="442"/>
      <c r="C161" s="441"/>
      <c r="D161" s="441"/>
      <c r="E161" s="442"/>
      <c r="F161" s="442"/>
      <c r="G161" s="443"/>
      <c r="H161" s="441"/>
      <c r="I161" s="441"/>
      <c r="J161" s="441"/>
      <c r="K161" s="441"/>
      <c r="L161" s="456">
        <v>0</v>
      </c>
      <c r="M161" s="453"/>
    </row>
    <row r="162" spans="1:13">
      <c r="A162" s="441"/>
      <c r="B162" s="442"/>
      <c r="C162" s="441"/>
      <c r="D162" s="441"/>
      <c r="E162" s="442"/>
      <c r="F162" s="442"/>
      <c r="G162" s="443"/>
      <c r="H162" s="441"/>
      <c r="I162" s="441"/>
      <c r="J162" s="441"/>
      <c r="K162" s="441"/>
      <c r="L162" s="456">
        <v>0</v>
      </c>
      <c r="M162" s="453"/>
    </row>
    <row r="163" spans="1:13">
      <c r="A163" s="441"/>
      <c r="B163" s="442"/>
      <c r="C163" s="441"/>
      <c r="D163" s="441"/>
      <c r="E163" s="442"/>
      <c r="F163" s="442"/>
      <c r="G163" s="443"/>
      <c r="H163" s="441"/>
      <c r="I163" s="441"/>
      <c r="J163" s="441"/>
      <c r="K163" s="441"/>
      <c r="L163" s="456">
        <v>0</v>
      </c>
      <c r="M163" s="453"/>
    </row>
    <row r="164" spans="1:13">
      <c r="A164" s="441"/>
      <c r="B164" s="442"/>
      <c r="C164" s="441"/>
      <c r="D164" s="441"/>
      <c r="E164" s="442"/>
      <c r="F164" s="442"/>
      <c r="G164" s="443"/>
      <c r="H164" s="441"/>
      <c r="I164" s="441"/>
      <c r="J164" s="441"/>
      <c r="K164" s="441"/>
      <c r="L164" s="456">
        <v>0</v>
      </c>
      <c r="M164" s="453"/>
    </row>
    <row r="165" spans="1:13">
      <c r="A165" s="441"/>
      <c r="B165" s="442"/>
      <c r="C165" s="441"/>
      <c r="D165" s="441"/>
      <c r="E165" s="442"/>
      <c r="F165" s="442"/>
      <c r="G165" s="443"/>
      <c r="H165" s="441"/>
      <c r="I165" s="441"/>
      <c r="J165" s="441"/>
      <c r="K165" s="441"/>
      <c r="L165" s="456">
        <v>0</v>
      </c>
      <c r="M165" s="453"/>
    </row>
    <row r="166" spans="1:13">
      <c r="A166" s="441"/>
      <c r="B166" s="442"/>
      <c r="C166" s="441"/>
      <c r="D166" s="441"/>
      <c r="E166" s="442"/>
      <c r="F166" s="442"/>
      <c r="G166" s="443"/>
      <c r="H166" s="441"/>
      <c r="I166" s="441"/>
      <c r="J166" s="441"/>
      <c r="K166" s="441"/>
      <c r="L166" s="456">
        <v>0</v>
      </c>
      <c r="M166" s="453"/>
    </row>
    <row r="167" spans="1:13">
      <c r="A167" s="441"/>
      <c r="B167" s="442"/>
      <c r="C167" s="441"/>
      <c r="D167" s="441"/>
      <c r="E167" s="442"/>
      <c r="F167" s="442"/>
      <c r="G167" s="443"/>
      <c r="H167" s="441"/>
      <c r="I167" s="441"/>
      <c r="J167" s="441"/>
      <c r="K167" s="441"/>
      <c r="L167" s="456">
        <v>0</v>
      </c>
      <c r="M167" s="453"/>
    </row>
    <row r="168" spans="1:13">
      <c r="A168" s="441"/>
      <c r="B168" s="442"/>
      <c r="C168" s="441"/>
      <c r="D168" s="441"/>
      <c r="E168" s="442"/>
      <c r="F168" s="442"/>
      <c r="G168" s="443"/>
      <c r="H168" s="441"/>
      <c r="I168" s="441"/>
      <c r="J168" s="441"/>
      <c r="K168" s="441"/>
      <c r="L168" s="456">
        <v>0</v>
      </c>
      <c r="M168" s="453"/>
    </row>
    <row r="169" spans="1:13">
      <c r="A169" s="441"/>
      <c r="B169" s="442"/>
      <c r="C169" s="441"/>
      <c r="D169" s="441"/>
      <c r="E169" s="442"/>
      <c r="F169" s="442"/>
      <c r="G169" s="443"/>
      <c r="H169" s="441"/>
      <c r="I169" s="441"/>
      <c r="J169" s="441"/>
      <c r="K169" s="441"/>
      <c r="L169" s="456">
        <v>0</v>
      </c>
      <c r="M169" s="453"/>
    </row>
    <row r="170" spans="1:13">
      <c r="A170" s="441"/>
      <c r="B170" s="442"/>
      <c r="C170" s="441"/>
      <c r="D170" s="441"/>
      <c r="E170" s="442"/>
      <c r="F170" s="442"/>
      <c r="G170" s="443"/>
      <c r="H170" s="441"/>
      <c r="I170" s="441"/>
      <c r="J170" s="441"/>
      <c r="K170" s="441"/>
      <c r="L170" s="456">
        <v>0</v>
      </c>
      <c r="M170" s="453"/>
    </row>
    <row r="171" spans="1:13">
      <c r="A171" s="441"/>
      <c r="B171" s="442"/>
      <c r="C171" s="441"/>
      <c r="D171" s="441"/>
      <c r="E171" s="442"/>
      <c r="F171" s="442"/>
      <c r="G171" s="443"/>
      <c r="H171" s="441"/>
      <c r="I171" s="441"/>
      <c r="J171" s="441"/>
      <c r="K171" s="441"/>
      <c r="L171" s="456">
        <v>0</v>
      </c>
      <c r="M171" s="453"/>
    </row>
    <row r="172" spans="1:13">
      <c r="A172" s="441"/>
      <c r="B172" s="442"/>
      <c r="C172" s="441"/>
      <c r="D172" s="441"/>
      <c r="E172" s="442"/>
      <c r="F172" s="442"/>
      <c r="G172" s="443"/>
      <c r="H172" s="441"/>
      <c r="I172" s="441"/>
      <c r="J172" s="441"/>
      <c r="K172" s="441"/>
      <c r="L172" s="456">
        <v>0</v>
      </c>
      <c r="M172" s="453"/>
    </row>
    <row r="173" spans="1:13">
      <c r="A173" s="441"/>
      <c r="B173" s="442"/>
      <c r="C173" s="441"/>
      <c r="D173" s="441"/>
      <c r="E173" s="442"/>
      <c r="F173" s="442"/>
      <c r="G173" s="443"/>
      <c r="H173" s="441"/>
      <c r="I173" s="441"/>
      <c r="J173" s="441"/>
      <c r="K173" s="441"/>
      <c r="L173" s="456">
        <v>0</v>
      </c>
      <c r="M173" s="453"/>
    </row>
    <row r="174" spans="1:13">
      <c r="A174" s="441"/>
      <c r="B174" s="442"/>
      <c r="C174" s="441"/>
      <c r="D174" s="441"/>
      <c r="E174" s="442"/>
      <c r="F174" s="442"/>
      <c r="G174" s="443"/>
      <c r="H174" s="441"/>
      <c r="I174" s="441"/>
      <c r="J174" s="441"/>
      <c r="K174" s="441"/>
      <c r="L174" s="456">
        <v>0</v>
      </c>
      <c r="M174" s="453"/>
    </row>
    <row r="175" spans="1:13">
      <c r="A175" s="441"/>
      <c r="B175" s="442"/>
      <c r="C175" s="441"/>
      <c r="D175" s="441"/>
      <c r="E175" s="442"/>
      <c r="F175" s="442"/>
      <c r="G175" s="443"/>
      <c r="H175" s="441"/>
      <c r="I175" s="441"/>
      <c r="J175" s="441"/>
      <c r="K175" s="441"/>
      <c r="L175" s="456">
        <v>0</v>
      </c>
      <c r="M175" s="453"/>
    </row>
    <row r="176" spans="1:13">
      <c r="A176" s="441"/>
      <c r="B176" s="442"/>
      <c r="C176" s="441"/>
      <c r="D176" s="441"/>
      <c r="E176" s="442"/>
      <c r="F176" s="442"/>
      <c r="G176" s="443"/>
      <c r="H176" s="441"/>
      <c r="I176" s="441"/>
      <c r="J176" s="441"/>
      <c r="K176" s="441"/>
      <c r="L176" s="456">
        <v>0</v>
      </c>
      <c r="M176" s="453"/>
    </row>
    <row r="177" spans="1:13">
      <c r="A177" s="441"/>
      <c r="B177" s="442"/>
      <c r="C177" s="441"/>
      <c r="D177" s="441"/>
      <c r="E177" s="442"/>
      <c r="F177" s="442"/>
      <c r="G177" s="443"/>
      <c r="H177" s="441"/>
      <c r="I177" s="441"/>
      <c r="J177" s="441"/>
      <c r="K177" s="441"/>
      <c r="L177" s="456">
        <v>0</v>
      </c>
      <c r="M177" s="453"/>
    </row>
    <row r="178" spans="1:13">
      <c r="A178" s="441"/>
      <c r="B178" s="442"/>
      <c r="C178" s="441"/>
      <c r="D178" s="441"/>
      <c r="E178" s="442"/>
      <c r="F178" s="442"/>
      <c r="G178" s="443"/>
      <c r="H178" s="441"/>
      <c r="I178" s="441"/>
      <c r="J178" s="441"/>
      <c r="K178" s="441"/>
      <c r="L178" s="456">
        <v>0</v>
      </c>
      <c r="M178" s="453"/>
    </row>
    <row r="179" spans="1:13">
      <c r="A179" s="441"/>
      <c r="B179" s="442"/>
      <c r="C179" s="441"/>
      <c r="D179" s="441"/>
      <c r="E179" s="442"/>
      <c r="F179" s="442"/>
      <c r="G179" s="443"/>
      <c r="H179" s="441"/>
      <c r="I179" s="441"/>
      <c r="J179" s="441"/>
      <c r="K179" s="441"/>
      <c r="L179" s="456">
        <v>0</v>
      </c>
      <c r="M179" s="453"/>
    </row>
    <row r="180" spans="1:13">
      <c r="A180" s="441"/>
      <c r="B180" s="442"/>
      <c r="C180" s="441"/>
      <c r="D180" s="441"/>
      <c r="E180" s="442"/>
      <c r="F180" s="442"/>
      <c r="G180" s="443"/>
      <c r="H180" s="441"/>
      <c r="I180" s="441"/>
      <c r="J180" s="441"/>
      <c r="K180" s="441"/>
      <c r="L180" s="456">
        <v>0</v>
      </c>
      <c r="M180" s="453"/>
    </row>
    <row r="181" spans="1:13">
      <c r="A181" s="441"/>
      <c r="B181" s="442"/>
      <c r="C181" s="441"/>
      <c r="D181" s="441"/>
      <c r="E181" s="442"/>
      <c r="F181" s="442"/>
      <c r="G181" s="443"/>
      <c r="H181" s="441"/>
      <c r="I181" s="441"/>
      <c r="J181" s="441"/>
      <c r="K181" s="441"/>
      <c r="L181" s="456">
        <v>0</v>
      </c>
      <c r="M181" s="453"/>
    </row>
    <row r="182" spans="1:13">
      <c r="A182" s="441"/>
      <c r="B182" s="442"/>
      <c r="C182" s="441"/>
      <c r="D182" s="441"/>
      <c r="E182" s="442"/>
      <c r="F182" s="442"/>
      <c r="G182" s="443"/>
      <c r="H182" s="441"/>
      <c r="I182" s="441"/>
      <c r="J182" s="441"/>
      <c r="K182" s="441"/>
      <c r="L182" s="456">
        <v>0</v>
      </c>
      <c r="M182" s="453"/>
    </row>
    <row r="183" spans="1:13">
      <c r="A183" s="441"/>
      <c r="B183" s="442"/>
      <c r="C183" s="441"/>
      <c r="D183" s="441"/>
      <c r="E183" s="442"/>
      <c r="F183" s="442"/>
      <c r="G183" s="443"/>
      <c r="H183" s="441"/>
      <c r="I183" s="441"/>
      <c r="J183" s="441"/>
      <c r="K183" s="441"/>
      <c r="L183" s="456">
        <v>0</v>
      </c>
      <c r="M183" s="453"/>
    </row>
    <row r="184" spans="1:13">
      <c r="A184" s="441"/>
      <c r="B184" s="442"/>
      <c r="C184" s="441"/>
      <c r="D184" s="441"/>
      <c r="E184" s="442"/>
      <c r="F184" s="442"/>
      <c r="G184" s="443"/>
      <c r="H184" s="441"/>
      <c r="I184" s="441"/>
      <c r="J184" s="441"/>
      <c r="K184" s="441"/>
      <c r="L184" s="456">
        <v>0</v>
      </c>
      <c r="M184" s="453"/>
    </row>
    <row r="185" spans="1:13">
      <c r="A185" s="441"/>
      <c r="B185" s="442"/>
      <c r="C185" s="441"/>
      <c r="D185" s="441"/>
      <c r="E185" s="442"/>
      <c r="F185" s="442"/>
      <c r="G185" s="443"/>
      <c r="H185" s="441"/>
      <c r="I185" s="441"/>
      <c r="J185" s="441"/>
      <c r="K185" s="441"/>
      <c r="L185" s="456">
        <v>0</v>
      </c>
      <c r="M185" s="453"/>
    </row>
    <row r="186" spans="1:13">
      <c r="A186" s="441"/>
      <c r="B186" s="442"/>
      <c r="C186" s="441"/>
      <c r="D186" s="441"/>
      <c r="E186" s="442"/>
      <c r="F186" s="442"/>
      <c r="G186" s="443"/>
      <c r="H186" s="441"/>
      <c r="I186" s="441"/>
      <c r="J186" s="441"/>
      <c r="K186" s="441"/>
      <c r="L186" s="456">
        <v>0</v>
      </c>
      <c r="M186" s="453"/>
    </row>
    <row r="187" spans="1:13">
      <c r="A187" s="441"/>
      <c r="B187" s="442"/>
      <c r="C187" s="441"/>
      <c r="D187" s="441"/>
      <c r="E187" s="442"/>
      <c r="F187" s="442"/>
      <c r="G187" s="443"/>
      <c r="H187" s="441"/>
      <c r="I187" s="441"/>
      <c r="J187" s="441"/>
      <c r="K187" s="441"/>
      <c r="L187" s="456">
        <v>0</v>
      </c>
      <c r="M187" s="453"/>
    </row>
    <row r="188" spans="1:13">
      <c r="A188" s="441"/>
      <c r="B188" s="442"/>
      <c r="C188" s="441"/>
      <c r="D188" s="441"/>
      <c r="E188" s="442"/>
      <c r="F188" s="442"/>
      <c r="G188" s="443"/>
      <c r="H188" s="441"/>
      <c r="I188" s="441"/>
      <c r="J188" s="441"/>
      <c r="K188" s="441"/>
      <c r="L188" s="456">
        <v>0</v>
      </c>
      <c r="M188" s="453"/>
    </row>
    <row r="189" spans="1:13">
      <c r="A189" s="441"/>
      <c r="B189" s="442"/>
      <c r="C189" s="441"/>
      <c r="D189" s="441"/>
      <c r="E189" s="442"/>
      <c r="F189" s="442"/>
      <c r="G189" s="443"/>
      <c r="H189" s="441"/>
      <c r="I189" s="441"/>
      <c r="J189" s="441"/>
      <c r="K189" s="441"/>
      <c r="L189" s="456">
        <v>0</v>
      </c>
      <c r="M189" s="453"/>
    </row>
    <row r="190" spans="1:13">
      <c r="A190" s="441"/>
      <c r="B190" s="442"/>
      <c r="C190" s="441"/>
      <c r="D190" s="441"/>
      <c r="E190" s="442"/>
      <c r="F190" s="442"/>
      <c r="G190" s="443"/>
      <c r="H190" s="441"/>
      <c r="I190" s="441"/>
      <c r="J190" s="441"/>
      <c r="K190" s="441"/>
      <c r="L190" s="456">
        <v>0</v>
      </c>
      <c r="M190" s="453"/>
    </row>
    <row r="191" spans="1:13">
      <c r="A191" s="441"/>
      <c r="B191" s="442"/>
      <c r="C191" s="441"/>
      <c r="D191" s="441"/>
      <c r="E191" s="442"/>
      <c r="F191" s="442"/>
      <c r="G191" s="443"/>
      <c r="H191" s="441"/>
      <c r="I191" s="441"/>
      <c r="J191" s="441"/>
      <c r="K191" s="441"/>
      <c r="L191" s="456">
        <v>0</v>
      </c>
      <c r="M191" s="453"/>
    </row>
    <row r="192" spans="1:13">
      <c r="A192" s="441"/>
      <c r="B192" s="442"/>
      <c r="C192" s="441"/>
      <c r="D192" s="441"/>
      <c r="E192" s="442"/>
      <c r="F192" s="442"/>
      <c r="G192" s="443"/>
      <c r="H192" s="441"/>
      <c r="I192" s="441"/>
      <c r="J192" s="441"/>
      <c r="K192" s="441"/>
      <c r="L192" s="456">
        <v>0</v>
      </c>
      <c r="M192" s="453"/>
    </row>
    <row r="193" spans="1:13">
      <c r="A193" s="441"/>
      <c r="B193" s="442"/>
      <c r="C193" s="441"/>
      <c r="D193" s="441"/>
      <c r="E193" s="442"/>
      <c r="F193" s="442"/>
      <c r="G193" s="443"/>
      <c r="H193" s="441"/>
      <c r="I193" s="441"/>
      <c r="J193" s="441"/>
      <c r="K193" s="441"/>
      <c r="L193" s="456">
        <v>0</v>
      </c>
      <c r="M193" s="453"/>
    </row>
    <row r="194" spans="1:13">
      <c r="A194" s="441"/>
      <c r="B194" s="442"/>
      <c r="C194" s="441"/>
      <c r="D194" s="441"/>
      <c r="E194" s="442"/>
      <c r="F194" s="442"/>
      <c r="G194" s="443"/>
      <c r="H194" s="441"/>
      <c r="I194" s="441"/>
      <c r="J194" s="441"/>
      <c r="K194" s="441"/>
      <c r="L194" s="456">
        <v>0</v>
      </c>
      <c r="M194" s="453"/>
    </row>
    <row r="195" spans="1:13">
      <c r="A195" s="441"/>
      <c r="B195" s="442"/>
      <c r="C195" s="441"/>
      <c r="D195" s="441"/>
      <c r="E195" s="442"/>
      <c r="F195" s="442"/>
      <c r="G195" s="443"/>
      <c r="H195" s="441"/>
      <c r="I195" s="441"/>
      <c r="J195" s="441"/>
      <c r="K195" s="441"/>
      <c r="L195" s="456">
        <v>0</v>
      </c>
      <c r="M195" s="453"/>
    </row>
    <row r="196" spans="1:13">
      <c r="A196" s="441"/>
      <c r="B196" s="442"/>
      <c r="C196" s="441"/>
      <c r="D196" s="441"/>
      <c r="E196" s="442"/>
      <c r="F196" s="442"/>
      <c r="G196" s="443"/>
      <c r="H196" s="441"/>
      <c r="I196" s="441"/>
      <c r="J196" s="441"/>
      <c r="K196" s="441"/>
      <c r="L196" s="456">
        <v>0</v>
      </c>
      <c r="M196" s="453"/>
    </row>
    <row r="197" spans="1:13">
      <c r="A197" s="441"/>
      <c r="B197" s="442"/>
      <c r="C197" s="441"/>
      <c r="D197" s="441"/>
      <c r="E197" s="442"/>
      <c r="F197" s="442"/>
      <c r="G197" s="443"/>
      <c r="H197" s="441"/>
      <c r="I197" s="441"/>
      <c r="J197" s="441"/>
      <c r="K197" s="441"/>
      <c r="L197" s="456">
        <v>0</v>
      </c>
      <c r="M197" s="453"/>
    </row>
    <row r="198" spans="1:13">
      <c r="A198" s="441"/>
      <c r="B198" s="442"/>
      <c r="C198" s="441"/>
      <c r="D198" s="441"/>
      <c r="E198" s="442"/>
      <c r="F198" s="442"/>
      <c r="G198" s="443"/>
      <c r="H198" s="441"/>
      <c r="I198" s="441"/>
      <c r="J198" s="441"/>
      <c r="K198" s="441"/>
      <c r="L198" s="456">
        <v>0</v>
      </c>
      <c r="M198" s="453"/>
    </row>
    <row r="199" spans="1:13">
      <c r="A199" s="441"/>
      <c r="B199" s="442"/>
      <c r="C199" s="441"/>
      <c r="D199" s="441"/>
      <c r="E199" s="442"/>
      <c r="F199" s="442"/>
      <c r="G199" s="443"/>
      <c r="H199" s="441"/>
      <c r="I199" s="441"/>
      <c r="J199" s="441"/>
      <c r="K199" s="441"/>
      <c r="L199" s="456">
        <v>0</v>
      </c>
      <c r="M199" s="453"/>
    </row>
    <row r="200" spans="1:13">
      <c r="A200" s="441"/>
      <c r="B200" s="442"/>
      <c r="C200" s="441"/>
      <c r="D200" s="441"/>
      <c r="E200" s="442"/>
      <c r="F200" s="442"/>
      <c r="G200" s="443"/>
      <c r="H200" s="441"/>
      <c r="I200" s="441"/>
      <c r="J200" s="441"/>
      <c r="K200" s="441"/>
      <c r="L200" s="456">
        <v>0</v>
      </c>
      <c r="M200" s="453"/>
    </row>
    <row r="201" spans="1:13">
      <c r="A201" s="441"/>
      <c r="B201" s="442"/>
      <c r="C201" s="441"/>
      <c r="D201" s="441"/>
      <c r="E201" s="442"/>
      <c r="F201" s="442"/>
      <c r="G201" s="443"/>
      <c r="H201" s="441"/>
      <c r="I201" s="441"/>
      <c r="J201" s="441"/>
      <c r="K201" s="441"/>
      <c r="L201" s="456">
        <v>0</v>
      </c>
      <c r="M201" s="453"/>
    </row>
    <row r="202" spans="1:13">
      <c r="A202" s="441"/>
      <c r="B202" s="442"/>
      <c r="C202" s="441"/>
      <c r="D202" s="441"/>
      <c r="E202" s="442"/>
      <c r="F202" s="442"/>
      <c r="G202" s="443"/>
      <c r="H202" s="441"/>
      <c r="I202" s="441"/>
      <c r="J202" s="441"/>
      <c r="K202" s="441"/>
      <c r="L202" s="456">
        <v>0</v>
      </c>
      <c r="M202" s="453"/>
    </row>
    <row r="203" spans="1:13">
      <c r="A203" s="441"/>
      <c r="B203" s="442"/>
      <c r="C203" s="441"/>
      <c r="D203" s="441"/>
      <c r="E203" s="442"/>
      <c r="F203" s="442"/>
      <c r="G203" s="443"/>
      <c r="H203" s="441"/>
      <c r="I203" s="441"/>
      <c r="J203" s="441"/>
      <c r="K203" s="441"/>
      <c r="L203" s="456">
        <v>0</v>
      </c>
      <c r="M203" s="453"/>
    </row>
    <row r="204" spans="1:13">
      <c r="A204" s="441"/>
      <c r="B204" s="442"/>
      <c r="C204" s="441"/>
      <c r="D204" s="441"/>
      <c r="E204" s="442"/>
      <c r="F204" s="442"/>
      <c r="G204" s="443"/>
      <c r="H204" s="441"/>
      <c r="I204" s="441"/>
      <c r="J204" s="441"/>
      <c r="K204" s="441"/>
      <c r="L204" s="456">
        <v>0</v>
      </c>
      <c r="M204" s="453"/>
    </row>
    <row r="205" spans="1:13">
      <c r="A205" s="441"/>
      <c r="B205" s="442"/>
      <c r="C205" s="441"/>
      <c r="D205" s="441"/>
      <c r="E205" s="442"/>
      <c r="F205" s="442"/>
      <c r="G205" s="443"/>
      <c r="H205" s="441"/>
      <c r="I205" s="441"/>
      <c r="J205" s="441"/>
      <c r="K205" s="441"/>
      <c r="L205" s="456">
        <v>0</v>
      </c>
      <c r="M205" s="453"/>
    </row>
    <row r="206" spans="1:13">
      <c r="A206" s="441"/>
      <c r="B206" s="442"/>
      <c r="C206" s="441"/>
      <c r="D206" s="441"/>
      <c r="E206" s="442"/>
      <c r="F206" s="442"/>
      <c r="G206" s="443"/>
      <c r="H206" s="441"/>
      <c r="I206" s="441"/>
      <c r="J206" s="441"/>
      <c r="K206" s="441"/>
      <c r="L206" s="456">
        <v>0</v>
      </c>
      <c r="M206" s="453"/>
    </row>
    <row r="207" spans="1:13">
      <c r="A207" s="441"/>
      <c r="B207" s="442"/>
      <c r="C207" s="441"/>
      <c r="D207" s="441"/>
      <c r="E207" s="442"/>
      <c r="F207" s="442"/>
      <c r="G207" s="443"/>
      <c r="H207" s="441"/>
      <c r="I207" s="441"/>
      <c r="J207" s="441"/>
      <c r="K207" s="441"/>
      <c r="L207" s="456">
        <v>0</v>
      </c>
      <c r="M207" s="453"/>
    </row>
    <row r="208" spans="1:13">
      <c r="A208" s="441"/>
      <c r="B208" s="442"/>
      <c r="C208" s="441"/>
      <c r="D208" s="441"/>
      <c r="E208" s="442"/>
      <c r="F208" s="442"/>
      <c r="G208" s="443"/>
      <c r="H208" s="441"/>
      <c r="I208" s="441"/>
      <c r="J208" s="441"/>
      <c r="K208" s="441"/>
      <c r="L208" s="456">
        <v>0</v>
      </c>
      <c r="M208" s="453"/>
    </row>
    <row r="209" spans="1:13">
      <c r="A209" s="441"/>
      <c r="B209" s="442"/>
      <c r="C209" s="441"/>
      <c r="D209" s="441"/>
      <c r="E209" s="442"/>
      <c r="F209" s="442"/>
      <c r="G209" s="443"/>
      <c r="H209" s="441"/>
      <c r="I209" s="441"/>
      <c r="J209" s="441"/>
      <c r="K209" s="441"/>
      <c r="L209" s="456">
        <v>0</v>
      </c>
      <c r="M209" s="453"/>
    </row>
    <row r="210" spans="1:13">
      <c r="A210" s="441"/>
      <c r="B210" s="442"/>
      <c r="C210" s="441"/>
      <c r="D210" s="441"/>
      <c r="E210" s="442"/>
      <c r="F210" s="442"/>
      <c r="G210" s="443"/>
      <c r="H210" s="441"/>
      <c r="I210" s="441"/>
      <c r="J210" s="441"/>
      <c r="K210" s="441"/>
      <c r="L210" s="456">
        <v>0</v>
      </c>
      <c r="M210" s="453"/>
    </row>
    <row r="211" spans="1:13">
      <c r="A211" s="441"/>
      <c r="B211" s="442"/>
      <c r="C211" s="441"/>
      <c r="D211" s="441"/>
      <c r="E211" s="442"/>
      <c r="F211" s="442"/>
      <c r="G211" s="443"/>
      <c r="H211" s="441"/>
      <c r="I211" s="441"/>
      <c r="J211" s="441"/>
      <c r="K211" s="441"/>
      <c r="L211" s="456">
        <v>0</v>
      </c>
      <c r="M211" s="453"/>
    </row>
    <row r="212" spans="1:13">
      <c r="A212" s="441"/>
      <c r="B212" s="442"/>
      <c r="C212" s="441"/>
      <c r="D212" s="441"/>
      <c r="E212" s="442"/>
      <c r="F212" s="442"/>
      <c r="G212" s="443"/>
      <c r="H212" s="441"/>
      <c r="I212" s="441"/>
      <c r="J212" s="441"/>
      <c r="K212" s="441"/>
      <c r="L212" s="456">
        <v>0</v>
      </c>
      <c r="M212" s="453"/>
    </row>
    <row r="213" spans="1:13">
      <c r="A213" s="441"/>
      <c r="B213" s="442"/>
      <c r="C213" s="441"/>
      <c r="D213" s="441"/>
      <c r="E213" s="442"/>
      <c r="F213" s="442"/>
      <c r="G213" s="443"/>
      <c r="H213" s="441"/>
      <c r="I213" s="441"/>
      <c r="J213" s="441"/>
      <c r="K213" s="441"/>
      <c r="L213" s="456">
        <v>0</v>
      </c>
      <c r="M213" s="453"/>
    </row>
    <row r="214" spans="1:13">
      <c r="A214" s="441"/>
      <c r="B214" s="442"/>
      <c r="C214" s="441"/>
      <c r="D214" s="441"/>
      <c r="E214" s="442"/>
      <c r="F214" s="442"/>
      <c r="G214" s="443"/>
      <c r="H214" s="441"/>
      <c r="I214" s="441"/>
      <c r="J214" s="441"/>
      <c r="K214" s="441"/>
      <c r="L214" s="456">
        <v>0</v>
      </c>
      <c r="M214" s="453"/>
    </row>
    <row r="215" spans="1:13">
      <c r="A215" s="441"/>
      <c r="B215" s="442"/>
      <c r="C215" s="441"/>
      <c r="D215" s="441"/>
      <c r="E215" s="442"/>
      <c r="F215" s="442"/>
      <c r="G215" s="443"/>
      <c r="H215" s="441"/>
      <c r="I215" s="441"/>
      <c r="J215" s="441"/>
      <c r="K215" s="441"/>
      <c r="L215" s="456">
        <v>0</v>
      </c>
      <c r="M215" s="453"/>
    </row>
    <row r="216" spans="1:13">
      <c r="A216" s="441"/>
      <c r="B216" s="442"/>
      <c r="C216" s="441"/>
      <c r="D216" s="441"/>
      <c r="E216" s="442"/>
      <c r="F216" s="442"/>
      <c r="G216" s="443"/>
      <c r="H216" s="441"/>
      <c r="I216" s="441"/>
      <c r="J216" s="441"/>
      <c r="K216" s="441"/>
      <c r="L216" s="456">
        <v>0</v>
      </c>
      <c r="M216" s="453"/>
    </row>
    <row r="217" spans="1:13">
      <c r="A217" s="441"/>
      <c r="B217" s="442"/>
      <c r="C217" s="441"/>
      <c r="D217" s="441"/>
      <c r="E217" s="442"/>
      <c r="F217" s="442"/>
      <c r="G217" s="443"/>
      <c r="H217" s="441"/>
      <c r="I217" s="441"/>
      <c r="J217" s="441"/>
      <c r="K217" s="441"/>
      <c r="L217" s="456">
        <v>0</v>
      </c>
      <c r="M217" s="453"/>
    </row>
    <row r="218" spans="1:13">
      <c r="A218" s="441"/>
      <c r="B218" s="442"/>
      <c r="C218" s="441"/>
      <c r="D218" s="441"/>
      <c r="E218" s="442"/>
      <c r="F218" s="442"/>
      <c r="G218" s="443"/>
      <c r="H218" s="441"/>
      <c r="I218" s="441"/>
      <c r="J218" s="441"/>
      <c r="K218" s="441"/>
      <c r="L218" s="456">
        <v>0</v>
      </c>
      <c r="M218" s="453"/>
    </row>
    <row r="219" spans="1:13">
      <c r="A219" s="441"/>
      <c r="B219" s="442"/>
      <c r="C219" s="441"/>
      <c r="D219" s="441"/>
      <c r="E219" s="442"/>
      <c r="F219" s="442"/>
      <c r="G219" s="443"/>
      <c r="H219" s="441"/>
      <c r="I219" s="441"/>
      <c r="J219" s="441"/>
      <c r="K219" s="441"/>
      <c r="L219" s="456">
        <v>0</v>
      </c>
      <c r="M219" s="453"/>
    </row>
    <row r="220" spans="1:13">
      <c r="A220" s="441"/>
      <c r="B220" s="442"/>
      <c r="C220" s="441"/>
      <c r="D220" s="441"/>
      <c r="E220" s="442"/>
      <c r="F220" s="442"/>
      <c r="G220" s="443"/>
      <c r="H220" s="441"/>
      <c r="I220" s="441"/>
      <c r="J220" s="441"/>
      <c r="K220" s="441"/>
      <c r="L220" s="456">
        <v>0</v>
      </c>
      <c r="M220" s="453"/>
    </row>
    <row r="221" spans="1:13">
      <c r="A221" s="441"/>
      <c r="B221" s="442"/>
      <c r="C221" s="441"/>
      <c r="D221" s="441"/>
      <c r="E221" s="442"/>
      <c r="F221" s="442"/>
      <c r="G221" s="443"/>
      <c r="H221" s="441"/>
      <c r="I221" s="441"/>
      <c r="J221" s="441"/>
      <c r="K221" s="441"/>
      <c r="L221" s="456">
        <v>0</v>
      </c>
      <c r="M221" s="453"/>
    </row>
    <row r="222" spans="1:13">
      <c r="A222" s="441"/>
      <c r="B222" s="442"/>
      <c r="C222" s="441"/>
      <c r="D222" s="441"/>
      <c r="E222" s="442"/>
      <c r="F222" s="442"/>
      <c r="G222" s="443"/>
      <c r="H222" s="441"/>
      <c r="I222" s="441"/>
      <c r="J222" s="441"/>
      <c r="K222" s="441"/>
      <c r="L222" s="456">
        <v>0</v>
      </c>
      <c r="M222" s="453"/>
    </row>
    <row r="223" spans="1:13">
      <c r="A223" s="441"/>
      <c r="B223" s="442"/>
      <c r="C223" s="441"/>
      <c r="D223" s="441"/>
      <c r="E223" s="442"/>
      <c r="F223" s="442"/>
      <c r="G223" s="443"/>
      <c r="H223" s="441"/>
      <c r="I223" s="441"/>
      <c r="J223" s="441"/>
      <c r="K223" s="441"/>
      <c r="L223" s="456">
        <v>0</v>
      </c>
      <c r="M223" s="453"/>
    </row>
    <row r="224" spans="1:13">
      <c r="A224" s="441"/>
      <c r="B224" s="442"/>
      <c r="C224" s="441"/>
      <c r="D224" s="441"/>
      <c r="E224" s="442"/>
      <c r="F224" s="442"/>
      <c r="G224" s="443"/>
      <c r="H224" s="441"/>
      <c r="I224" s="441"/>
      <c r="J224" s="441"/>
      <c r="K224" s="441"/>
      <c r="L224" s="456">
        <v>0</v>
      </c>
      <c r="M224" s="453"/>
    </row>
    <row r="225" spans="1:13">
      <c r="A225" s="441"/>
      <c r="B225" s="442"/>
      <c r="C225" s="441"/>
      <c r="D225" s="441"/>
      <c r="E225" s="442"/>
      <c r="F225" s="442"/>
      <c r="G225" s="443"/>
      <c r="H225" s="441"/>
      <c r="I225" s="441"/>
      <c r="J225" s="441"/>
      <c r="K225" s="441"/>
      <c r="L225" s="456">
        <v>0</v>
      </c>
      <c r="M225" s="453"/>
    </row>
    <row r="226" spans="1:13">
      <c r="A226" s="441"/>
      <c r="B226" s="442"/>
      <c r="C226" s="441"/>
      <c r="D226" s="441"/>
      <c r="E226" s="442"/>
      <c r="F226" s="442"/>
      <c r="G226" s="443"/>
      <c r="H226" s="441"/>
      <c r="I226" s="441"/>
      <c r="J226" s="441"/>
      <c r="K226" s="441"/>
      <c r="L226" s="456">
        <v>0</v>
      </c>
      <c r="M226" s="453"/>
    </row>
    <row r="227" spans="1:13">
      <c r="A227" s="441"/>
      <c r="B227" s="442"/>
      <c r="C227" s="441"/>
      <c r="D227" s="441"/>
      <c r="E227" s="442"/>
      <c r="F227" s="442"/>
      <c r="G227" s="443"/>
      <c r="H227" s="441"/>
      <c r="I227" s="441"/>
      <c r="J227" s="441"/>
      <c r="K227" s="441"/>
      <c r="L227" s="456">
        <v>0</v>
      </c>
      <c r="M227" s="453"/>
    </row>
    <row r="228" spans="1:13">
      <c r="A228" s="441"/>
      <c r="B228" s="442"/>
      <c r="C228" s="441"/>
      <c r="D228" s="441"/>
      <c r="E228" s="442"/>
      <c r="F228" s="442"/>
      <c r="G228" s="443"/>
      <c r="H228" s="441"/>
      <c r="I228" s="441"/>
      <c r="J228" s="441"/>
      <c r="K228" s="441"/>
      <c r="L228" s="456">
        <v>0</v>
      </c>
      <c r="M228" s="453"/>
    </row>
    <row r="229" spans="1:13">
      <c r="A229" s="441"/>
      <c r="B229" s="442"/>
      <c r="C229" s="441"/>
      <c r="D229" s="441"/>
      <c r="E229" s="442"/>
      <c r="F229" s="442"/>
      <c r="G229" s="443"/>
      <c r="H229" s="441"/>
      <c r="I229" s="441"/>
      <c r="J229" s="441"/>
      <c r="K229" s="441"/>
      <c r="L229" s="456">
        <v>0</v>
      </c>
      <c r="M229" s="453"/>
    </row>
    <row r="230" spans="1:13">
      <c r="A230" s="441"/>
      <c r="B230" s="442"/>
      <c r="C230" s="441"/>
      <c r="D230" s="441"/>
      <c r="E230" s="442"/>
      <c r="F230" s="442"/>
      <c r="G230" s="443"/>
      <c r="H230" s="441"/>
      <c r="I230" s="441"/>
      <c r="J230" s="441"/>
      <c r="K230" s="441"/>
      <c r="L230" s="456">
        <v>0</v>
      </c>
      <c r="M230" s="453"/>
    </row>
    <row r="231" spans="1:13">
      <c r="A231" s="441"/>
      <c r="B231" s="442"/>
      <c r="C231" s="441"/>
      <c r="D231" s="441"/>
      <c r="E231" s="442"/>
      <c r="F231" s="442"/>
      <c r="G231" s="443"/>
      <c r="H231" s="441"/>
      <c r="I231" s="441"/>
      <c r="J231" s="441"/>
      <c r="K231" s="441"/>
      <c r="L231" s="456">
        <v>0</v>
      </c>
      <c r="M231" s="453"/>
    </row>
    <row r="232" spans="1:13">
      <c r="A232" s="441"/>
      <c r="B232" s="442"/>
      <c r="C232" s="441"/>
      <c r="D232" s="441"/>
      <c r="E232" s="442"/>
      <c r="F232" s="442"/>
      <c r="G232" s="443"/>
      <c r="H232" s="441"/>
      <c r="I232" s="441"/>
      <c r="J232" s="441"/>
      <c r="K232" s="441"/>
      <c r="L232" s="456">
        <v>0</v>
      </c>
      <c r="M232" s="453"/>
    </row>
    <row r="233" spans="1:13">
      <c r="A233" s="441"/>
      <c r="B233" s="442"/>
      <c r="C233" s="441"/>
      <c r="D233" s="441"/>
      <c r="E233" s="442"/>
      <c r="F233" s="442"/>
      <c r="G233" s="443"/>
      <c r="H233" s="441"/>
      <c r="I233" s="441"/>
      <c r="J233" s="441"/>
      <c r="K233" s="441"/>
      <c r="L233" s="456">
        <v>0</v>
      </c>
      <c r="M233" s="453"/>
    </row>
    <row r="234" spans="1:13">
      <c r="A234" s="441"/>
      <c r="B234" s="442"/>
      <c r="C234" s="441"/>
      <c r="D234" s="441"/>
      <c r="E234" s="442"/>
      <c r="F234" s="442"/>
      <c r="G234" s="443"/>
      <c r="H234" s="441"/>
      <c r="I234" s="441"/>
      <c r="J234" s="441"/>
      <c r="K234" s="441"/>
      <c r="L234" s="456">
        <v>0</v>
      </c>
      <c r="M234" s="453"/>
    </row>
    <row r="235" spans="1:13">
      <c r="A235" s="441"/>
      <c r="B235" s="442"/>
      <c r="C235" s="441"/>
      <c r="D235" s="441"/>
      <c r="E235" s="442"/>
      <c r="F235" s="442"/>
      <c r="G235" s="443"/>
      <c r="H235" s="441"/>
      <c r="I235" s="441"/>
      <c r="J235" s="441"/>
      <c r="K235" s="441"/>
      <c r="L235" s="456">
        <v>0</v>
      </c>
      <c r="M235" s="453"/>
    </row>
    <row r="236" spans="1:13">
      <c r="A236" s="441"/>
      <c r="B236" s="442"/>
      <c r="C236" s="441"/>
      <c r="D236" s="441"/>
      <c r="E236" s="442"/>
      <c r="F236" s="442"/>
      <c r="G236" s="443"/>
      <c r="H236" s="441"/>
      <c r="I236" s="441"/>
      <c r="J236" s="441"/>
      <c r="K236" s="441"/>
      <c r="L236" s="456">
        <v>0</v>
      </c>
      <c r="M236" s="453"/>
    </row>
    <row r="237" spans="1:13">
      <c r="A237" s="441"/>
      <c r="B237" s="442"/>
      <c r="C237" s="441"/>
      <c r="D237" s="441"/>
      <c r="E237" s="442"/>
      <c r="F237" s="442"/>
      <c r="G237" s="443"/>
      <c r="H237" s="441"/>
      <c r="I237" s="441"/>
      <c r="J237" s="441"/>
      <c r="K237" s="441"/>
      <c r="L237" s="456">
        <v>0</v>
      </c>
      <c r="M237" s="453"/>
    </row>
    <row r="238" spans="1:13">
      <c r="A238" s="441"/>
      <c r="B238" s="442"/>
      <c r="C238" s="441"/>
      <c r="D238" s="441"/>
      <c r="E238" s="442"/>
      <c r="F238" s="442"/>
      <c r="G238" s="443"/>
      <c r="H238" s="441"/>
      <c r="I238" s="441"/>
      <c r="J238" s="441"/>
      <c r="K238" s="441"/>
      <c r="L238" s="456">
        <v>0</v>
      </c>
      <c r="M238" s="453"/>
    </row>
    <row r="239" spans="1:13">
      <c r="A239" s="441"/>
      <c r="B239" s="442"/>
      <c r="C239" s="441"/>
      <c r="D239" s="441"/>
      <c r="E239" s="442"/>
      <c r="F239" s="442"/>
      <c r="G239" s="443"/>
      <c r="H239" s="441"/>
      <c r="I239" s="441"/>
      <c r="J239" s="441"/>
      <c r="K239" s="441"/>
      <c r="L239" s="456">
        <v>0</v>
      </c>
      <c r="M239" s="453"/>
    </row>
    <row r="240" spans="1:13">
      <c r="A240" s="441"/>
      <c r="B240" s="442"/>
      <c r="C240" s="441"/>
      <c r="D240" s="441"/>
      <c r="E240" s="442"/>
      <c r="F240" s="442"/>
      <c r="G240" s="443"/>
      <c r="H240" s="441"/>
      <c r="I240" s="441"/>
      <c r="J240" s="441"/>
      <c r="K240" s="441"/>
      <c r="L240" s="456">
        <v>0</v>
      </c>
      <c r="M240" s="453"/>
    </row>
    <row r="241" spans="1:13">
      <c r="A241" s="441"/>
      <c r="B241" s="442"/>
      <c r="C241" s="441"/>
      <c r="D241" s="441"/>
      <c r="E241" s="442"/>
      <c r="F241" s="442"/>
      <c r="G241" s="443"/>
      <c r="H241" s="441"/>
      <c r="I241" s="441"/>
      <c r="J241" s="441"/>
      <c r="K241" s="441"/>
      <c r="L241" s="456">
        <v>0</v>
      </c>
      <c r="M241" s="453"/>
    </row>
    <row r="242" spans="1:13">
      <c r="A242" s="441"/>
      <c r="B242" s="442"/>
      <c r="C242" s="441"/>
      <c r="D242" s="441"/>
      <c r="E242" s="442"/>
      <c r="F242" s="442"/>
      <c r="G242" s="443"/>
      <c r="H242" s="441"/>
      <c r="I242" s="441"/>
      <c r="J242" s="441"/>
      <c r="K242" s="441"/>
      <c r="L242" s="456">
        <v>0</v>
      </c>
      <c r="M242" s="453"/>
    </row>
    <row r="243" spans="1:13">
      <c r="A243" s="441"/>
      <c r="B243" s="442"/>
      <c r="C243" s="441"/>
      <c r="D243" s="441"/>
      <c r="E243" s="442"/>
      <c r="F243" s="442"/>
      <c r="G243" s="443"/>
      <c r="H243" s="441"/>
      <c r="I243" s="441"/>
      <c r="J243" s="441"/>
      <c r="K243" s="441"/>
      <c r="L243" s="456">
        <v>0</v>
      </c>
      <c r="M243" s="453"/>
    </row>
    <row r="244" spans="1:13">
      <c r="A244" s="441"/>
      <c r="B244" s="442"/>
      <c r="C244" s="441"/>
      <c r="D244" s="441"/>
      <c r="E244" s="442"/>
      <c r="F244" s="442"/>
      <c r="G244" s="443"/>
      <c r="H244" s="441"/>
      <c r="I244" s="441"/>
      <c r="J244" s="441"/>
      <c r="K244" s="441"/>
      <c r="L244" s="456">
        <v>0</v>
      </c>
      <c r="M244" s="453"/>
    </row>
    <row r="245" spans="1:13">
      <c r="A245" s="441"/>
      <c r="B245" s="442"/>
      <c r="C245" s="441"/>
      <c r="D245" s="441"/>
      <c r="E245" s="442"/>
      <c r="F245" s="442"/>
      <c r="G245" s="443"/>
      <c r="H245" s="441"/>
      <c r="I245" s="441"/>
      <c r="J245" s="441"/>
      <c r="K245" s="441"/>
      <c r="L245" s="456">
        <v>0</v>
      </c>
      <c r="M245" s="453"/>
    </row>
    <row r="246" spans="1:13">
      <c r="A246" s="441"/>
      <c r="B246" s="442"/>
      <c r="C246" s="441"/>
      <c r="D246" s="441"/>
      <c r="E246" s="442"/>
      <c r="F246" s="442"/>
      <c r="G246" s="443"/>
      <c r="H246" s="441"/>
      <c r="I246" s="441"/>
      <c r="J246" s="441"/>
      <c r="K246" s="441"/>
      <c r="L246" s="456">
        <v>0</v>
      </c>
      <c r="M246" s="453"/>
    </row>
    <row r="247" spans="1:13">
      <c r="A247" s="441"/>
      <c r="B247" s="442"/>
      <c r="C247" s="441"/>
      <c r="D247" s="441"/>
      <c r="E247" s="442"/>
      <c r="F247" s="442"/>
      <c r="G247" s="443"/>
      <c r="H247" s="441"/>
      <c r="I247" s="441"/>
      <c r="J247" s="441"/>
      <c r="K247" s="441"/>
      <c r="L247" s="456">
        <v>0</v>
      </c>
      <c r="M247" s="453"/>
    </row>
    <row r="248" spans="1:13">
      <c r="A248" s="441"/>
      <c r="B248" s="442"/>
      <c r="C248" s="441"/>
      <c r="D248" s="441"/>
      <c r="E248" s="442"/>
      <c r="F248" s="442"/>
      <c r="G248" s="443"/>
      <c r="H248" s="441"/>
      <c r="I248" s="441"/>
      <c r="J248" s="441"/>
      <c r="K248" s="441"/>
      <c r="L248" s="456">
        <v>0</v>
      </c>
      <c r="M248" s="453"/>
    </row>
    <row r="249" spans="1:13">
      <c r="A249" s="441"/>
      <c r="B249" s="442"/>
      <c r="C249" s="441"/>
      <c r="D249" s="441"/>
      <c r="E249" s="442"/>
      <c r="F249" s="442"/>
      <c r="G249" s="443"/>
      <c r="H249" s="441"/>
      <c r="I249" s="441"/>
      <c r="J249" s="441"/>
      <c r="K249" s="441"/>
      <c r="L249" s="456">
        <v>0</v>
      </c>
      <c r="M249" s="453"/>
    </row>
    <row r="250" spans="1:13">
      <c r="A250" s="441"/>
      <c r="B250" s="442"/>
      <c r="C250" s="441"/>
      <c r="D250" s="441"/>
      <c r="E250" s="442"/>
      <c r="F250" s="442"/>
      <c r="G250" s="443"/>
      <c r="H250" s="441"/>
      <c r="I250" s="441"/>
      <c r="J250" s="441"/>
      <c r="K250" s="441"/>
      <c r="L250" s="456">
        <v>0</v>
      </c>
      <c r="M250" s="453"/>
    </row>
    <row r="251" spans="1:13">
      <c r="A251" s="441"/>
      <c r="B251" s="442"/>
      <c r="C251" s="441"/>
      <c r="D251" s="441"/>
      <c r="E251" s="442"/>
      <c r="F251" s="442"/>
      <c r="G251" s="443"/>
      <c r="H251" s="441"/>
      <c r="I251" s="441"/>
      <c r="J251" s="441"/>
      <c r="K251" s="441"/>
      <c r="L251" s="456">
        <v>0</v>
      </c>
      <c r="M251" s="453"/>
    </row>
    <row r="252" spans="1:13">
      <c r="A252" s="441"/>
      <c r="B252" s="442"/>
      <c r="C252" s="441"/>
      <c r="D252" s="441"/>
      <c r="E252" s="442"/>
      <c r="F252" s="442"/>
      <c r="G252" s="443"/>
      <c r="H252" s="441"/>
      <c r="I252" s="441"/>
      <c r="J252" s="441"/>
      <c r="K252" s="441"/>
      <c r="L252" s="456">
        <v>0</v>
      </c>
      <c r="M252" s="453"/>
    </row>
    <row r="253" spans="1:13">
      <c r="A253" s="441"/>
      <c r="B253" s="442"/>
      <c r="C253" s="441"/>
      <c r="D253" s="441"/>
      <c r="E253" s="442"/>
      <c r="F253" s="442"/>
      <c r="G253" s="443"/>
      <c r="H253" s="441"/>
      <c r="I253" s="441"/>
      <c r="J253" s="441"/>
      <c r="K253" s="441"/>
      <c r="L253" s="456">
        <v>0</v>
      </c>
      <c r="M253" s="453"/>
    </row>
    <row r="254" spans="1:13">
      <c r="A254" s="441"/>
      <c r="B254" s="442"/>
      <c r="C254" s="441"/>
      <c r="D254" s="441"/>
      <c r="E254" s="442"/>
      <c r="F254" s="442"/>
      <c r="G254" s="443"/>
      <c r="H254" s="441"/>
      <c r="I254" s="441"/>
      <c r="J254" s="441"/>
      <c r="K254" s="441"/>
      <c r="L254" s="456">
        <v>0</v>
      </c>
      <c r="M254" s="453"/>
    </row>
    <row r="255" spans="1:13">
      <c r="A255" s="441"/>
      <c r="B255" s="442"/>
      <c r="C255" s="441"/>
      <c r="D255" s="441"/>
      <c r="E255" s="442"/>
      <c r="F255" s="442"/>
      <c r="G255" s="443"/>
      <c r="H255" s="441"/>
      <c r="I255" s="441"/>
      <c r="J255" s="441"/>
      <c r="K255" s="441"/>
      <c r="L255" s="456">
        <v>0</v>
      </c>
      <c r="M255" s="453"/>
    </row>
    <row r="256" spans="1:13">
      <c r="A256" s="441"/>
      <c r="B256" s="442"/>
      <c r="C256" s="441"/>
      <c r="D256" s="441"/>
      <c r="E256" s="442"/>
      <c r="F256" s="442"/>
      <c r="G256" s="443"/>
      <c r="H256" s="441"/>
      <c r="I256" s="441"/>
      <c r="J256" s="441"/>
      <c r="K256" s="441"/>
      <c r="L256" s="456">
        <v>0</v>
      </c>
      <c r="M256" s="453"/>
    </row>
    <row r="257" spans="1:13">
      <c r="A257" s="441"/>
      <c r="B257" s="442"/>
      <c r="C257" s="441"/>
      <c r="D257" s="441"/>
      <c r="E257" s="442"/>
      <c r="F257" s="442"/>
      <c r="G257" s="443"/>
      <c r="H257" s="441"/>
      <c r="I257" s="441"/>
      <c r="J257" s="441"/>
      <c r="K257" s="441"/>
      <c r="L257" s="456">
        <v>0</v>
      </c>
      <c r="M257" s="453"/>
    </row>
    <row r="258" spans="1:13">
      <c r="A258" s="441"/>
      <c r="B258" s="442"/>
      <c r="C258" s="441"/>
      <c r="D258" s="441"/>
      <c r="E258" s="442"/>
      <c r="F258" s="442"/>
      <c r="G258" s="443"/>
      <c r="H258" s="441"/>
      <c r="I258" s="441"/>
      <c r="J258" s="441"/>
      <c r="K258" s="441"/>
      <c r="L258" s="456">
        <v>0</v>
      </c>
      <c r="M258" s="453"/>
    </row>
    <row r="259" spans="1:13">
      <c r="A259" s="441"/>
      <c r="B259" s="442"/>
      <c r="C259" s="441"/>
      <c r="D259" s="441"/>
      <c r="E259" s="442"/>
      <c r="F259" s="442"/>
      <c r="G259" s="443"/>
      <c r="H259" s="441"/>
      <c r="I259" s="441"/>
      <c r="J259" s="441"/>
      <c r="K259" s="441"/>
      <c r="L259" s="456">
        <v>0</v>
      </c>
      <c r="M259" s="453"/>
    </row>
    <row r="260" spans="1:13">
      <c r="A260" s="441"/>
      <c r="B260" s="442"/>
      <c r="C260" s="441"/>
      <c r="D260" s="441"/>
      <c r="E260" s="442"/>
      <c r="F260" s="442"/>
      <c r="G260" s="443"/>
      <c r="H260" s="441"/>
      <c r="I260" s="441"/>
      <c r="J260" s="441"/>
      <c r="K260" s="441"/>
      <c r="L260" s="456">
        <v>0</v>
      </c>
      <c r="M260" s="453"/>
    </row>
    <row r="261" spans="1:13">
      <c r="A261" s="441"/>
      <c r="B261" s="442"/>
      <c r="C261" s="441"/>
      <c r="D261" s="441"/>
      <c r="E261" s="442"/>
      <c r="F261" s="442"/>
      <c r="G261" s="443"/>
      <c r="H261" s="441"/>
      <c r="I261" s="441"/>
      <c r="J261" s="441"/>
      <c r="K261" s="441"/>
      <c r="L261" s="456">
        <v>0</v>
      </c>
      <c r="M261" s="453"/>
    </row>
    <row r="262" spans="1:13">
      <c r="A262" s="441"/>
      <c r="B262" s="442"/>
      <c r="C262" s="441"/>
      <c r="D262" s="441"/>
      <c r="E262" s="442"/>
      <c r="F262" s="442"/>
      <c r="G262" s="443"/>
      <c r="H262" s="441"/>
      <c r="I262" s="441"/>
      <c r="J262" s="441"/>
      <c r="K262" s="441"/>
      <c r="L262" s="456">
        <v>0</v>
      </c>
      <c r="M262" s="453"/>
    </row>
    <row r="263" spans="1:13">
      <c r="A263" s="441"/>
      <c r="B263" s="442"/>
      <c r="C263" s="441"/>
      <c r="D263" s="441"/>
      <c r="E263" s="442"/>
      <c r="F263" s="442"/>
      <c r="G263" s="443"/>
      <c r="H263" s="441"/>
      <c r="I263" s="441"/>
      <c r="J263" s="441"/>
      <c r="K263" s="441"/>
      <c r="L263" s="456">
        <v>0</v>
      </c>
      <c r="M263" s="453"/>
    </row>
    <row r="264" spans="1:13">
      <c r="A264" s="441"/>
      <c r="B264" s="442"/>
      <c r="C264" s="441"/>
      <c r="D264" s="441"/>
      <c r="E264" s="442"/>
      <c r="F264" s="442"/>
      <c r="G264" s="443"/>
      <c r="H264" s="441"/>
      <c r="I264" s="441"/>
      <c r="J264" s="441"/>
      <c r="K264" s="441"/>
      <c r="L264" s="456">
        <v>0</v>
      </c>
      <c r="M264" s="453"/>
    </row>
    <row r="265" spans="1:13">
      <c r="A265" s="441"/>
      <c r="B265" s="442"/>
      <c r="C265" s="441"/>
      <c r="D265" s="441"/>
      <c r="E265" s="442"/>
      <c r="F265" s="442"/>
      <c r="G265" s="443"/>
      <c r="H265" s="441"/>
      <c r="I265" s="441"/>
      <c r="J265" s="441"/>
      <c r="K265" s="441"/>
      <c r="L265" s="456">
        <v>0</v>
      </c>
      <c r="M265" s="453"/>
    </row>
    <row r="266" spans="1:13">
      <c r="A266" s="441"/>
      <c r="B266" s="442"/>
      <c r="C266" s="441"/>
      <c r="D266" s="441"/>
      <c r="E266" s="442"/>
      <c r="F266" s="442"/>
      <c r="G266" s="443"/>
      <c r="H266" s="441"/>
      <c r="I266" s="441"/>
      <c r="J266" s="441"/>
      <c r="K266" s="441"/>
      <c r="L266" s="456">
        <v>0</v>
      </c>
      <c r="M266" s="453"/>
    </row>
    <row r="267" spans="1:13">
      <c r="A267" s="441"/>
      <c r="B267" s="442"/>
      <c r="C267" s="441"/>
      <c r="D267" s="441"/>
      <c r="E267" s="442"/>
      <c r="F267" s="442"/>
      <c r="G267" s="443"/>
      <c r="H267" s="441"/>
      <c r="I267" s="441"/>
      <c r="J267" s="441"/>
      <c r="K267" s="441"/>
      <c r="L267" s="456">
        <v>0</v>
      </c>
      <c r="M267" s="453"/>
    </row>
    <row r="268" spans="1:13">
      <c r="A268" s="441"/>
      <c r="B268" s="442"/>
      <c r="C268" s="441"/>
      <c r="D268" s="441"/>
      <c r="E268" s="442"/>
      <c r="F268" s="442"/>
      <c r="G268" s="443"/>
      <c r="H268" s="441"/>
      <c r="I268" s="441"/>
      <c r="J268" s="441"/>
      <c r="K268" s="441"/>
      <c r="L268" s="456">
        <v>0</v>
      </c>
      <c r="M268" s="453"/>
    </row>
    <row r="269" spans="1:13">
      <c r="A269" s="441"/>
      <c r="B269" s="442"/>
      <c r="C269" s="441"/>
      <c r="D269" s="441"/>
      <c r="E269" s="442"/>
      <c r="F269" s="442"/>
      <c r="G269" s="443"/>
      <c r="H269" s="441"/>
      <c r="I269" s="441"/>
      <c r="J269" s="441"/>
      <c r="K269" s="441"/>
      <c r="L269" s="456">
        <v>0</v>
      </c>
      <c r="M269" s="453"/>
    </row>
    <row r="270" spans="1:13">
      <c r="A270" s="441"/>
      <c r="B270" s="442"/>
      <c r="C270" s="441"/>
      <c r="D270" s="441"/>
      <c r="E270" s="442"/>
      <c r="F270" s="442"/>
      <c r="G270" s="443"/>
      <c r="H270" s="441"/>
      <c r="I270" s="441"/>
      <c r="J270" s="441"/>
      <c r="K270" s="441"/>
      <c r="L270" s="456">
        <v>0</v>
      </c>
      <c r="M270" s="453"/>
    </row>
    <row r="271" spans="1:13">
      <c r="A271" s="441"/>
      <c r="B271" s="442"/>
      <c r="C271" s="441"/>
      <c r="D271" s="441"/>
      <c r="E271" s="442"/>
      <c r="F271" s="442"/>
      <c r="G271" s="443"/>
      <c r="H271" s="441"/>
      <c r="I271" s="441"/>
      <c r="J271" s="441"/>
      <c r="K271" s="441"/>
      <c r="L271" s="456">
        <v>0</v>
      </c>
      <c r="M271" s="453"/>
    </row>
    <row r="272" spans="1:13">
      <c r="A272" s="441"/>
      <c r="B272" s="442"/>
      <c r="C272" s="441"/>
      <c r="D272" s="441"/>
      <c r="E272" s="442"/>
      <c r="F272" s="442"/>
      <c r="G272" s="443"/>
      <c r="H272" s="441"/>
      <c r="I272" s="441"/>
      <c r="J272" s="441"/>
      <c r="K272" s="441"/>
      <c r="L272" s="456">
        <v>0</v>
      </c>
      <c r="M272" s="453"/>
    </row>
    <row r="273" spans="1:13">
      <c r="A273" s="441"/>
      <c r="B273" s="442"/>
      <c r="C273" s="441"/>
      <c r="D273" s="441"/>
      <c r="E273" s="442"/>
      <c r="F273" s="442"/>
      <c r="G273" s="443"/>
      <c r="H273" s="441"/>
      <c r="I273" s="441"/>
      <c r="J273" s="441"/>
      <c r="K273" s="441"/>
      <c r="L273" s="456">
        <v>0</v>
      </c>
      <c r="M273" s="453"/>
    </row>
    <row r="274" spans="1:13">
      <c r="A274" s="441"/>
      <c r="B274" s="442"/>
      <c r="C274" s="441"/>
      <c r="D274" s="441"/>
      <c r="E274" s="442"/>
      <c r="F274" s="442"/>
      <c r="G274" s="443"/>
      <c r="H274" s="441"/>
      <c r="I274" s="441"/>
      <c r="J274" s="441"/>
      <c r="K274" s="441"/>
      <c r="L274" s="456">
        <v>0</v>
      </c>
      <c r="M274" s="453"/>
    </row>
    <row r="275" spans="1:13">
      <c r="A275" s="441"/>
      <c r="B275" s="442"/>
      <c r="C275" s="441"/>
      <c r="D275" s="441"/>
      <c r="E275" s="442"/>
      <c r="F275" s="442"/>
      <c r="G275" s="443"/>
      <c r="H275" s="441"/>
      <c r="I275" s="441"/>
      <c r="J275" s="441"/>
      <c r="K275" s="441"/>
      <c r="L275" s="456">
        <v>0</v>
      </c>
      <c r="M275" s="453"/>
    </row>
    <row r="276" spans="1:13">
      <c r="A276" s="441"/>
      <c r="B276" s="442"/>
      <c r="C276" s="441"/>
      <c r="D276" s="441"/>
      <c r="E276" s="442"/>
      <c r="F276" s="442"/>
      <c r="G276" s="443"/>
      <c r="H276" s="441"/>
      <c r="I276" s="441"/>
      <c r="J276" s="441"/>
      <c r="K276" s="441"/>
      <c r="L276" s="456">
        <v>0</v>
      </c>
      <c r="M276" s="453"/>
    </row>
    <row r="277" spans="1:13">
      <c r="A277" s="441"/>
      <c r="B277" s="442"/>
      <c r="C277" s="441"/>
      <c r="D277" s="441"/>
      <c r="E277" s="442"/>
      <c r="F277" s="442"/>
      <c r="G277" s="443"/>
      <c r="H277" s="441"/>
      <c r="I277" s="441"/>
      <c r="J277" s="441"/>
      <c r="K277" s="441"/>
      <c r="L277" s="456">
        <v>0</v>
      </c>
      <c r="M277" s="453"/>
    </row>
    <row r="278" spans="1:13">
      <c r="A278" s="441"/>
      <c r="B278" s="442"/>
      <c r="C278" s="441"/>
      <c r="D278" s="441"/>
      <c r="E278" s="442"/>
      <c r="F278" s="442"/>
      <c r="G278" s="443"/>
      <c r="H278" s="441"/>
      <c r="I278" s="441"/>
      <c r="J278" s="441"/>
      <c r="K278" s="441"/>
      <c r="L278" s="456">
        <v>0</v>
      </c>
      <c r="M278" s="453"/>
    </row>
    <row r="279" spans="1:13">
      <c r="A279" s="441"/>
      <c r="B279" s="442"/>
      <c r="C279" s="441"/>
      <c r="D279" s="441"/>
      <c r="E279" s="442"/>
      <c r="F279" s="442"/>
      <c r="G279" s="443"/>
      <c r="H279" s="441"/>
      <c r="I279" s="441"/>
      <c r="J279" s="441"/>
      <c r="K279" s="441"/>
      <c r="L279" s="456">
        <v>0</v>
      </c>
      <c r="M279" s="453"/>
    </row>
    <row r="280" spans="1:13">
      <c r="A280" s="441"/>
      <c r="B280" s="442"/>
      <c r="C280" s="441"/>
      <c r="D280" s="441"/>
      <c r="E280" s="442"/>
      <c r="F280" s="442"/>
      <c r="G280" s="443"/>
      <c r="H280" s="441"/>
      <c r="I280" s="441"/>
      <c r="J280" s="441"/>
      <c r="K280" s="441"/>
      <c r="L280" s="456">
        <v>0</v>
      </c>
      <c r="M280" s="453"/>
    </row>
    <row r="281" spans="1:13">
      <c r="A281" s="441"/>
      <c r="B281" s="442"/>
      <c r="C281" s="441"/>
      <c r="D281" s="441"/>
      <c r="E281" s="442"/>
      <c r="F281" s="442"/>
      <c r="G281" s="443"/>
      <c r="H281" s="441"/>
      <c r="I281" s="441"/>
      <c r="J281" s="441"/>
      <c r="K281" s="441"/>
      <c r="L281" s="456">
        <v>0</v>
      </c>
      <c r="M281" s="453"/>
    </row>
    <row r="282" spans="1:13">
      <c r="A282" s="441"/>
      <c r="B282" s="442"/>
      <c r="C282" s="441"/>
      <c r="D282" s="441"/>
      <c r="E282" s="442"/>
      <c r="F282" s="442"/>
      <c r="G282" s="443"/>
      <c r="H282" s="441"/>
      <c r="I282" s="441"/>
      <c r="J282" s="441"/>
      <c r="K282" s="441"/>
      <c r="L282" s="456">
        <v>0</v>
      </c>
      <c r="M282" s="453"/>
    </row>
    <row r="283" spans="1:13">
      <c r="A283" s="441"/>
      <c r="B283" s="442"/>
      <c r="C283" s="441"/>
      <c r="D283" s="441"/>
      <c r="E283" s="442"/>
      <c r="F283" s="442"/>
      <c r="G283" s="443"/>
      <c r="H283" s="441"/>
      <c r="I283" s="441"/>
      <c r="J283" s="441"/>
      <c r="K283" s="441"/>
      <c r="L283" s="456">
        <v>0</v>
      </c>
      <c r="M283" s="453"/>
    </row>
    <row r="284" spans="1:13">
      <c r="A284" s="441"/>
      <c r="B284" s="442"/>
      <c r="C284" s="441"/>
      <c r="D284" s="441"/>
      <c r="E284" s="442"/>
      <c r="F284" s="442"/>
      <c r="G284" s="443"/>
      <c r="H284" s="441"/>
      <c r="I284" s="441"/>
      <c r="J284" s="441"/>
      <c r="K284" s="441"/>
      <c r="L284" s="456">
        <v>0</v>
      </c>
      <c r="M284" s="453"/>
    </row>
    <row r="285" spans="1:13">
      <c r="A285" s="441"/>
      <c r="B285" s="442"/>
      <c r="C285" s="441"/>
      <c r="D285" s="441"/>
      <c r="E285" s="442"/>
      <c r="F285" s="442"/>
      <c r="G285" s="443"/>
      <c r="H285" s="441"/>
      <c r="I285" s="441"/>
      <c r="J285" s="441"/>
      <c r="K285" s="441"/>
      <c r="L285" s="456">
        <v>0</v>
      </c>
      <c r="M285" s="453"/>
    </row>
    <row r="286" spans="1:13">
      <c r="A286" s="441"/>
      <c r="B286" s="442"/>
      <c r="C286" s="441"/>
      <c r="D286" s="441"/>
      <c r="E286" s="442"/>
      <c r="F286" s="442"/>
      <c r="G286" s="443"/>
      <c r="H286" s="441"/>
      <c r="I286" s="441"/>
      <c r="J286" s="441"/>
      <c r="K286" s="441"/>
      <c r="L286" s="456">
        <v>0</v>
      </c>
      <c r="M286" s="453"/>
    </row>
    <row r="287" spans="1:13">
      <c r="A287" s="441"/>
      <c r="B287" s="442"/>
      <c r="C287" s="441"/>
      <c r="D287" s="441"/>
      <c r="E287" s="442"/>
      <c r="F287" s="442"/>
      <c r="G287" s="443"/>
      <c r="H287" s="441"/>
      <c r="I287" s="441"/>
      <c r="J287" s="441"/>
      <c r="K287" s="441"/>
      <c r="L287" s="456">
        <v>0</v>
      </c>
      <c r="M287" s="453"/>
    </row>
    <row r="288" spans="1:13">
      <c r="A288" s="441"/>
      <c r="B288" s="442"/>
      <c r="C288" s="441"/>
      <c r="D288" s="441"/>
      <c r="E288" s="442"/>
      <c r="F288" s="442"/>
      <c r="G288" s="443"/>
      <c r="H288" s="441"/>
      <c r="I288" s="441"/>
      <c r="J288" s="441"/>
      <c r="K288" s="441"/>
      <c r="L288" s="456">
        <v>0</v>
      </c>
      <c r="M288" s="453"/>
    </row>
    <row r="289" spans="1:13">
      <c r="A289" s="441"/>
      <c r="B289" s="442"/>
      <c r="C289" s="441"/>
      <c r="D289" s="441"/>
      <c r="E289" s="442"/>
      <c r="F289" s="442"/>
      <c r="G289" s="443"/>
      <c r="H289" s="441"/>
      <c r="I289" s="441"/>
      <c r="J289" s="441"/>
      <c r="K289" s="441"/>
      <c r="L289" s="456">
        <v>0</v>
      </c>
      <c r="M289" s="453"/>
    </row>
    <row r="290" spans="1:13">
      <c r="A290" s="441"/>
      <c r="B290" s="442"/>
      <c r="C290" s="441"/>
      <c r="D290" s="441"/>
      <c r="E290" s="442"/>
      <c r="F290" s="442"/>
      <c r="G290" s="443"/>
      <c r="H290" s="441"/>
      <c r="I290" s="441"/>
      <c r="J290" s="441"/>
      <c r="K290" s="441"/>
      <c r="L290" s="456">
        <v>0</v>
      </c>
      <c r="M290" s="453"/>
    </row>
    <row r="291" spans="1:13">
      <c r="A291" s="441"/>
      <c r="B291" s="442"/>
      <c r="C291" s="441"/>
      <c r="D291" s="441"/>
      <c r="E291" s="442"/>
      <c r="F291" s="442"/>
      <c r="G291" s="443"/>
      <c r="H291" s="441"/>
      <c r="I291" s="441"/>
      <c r="J291" s="441"/>
      <c r="K291" s="441"/>
      <c r="L291" s="456">
        <v>0</v>
      </c>
      <c r="M291" s="453"/>
    </row>
    <row r="292" spans="1:13">
      <c r="A292" s="441"/>
      <c r="B292" s="442"/>
      <c r="C292" s="441"/>
      <c r="D292" s="441"/>
      <c r="E292" s="442"/>
      <c r="F292" s="442"/>
      <c r="G292" s="443"/>
      <c r="H292" s="441"/>
      <c r="I292" s="441"/>
      <c r="J292" s="441"/>
      <c r="K292" s="441"/>
      <c r="L292" s="456">
        <v>0</v>
      </c>
      <c r="M292" s="453"/>
    </row>
    <row r="293" spans="1:13">
      <c r="A293" s="441"/>
      <c r="B293" s="442"/>
      <c r="C293" s="441"/>
      <c r="D293" s="441"/>
      <c r="E293" s="442"/>
      <c r="F293" s="442"/>
      <c r="G293" s="443"/>
      <c r="H293" s="441"/>
      <c r="I293" s="441"/>
      <c r="J293" s="441"/>
      <c r="K293" s="441"/>
      <c r="L293" s="456">
        <v>0</v>
      </c>
      <c r="M293" s="453"/>
    </row>
    <row r="294" spans="1:13">
      <c r="A294" s="441"/>
      <c r="B294" s="442"/>
      <c r="C294" s="441"/>
      <c r="D294" s="441"/>
      <c r="E294" s="442"/>
      <c r="F294" s="442"/>
      <c r="G294" s="443"/>
      <c r="H294" s="441"/>
      <c r="I294" s="441"/>
      <c r="J294" s="441"/>
      <c r="K294" s="441"/>
      <c r="L294" s="456">
        <v>0</v>
      </c>
      <c r="M294" s="453"/>
    </row>
    <row r="295" spans="1:13">
      <c r="A295" s="441"/>
      <c r="B295" s="442"/>
      <c r="C295" s="441"/>
      <c r="D295" s="441"/>
      <c r="E295" s="442"/>
      <c r="F295" s="442"/>
      <c r="G295" s="443"/>
      <c r="H295" s="441"/>
      <c r="I295" s="441"/>
      <c r="J295" s="441"/>
      <c r="K295" s="441"/>
      <c r="L295" s="456">
        <v>0</v>
      </c>
      <c r="M295" s="453"/>
    </row>
    <row r="296" spans="1:13">
      <c r="A296" s="441"/>
      <c r="B296" s="442"/>
      <c r="C296" s="441"/>
      <c r="D296" s="441"/>
      <c r="E296" s="442"/>
      <c r="F296" s="442"/>
      <c r="G296" s="443"/>
      <c r="H296" s="441"/>
      <c r="I296" s="441"/>
      <c r="J296" s="441"/>
      <c r="K296" s="441"/>
      <c r="L296" s="456">
        <v>0</v>
      </c>
      <c r="M296" s="453"/>
    </row>
    <row r="297" spans="1:13">
      <c r="A297" s="441"/>
      <c r="B297" s="442"/>
      <c r="C297" s="441"/>
      <c r="D297" s="441"/>
      <c r="E297" s="442"/>
      <c r="F297" s="442"/>
      <c r="G297" s="443"/>
      <c r="H297" s="441"/>
      <c r="I297" s="441"/>
      <c r="J297" s="441"/>
      <c r="K297" s="441"/>
      <c r="L297" s="456">
        <v>0</v>
      </c>
      <c r="M297" s="453"/>
    </row>
    <row r="298" spans="1:13">
      <c r="A298" s="441"/>
      <c r="B298" s="442"/>
      <c r="C298" s="441"/>
      <c r="D298" s="441"/>
      <c r="E298" s="442"/>
      <c r="F298" s="442"/>
      <c r="G298" s="443"/>
      <c r="H298" s="441"/>
      <c r="I298" s="441"/>
      <c r="J298" s="441"/>
      <c r="K298" s="441"/>
      <c r="L298" s="456">
        <v>0</v>
      </c>
      <c r="M298" s="453"/>
    </row>
    <row r="299" spans="1:13">
      <c r="A299" s="441"/>
      <c r="B299" s="442"/>
      <c r="C299" s="441"/>
      <c r="D299" s="441"/>
      <c r="E299" s="442"/>
      <c r="F299" s="442"/>
      <c r="G299" s="443"/>
      <c r="H299" s="441"/>
      <c r="I299" s="441"/>
      <c r="J299" s="441"/>
      <c r="K299" s="441"/>
      <c r="L299" s="456">
        <v>0</v>
      </c>
      <c r="M299" s="453"/>
    </row>
    <row r="300" spans="1:13">
      <c r="A300" s="441"/>
      <c r="B300" s="442"/>
      <c r="C300" s="441"/>
      <c r="D300" s="441"/>
      <c r="E300" s="442"/>
      <c r="F300" s="442"/>
      <c r="G300" s="443"/>
      <c r="H300" s="441"/>
      <c r="I300" s="441"/>
      <c r="J300" s="441"/>
      <c r="K300" s="441"/>
      <c r="L300" s="456">
        <v>0</v>
      </c>
      <c r="M300" s="453"/>
    </row>
    <row r="301" spans="1:13">
      <c r="A301" s="441"/>
      <c r="B301" s="442"/>
      <c r="C301" s="441"/>
      <c r="D301" s="441"/>
      <c r="E301" s="442"/>
      <c r="F301" s="442"/>
      <c r="G301" s="443"/>
      <c r="H301" s="441"/>
      <c r="I301" s="441"/>
      <c r="J301" s="441"/>
      <c r="K301" s="441"/>
      <c r="L301" s="456">
        <v>0</v>
      </c>
      <c r="M301" s="453"/>
    </row>
    <row r="302" spans="1:13">
      <c r="A302" s="441"/>
      <c r="B302" s="442"/>
      <c r="C302" s="441"/>
      <c r="D302" s="441"/>
      <c r="E302" s="442"/>
      <c r="F302" s="442"/>
      <c r="G302" s="443"/>
      <c r="H302" s="441"/>
      <c r="I302" s="441"/>
      <c r="J302" s="441"/>
      <c r="K302" s="441"/>
      <c r="L302" s="456">
        <v>0</v>
      </c>
      <c r="M302" s="453"/>
    </row>
    <row r="303" spans="1:13">
      <c r="A303" s="441"/>
      <c r="B303" s="442"/>
      <c r="C303" s="441"/>
      <c r="D303" s="441"/>
      <c r="E303" s="442"/>
      <c r="F303" s="442"/>
      <c r="G303" s="443"/>
      <c r="H303" s="441"/>
      <c r="I303" s="441"/>
      <c r="J303" s="441"/>
      <c r="K303" s="441"/>
      <c r="L303" s="456">
        <v>0</v>
      </c>
      <c r="M303" s="453"/>
    </row>
    <row r="304" spans="1:13">
      <c r="A304" s="441"/>
      <c r="B304" s="442"/>
      <c r="C304" s="441"/>
      <c r="D304" s="441"/>
      <c r="E304" s="442"/>
      <c r="F304" s="442"/>
      <c r="G304" s="443"/>
      <c r="H304" s="441"/>
      <c r="I304" s="441"/>
      <c r="J304" s="441"/>
      <c r="K304" s="441"/>
      <c r="L304" s="456">
        <v>0</v>
      </c>
      <c r="M304" s="453"/>
    </row>
    <row r="305" spans="1:13">
      <c r="A305" s="441"/>
      <c r="B305" s="442"/>
      <c r="C305" s="441"/>
      <c r="D305" s="441"/>
      <c r="E305" s="442"/>
      <c r="F305" s="442"/>
      <c r="G305" s="443"/>
      <c r="H305" s="441"/>
      <c r="I305" s="441"/>
      <c r="J305" s="441"/>
      <c r="K305" s="441"/>
      <c r="L305" s="456">
        <v>0</v>
      </c>
      <c r="M305" s="453"/>
    </row>
    <row r="306" spans="1:13">
      <c r="A306" s="441"/>
      <c r="B306" s="442"/>
      <c r="C306" s="441"/>
      <c r="D306" s="441"/>
      <c r="E306" s="442"/>
      <c r="F306" s="442"/>
      <c r="G306" s="443"/>
      <c r="H306" s="441"/>
      <c r="I306" s="441"/>
      <c r="J306" s="441"/>
      <c r="K306" s="441"/>
      <c r="L306" s="456">
        <v>0</v>
      </c>
      <c r="M306" s="453"/>
    </row>
    <row r="307" spans="1:13">
      <c r="A307" s="441"/>
      <c r="B307" s="442"/>
      <c r="C307" s="441"/>
      <c r="D307" s="441"/>
      <c r="E307" s="442"/>
      <c r="F307" s="442"/>
      <c r="G307" s="443"/>
      <c r="H307" s="441"/>
      <c r="I307" s="441"/>
      <c r="J307" s="441"/>
      <c r="K307" s="441"/>
      <c r="L307" s="456">
        <v>0</v>
      </c>
      <c r="M307" s="453"/>
    </row>
    <row r="308" spans="1:13">
      <c r="A308" s="441"/>
      <c r="B308" s="442"/>
      <c r="C308" s="441"/>
      <c r="D308" s="441"/>
      <c r="E308" s="442"/>
      <c r="F308" s="442"/>
      <c r="G308" s="443"/>
      <c r="H308" s="441"/>
      <c r="I308" s="441"/>
      <c r="J308" s="441"/>
      <c r="K308" s="441"/>
      <c r="L308" s="456">
        <v>0</v>
      </c>
      <c r="M308" s="453"/>
    </row>
    <row r="309" spans="1:13">
      <c r="A309" s="441"/>
      <c r="B309" s="442"/>
      <c r="C309" s="441"/>
      <c r="D309" s="441"/>
      <c r="E309" s="442"/>
      <c r="F309" s="442"/>
      <c r="G309" s="443"/>
      <c r="H309" s="441"/>
      <c r="I309" s="441"/>
      <c r="J309" s="441"/>
      <c r="K309" s="441"/>
      <c r="L309" s="456">
        <v>0</v>
      </c>
      <c r="M309" s="453"/>
    </row>
    <row r="310" spans="1:13">
      <c r="A310" s="441"/>
      <c r="B310" s="442"/>
      <c r="C310" s="441"/>
      <c r="D310" s="441"/>
      <c r="E310" s="442"/>
      <c r="F310" s="442"/>
      <c r="G310" s="443"/>
      <c r="H310" s="441"/>
      <c r="I310" s="441"/>
      <c r="J310" s="441"/>
      <c r="K310" s="441"/>
      <c r="L310" s="456">
        <v>0</v>
      </c>
      <c r="M310" s="453"/>
    </row>
    <row r="311" spans="1:13">
      <c r="A311" s="441"/>
      <c r="B311" s="442"/>
      <c r="C311" s="441"/>
      <c r="D311" s="441"/>
      <c r="E311" s="442"/>
      <c r="F311" s="442"/>
      <c r="G311" s="443"/>
      <c r="H311" s="441"/>
      <c r="I311" s="441"/>
      <c r="J311" s="441"/>
      <c r="K311" s="441"/>
      <c r="L311" s="456">
        <v>0</v>
      </c>
      <c r="M311" s="453"/>
    </row>
    <row r="312" spans="1:13">
      <c r="A312" s="441"/>
      <c r="B312" s="442"/>
      <c r="C312" s="441"/>
      <c r="D312" s="441"/>
      <c r="E312" s="442"/>
      <c r="F312" s="442"/>
      <c r="G312" s="443"/>
      <c r="H312" s="441"/>
      <c r="I312" s="441"/>
      <c r="J312" s="441"/>
      <c r="K312" s="441"/>
      <c r="L312" s="456">
        <v>0</v>
      </c>
      <c r="M312" s="453"/>
    </row>
    <row r="313" spans="1:13">
      <c r="A313" s="441"/>
      <c r="B313" s="442"/>
      <c r="C313" s="441"/>
      <c r="D313" s="441"/>
      <c r="E313" s="442"/>
      <c r="F313" s="442"/>
      <c r="G313" s="443"/>
      <c r="H313" s="441"/>
      <c r="I313" s="441"/>
      <c r="J313" s="441"/>
      <c r="K313" s="441"/>
      <c r="L313" s="456">
        <v>0</v>
      </c>
      <c r="M313" s="453"/>
    </row>
    <row r="314" spans="1:13">
      <c r="A314" s="441"/>
      <c r="B314" s="442"/>
      <c r="C314" s="441"/>
      <c r="D314" s="441"/>
      <c r="E314" s="442"/>
      <c r="F314" s="442"/>
      <c r="G314" s="443"/>
      <c r="H314" s="441"/>
      <c r="I314" s="441"/>
      <c r="J314" s="441"/>
      <c r="K314" s="441"/>
      <c r="L314" s="456">
        <v>0</v>
      </c>
      <c r="M314" s="453"/>
    </row>
    <row r="315" spans="1:13">
      <c r="A315" s="441"/>
      <c r="B315" s="442"/>
      <c r="C315" s="441"/>
      <c r="D315" s="441"/>
      <c r="E315" s="442"/>
      <c r="F315" s="442"/>
      <c r="G315" s="443"/>
      <c r="H315" s="441"/>
      <c r="I315" s="441"/>
      <c r="J315" s="441"/>
      <c r="K315" s="441"/>
      <c r="L315" s="456">
        <v>0</v>
      </c>
      <c r="M315" s="453"/>
    </row>
    <row r="316" spans="1:13">
      <c r="A316" s="441"/>
      <c r="B316" s="442"/>
      <c r="C316" s="441"/>
      <c r="D316" s="441"/>
      <c r="E316" s="442"/>
      <c r="F316" s="442"/>
      <c r="G316" s="443"/>
      <c r="H316" s="441"/>
      <c r="I316" s="441"/>
      <c r="J316" s="441"/>
      <c r="K316" s="441"/>
      <c r="L316" s="456">
        <v>0</v>
      </c>
      <c r="M316" s="453"/>
    </row>
    <row r="317" spans="1:13">
      <c r="A317" s="441"/>
      <c r="B317" s="442"/>
      <c r="C317" s="441"/>
      <c r="D317" s="441"/>
      <c r="E317" s="442"/>
      <c r="F317" s="442"/>
      <c r="G317" s="443"/>
      <c r="H317" s="441"/>
      <c r="I317" s="441"/>
      <c r="J317" s="441"/>
      <c r="K317" s="441"/>
      <c r="L317" s="456">
        <v>0</v>
      </c>
      <c r="M317" s="453"/>
    </row>
    <row r="318" spans="1:13">
      <c r="A318" s="441"/>
      <c r="B318" s="442"/>
      <c r="C318" s="441"/>
      <c r="D318" s="441"/>
      <c r="E318" s="442"/>
      <c r="F318" s="442"/>
      <c r="G318" s="443"/>
      <c r="H318" s="441"/>
      <c r="I318" s="441"/>
      <c r="J318" s="441"/>
      <c r="K318" s="441"/>
      <c r="L318" s="456">
        <v>0</v>
      </c>
      <c r="M318" s="453"/>
    </row>
    <row r="319" spans="1:13">
      <c r="A319" s="441"/>
      <c r="B319" s="442"/>
      <c r="C319" s="441"/>
      <c r="D319" s="441"/>
      <c r="E319" s="442"/>
      <c r="F319" s="442"/>
      <c r="G319" s="443"/>
      <c r="H319" s="441"/>
      <c r="I319" s="441"/>
      <c r="J319" s="441"/>
      <c r="K319" s="441"/>
      <c r="L319" s="456">
        <v>0</v>
      </c>
      <c r="M319" s="453"/>
    </row>
    <row r="320" spans="1:13">
      <c r="A320" s="441"/>
      <c r="B320" s="442"/>
      <c r="C320" s="441"/>
      <c r="D320" s="441"/>
      <c r="E320" s="442"/>
      <c r="F320" s="442"/>
      <c r="G320" s="443"/>
      <c r="H320" s="441"/>
      <c r="I320" s="441"/>
      <c r="J320" s="441"/>
      <c r="K320" s="441"/>
      <c r="L320" s="456">
        <v>0</v>
      </c>
      <c r="M320" s="453"/>
    </row>
    <row r="321" spans="1:13">
      <c r="A321" s="441"/>
      <c r="B321" s="442"/>
      <c r="C321" s="441"/>
      <c r="D321" s="441"/>
      <c r="E321" s="442"/>
      <c r="F321" s="442"/>
      <c r="G321" s="443"/>
      <c r="H321" s="441"/>
      <c r="I321" s="441"/>
      <c r="J321" s="441"/>
      <c r="K321" s="441"/>
      <c r="L321" s="456">
        <v>0</v>
      </c>
      <c r="M321" s="453"/>
    </row>
    <row r="322" spans="1:13">
      <c r="A322" s="441"/>
      <c r="B322" s="442"/>
      <c r="C322" s="441"/>
      <c r="D322" s="441"/>
      <c r="E322" s="442"/>
      <c r="F322" s="442"/>
      <c r="G322" s="443"/>
      <c r="H322" s="441"/>
      <c r="I322" s="441"/>
      <c r="J322" s="441"/>
      <c r="K322" s="441"/>
      <c r="L322" s="456">
        <v>0</v>
      </c>
      <c r="M322" s="453"/>
    </row>
    <row r="323" spans="1:13">
      <c r="A323" s="441"/>
      <c r="B323" s="442"/>
      <c r="C323" s="441"/>
      <c r="D323" s="441"/>
      <c r="E323" s="442"/>
      <c r="F323" s="442"/>
      <c r="G323" s="443"/>
      <c r="H323" s="441"/>
      <c r="I323" s="441"/>
      <c r="J323" s="441"/>
      <c r="K323" s="441"/>
      <c r="L323" s="456">
        <v>0</v>
      </c>
      <c r="M323" s="453"/>
    </row>
    <row r="324" spans="1:13">
      <c r="A324" s="441"/>
      <c r="B324" s="442"/>
      <c r="C324" s="441"/>
      <c r="D324" s="441"/>
      <c r="E324" s="442"/>
      <c r="F324" s="442"/>
      <c r="G324" s="443"/>
      <c r="H324" s="441"/>
      <c r="I324" s="441"/>
      <c r="J324" s="441"/>
      <c r="K324" s="441"/>
      <c r="L324" s="456">
        <v>0</v>
      </c>
      <c r="M324" s="453"/>
    </row>
    <row r="325" spans="1:13">
      <c r="A325" s="441"/>
      <c r="B325" s="442"/>
      <c r="C325" s="441"/>
      <c r="D325" s="441"/>
      <c r="E325" s="442"/>
      <c r="F325" s="442"/>
      <c r="G325" s="443"/>
      <c r="H325" s="441"/>
      <c r="I325" s="441"/>
      <c r="J325" s="441"/>
      <c r="K325" s="441"/>
      <c r="L325" s="456">
        <v>0</v>
      </c>
      <c r="M325" s="453"/>
    </row>
    <row r="326" spans="1:13">
      <c r="A326" s="441"/>
      <c r="B326" s="442"/>
      <c r="C326" s="441"/>
      <c r="D326" s="441"/>
      <c r="E326" s="442"/>
      <c r="F326" s="442"/>
      <c r="G326" s="443"/>
      <c r="H326" s="441"/>
      <c r="I326" s="441"/>
      <c r="J326" s="441"/>
      <c r="K326" s="441"/>
      <c r="L326" s="456">
        <v>0</v>
      </c>
      <c r="M326" s="453"/>
    </row>
    <row r="327" spans="1:13">
      <c r="A327" s="441"/>
      <c r="B327" s="442"/>
      <c r="C327" s="441"/>
      <c r="D327" s="441"/>
      <c r="E327" s="442"/>
      <c r="F327" s="442"/>
      <c r="G327" s="443"/>
      <c r="H327" s="441"/>
      <c r="I327" s="441"/>
      <c r="J327" s="441"/>
      <c r="K327" s="441"/>
      <c r="L327" s="456">
        <v>0</v>
      </c>
      <c r="M327" s="453"/>
    </row>
    <row r="328" spans="1:13">
      <c r="A328" s="441"/>
      <c r="B328" s="442"/>
      <c r="C328" s="441"/>
      <c r="D328" s="441"/>
      <c r="E328" s="442"/>
      <c r="F328" s="442"/>
      <c r="G328" s="443"/>
      <c r="H328" s="441"/>
      <c r="I328" s="441"/>
      <c r="J328" s="441"/>
      <c r="K328" s="441"/>
      <c r="L328" s="456">
        <v>0</v>
      </c>
      <c r="M328" s="453"/>
    </row>
    <row r="329" spans="1:13">
      <c r="A329" s="441"/>
      <c r="B329" s="442"/>
      <c r="C329" s="441"/>
      <c r="D329" s="441"/>
      <c r="E329" s="442"/>
      <c r="F329" s="442"/>
      <c r="G329" s="443"/>
      <c r="H329" s="441"/>
      <c r="I329" s="441"/>
      <c r="J329" s="441"/>
      <c r="K329" s="441"/>
      <c r="L329" s="456">
        <v>0</v>
      </c>
      <c r="M329" s="453"/>
    </row>
    <row r="330" spans="1:13">
      <c r="A330" s="441"/>
      <c r="B330" s="442"/>
      <c r="C330" s="441"/>
      <c r="D330" s="441"/>
      <c r="E330" s="442"/>
      <c r="F330" s="442"/>
      <c r="G330" s="443"/>
      <c r="H330" s="441"/>
      <c r="I330" s="441"/>
      <c r="J330" s="441"/>
      <c r="K330" s="441"/>
      <c r="L330" s="456">
        <v>0</v>
      </c>
      <c r="M330" s="453"/>
    </row>
    <row r="331" spans="1:13">
      <c r="A331" s="441"/>
      <c r="B331" s="442"/>
      <c r="C331" s="441"/>
      <c r="D331" s="441"/>
      <c r="E331" s="442"/>
      <c r="F331" s="442"/>
      <c r="G331" s="443"/>
      <c r="H331" s="441"/>
      <c r="I331" s="441"/>
      <c r="J331" s="441"/>
      <c r="K331" s="441"/>
      <c r="L331" s="456">
        <v>0</v>
      </c>
      <c r="M331" s="453"/>
    </row>
    <row r="332" spans="1:13">
      <c r="A332" s="441"/>
      <c r="B332" s="442"/>
      <c r="C332" s="441"/>
      <c r="D332" s="441"/>
      <c r="E332" s="442"/>
      <c r="F332" s="442"/>
      <c r="G332" s="443"/>
      <c r="H332" s="441"/>
      <c r="I332" s="441"/>
      <c r="J332" s="441"/>
      <c r="K332" s="441"/>
      <c r="L332" s="456">
        <v>0</v>
      </c>
      <c r="M332" s="453"/>
    </row>
    <row r="333" spans="1:13">
      <c r="A333" s="441"/>
      <c r="B333" s="442"/>
      <c r="C333" s="441"/>
      <c r="D333" s="441"/>
      <c r="E333" s="442"/>
      <c r="F333" s="442"/>
      <c r="G333" s="443"/>
      <c r="H333" s="441"/>
      <c r="I333" s="441"/>
      <c r="J333" s="441"/>
      <c r="K333" s="441"/>
      <c r="L333" s="456">
        <v>0</v>
      </c>
      <c r="M333" s="453"/>
    </row>
    <row r="334" spans="1:13">
      <c r="A334" s="441"/>
      <c r="B334" s="442"/>
      <c r="C334" s="441"/>
      <c r="D334" s="441"/>
      <c r="E334" s="442"/>
      <c r="F334" s="442"/>
      <c r="G334" s="443"/>
      <c r="H334" s="441"/>
      <c r="I334" s="441"/>
      <c r="J334" s="441"/>
      <c r="K334" s="441"/>
      <c r="L334" s="456">
        <v>0</v>
      </c>
      <c r="M334" s="453"/>
    </row>
    <row r="335" spans="1:13">
      <c r="A335" s="441"/>
      <c r="B335" s="442"/>
      <c r="C335" s="441"/>
      <c r="D335" s="441"/>
      <c r="E335" s="442"/>
      <c r="F335" s="442"/>
      <c r="G335" s="443"/>
      <c r="H335" s="441"/>
      <c r="I335" s="441"/>
      <c r="J335" s="441"/>
      <c r="K335" s="441"/>
      <c r="L335" s="456">
        <v>0</v>
      </c>
      <c r="M335" s="453"/>
    </row>
    <row r="336" spans="1:13">
      <c r="A336" s="441"/>
      <c r="B336" s="442"/>
      <c r="C336" s="441"/>
      <c r="D336" s="441"/>
      <c r="E336" s="442"/>
      <c r="F336" s="442"/>
      <c r="G336" s="443"/>
      <c r="H336" s="441"/>
      <c r="I336" s="441"/>
      <c r="J336" s="441"/>
      <c r="K336" s="441"/>
      <c r="L336" s="456">
        <v>0</v>
      </c>
      <c r="M336" s="453"/>
    </row>
    <row r="337" spans="1:13">
      <c r="A337" s="441"/>
      <c r="B337" s="442"/>
      <c r="C337" s="441"/>
      <c r="D337" s="441"/>
      <c r="E337" s="442"/>
      <c r="F337" s="442"/>
      <c r="G337" s="443"/>
      <c r="H337" s="441"/>
      <c r="I337" s="441"/>
      <c r="J337" s="441"/>
      <c r="K337" s="441"/>
      <c r="L337" s="456">
        <v>0</v>
      </c>
      <c r="M337" s="453"/>
    </row>
    <row r="338" spans="1:13">
      <c r="A338" s="441"/>
      <c r="B338" s="442"/>
      <c r="C338" s="441"/>
      <c r="D338" s="441"/>
      <c r="E338" s="442"/>
      <c r="F338" s="442"/>
      <c r="G338" s="443"/>
      <c r="H338" s="441"/>
      <c r="I338" s="441"/>
      <c r="J338" s="441"/>
      <c r="K338" s="441"/>
      <c r="L338" s="456">
        <v>0</v>
      </c>
      <c r="M338" s="453"/>
    </row>
    <row r="339" spans="1:13">
      <c r="A339" s="441"/>
      <c r="B339" s="442"/>
      <c r="C339" s="441"/>
      <c r="D339" s="441"/>
      <c r="E339" s="442"/>
      <c r="F339" s="442"/>
      <c r="G339" s="443"/>
      <c r="H339" s="441"/>
      <c r="I339" s="441"/>
      <c r="J339" s="441"/>
      <c r="K339" s="441"/>
      <c r="L339" s="456">
        <v>0</v>
      </c>
      <c r="M339" s="453"/>
    </row>
    <row r="340" spans="1:13">
      <c r="A340" s="441"/>
      <c r="B340" s="442"/>
      <c r="C340" s="441"/>
      <c r="D340" s="441"/>
      <c r="E340" s="442"/>
      <c r="F340" s="442"/>
      <c r="G340" s="443"/>
      <c r="H340" s="441"/>
      <c r="I340" s="441"/>
      <c r="J340" s="441"/>
      <c r="K340" s="441"/>
      <c r="L340" s="456">
        <v>0</v>
      </c>
      <c r="M340" s="453"/>
    </row>
    <row r="341" spans="1:13">
      <c r="A341" s="441"/>
      <c r="B341" s="442"/>
      <c r="C341" s="441"/>
      <c r="D341" s="441"/>
      <c r="E341" s="442"/>
      <c r="F341" s="442"/>
      <c r="G341" s="443"/>
      <c r="H341" s="441"/>
      <c r="I341" s="441"/>
      <c r="J341" s="441"/>
      <c r="K341" s="441"/>
      <c r="L341" s="456">
        <v>0</v>
      </c>
      <c r="M341" s="453"/>
    </row>
    <row r="342" spans="1:13">
      <c r="A342" s="441"/>
      <c r="B342" s="442"/>
      <c r="C342" s="441"/>
      <c r="D342" s="441"/>
      <c r="E342" s="442"/>
      <c r="F342" s="442"/>
      <c r="G342" s="443"/>
      <c r="H342" s="441"/>
      <c r="I342" s="441"/>
      <c r="J342" s="441"/>
      <c r="K342" s="441"/>
      <c r="L342" s="456">
        <v>0</v>
      </c>
      <c r="M342" s="453"/>
    </row>
    <row r="343" spans="1:13">
      <c r="A343" s="441"/>
      <c r="B343" s="442"/>
      <c r="C343" s="441"/>
      <c r="D343" s="441"/>
      <c r="E343" s="442"/>
      <c r="F343" s="442"/>
      <c r="G343" s="443"/>
      <c r="H343" s="441"/>
      <c r="I343" s="441"/>
      <c r="J343" s="441"/>
      <c r="K343" s="441"/>
      <c r="L343" s="456">
        <v>0</v>
      </c>
      <c r="M343" s="453"/>
    </row>
    <row r="344" spans="1:13">
      <c r="A344" s="441"/>
      <c r="B344" s="442"/>
      <c r="C344" s="441"/>
      <c r="D344" s="441"/>
      <c r="E344" s="442"/>
      <c r="F344" s="442"/>
      <c r="G344" s="443"/>
      <c r="H344" s="441"/>
      <c r="I344" s="441"/>
      <c r="J344" s="441"/>
      <c r="K344" s="441"/>
      <c r="L344" s="456">
        <v>0</v>
      </c>
      <c r="M344" s="453"/>
    </row>
    <row r="345" spans="1:13">
      <c r="A345" s="441"/>
      <c r="B345" s="442"/>
      <c r="C345" s="441"/>
      <c r="D345" s="441"/>
      <c r="E345" s="442"/>
      <c r="F345" s="442"/>
      <c r="G345" s="443"/>
      <c r="H345" s="441"/>
      <c r="I345" s="441"/>
      <c r="J345" s="441"/>
      <c r="K345" s="441"/>
      <c r="L345" s="456">
        <v>0</v>
      </c>
      <c r="M345" s="453"/>
    </row>
    <row r="346" spans="1:13">
      <c r="A346" s="441"/>
      <c r="B346" s="442"/>
      <c r="C346" s="441"/>
      <c r="D346" s="441"/>
      <c r="E346" s="442"/>
      <c r="F346" s="442"/>
      <c r="G346" s="443"/>
      <c r="H346" s="441"/>
      <c r="I346" s="441"/>
      <c r="J346" s="441"/>
      <c r="K346" s="441"/>
      <c r="L346" s="456">
        <v>0</v>
      </c>
      <c r="M346" s="453"/>
    </row>
    <row r="347" spans="1:13">
      <c r="A347" s="441"/>
      <c r="B347" s="442"/>
      <c r="C347" s="441"/>
      <c r="D347" s="441"/>
      <c r="E347" s="442"/>
      <c r="F347" s="442"/>
      <c r="G347" s="443"/>
      <c r="H347" s="441"/>
      <c r="I347" s="441"/>
      <c r="J347" s="441"/>
      <c r="K347" s="441"/>
      <c r="L347" s="456">
        <v>0</v>
      </c>
      <c r="M347" s="453"/>
    </row>
    <row r="348" spans="1:13">
      <c r="A348" s="441"/>
      <c r="B348" s="442"/>
      <c r="C348" s="441"/>
      <c r="D348" s="441"/>
      <c r="E348" s="442"/>
      <c r="F348" s="442"/>
      <c r="G348" s="443"/>
      <c r="H348" s="441"/>
      <c r="I348" s="441"/>
      <c r="J348" s="441"/>
      <c r="K348" s="441"/>
      <c r="L348" s="456">
        <v>0</v>
      </c>
      <c r="M348" s="453"/>
    </row>
    <row r="349" spans="1:13">
      <c r="A349" s="441"/>
      <c r="B349" s="442"/>
      <c r="C349" s="441"/>
      <c r="D349" s="441"/>
      <c r="E349" s="442"/>
      <c r="F349" s="442"/>
      <c r="G349" s="443"/>
      <c r="H349" s="441"/>
      <c r="I349" s="441"/>
      <c r="J349" s="441"/>
      <c r="K349" s="441"/>
      <c r="L349" s="456">
        <v>0</v>
      </c>
      <c r="M349" s="453"/>
    </row>
    <row r="350" spans="1:13">
      <c r="A350" s="441"/>
      <c r="B350" s="442"/>
      <c r="C350" s="441"/>
      <c r="D350" s="441"/>
      <c r="E350" s="442"/>
      <c r="F350" s="442"/>
      <c r="G350" s="443"/>
      <c r="H350" s="441"/>
      <c r="I350" s="441"/>
      <c r="J350" s="441"/>
      <c r="K350" s="441"/>
      <c r="L350" s="456">
        <v>0</v>
      </c>
      <c r="M350" s="453"/>
    </row>
    <row r="351" spans="1:13">
      <c r="A351" s="441"/>
      <c r="B351" s="442"/>
      <c r="C351" s="441"/>
      <c r="D351" s="441"/>
      <c r="E351" s="442"/>
      <c r="F351" s="442"/>
      <c r="G351" s="443"/>
      <c r="H351" s="441"/>
      <c r="I351" s="441"/>
      <c r="J351" s="441"/>
      <c r="K351" s="441"/>
      <c r="L351" s="456">
        <v>0</v>
      </c>
      <c r="M351" s="453"/>
    </row>
    <row r="352" spans="1:13">
      <c r="A352" s="441"/>
      <c r="B352" s="442"/>
      <c r="C352" s="441"/>
      <c r="D352" s="441"/>
      <c r="E352" s="442"/>
      <c r="F352" s="442"/>
      <c r="G352" s="443"/>
      <c r="H352" s="441"/>
      <c r="I352" s="441"/>
      <c r="J352" s="441"/>
      <c r="K352" s="441"/>
      <c r="L352" s="456">
        <v>0</v>
      </c>
      <c r="M352" s="453"/>
    </row>
    <row r="353" spans="1:13">
      <c r="A353" s="441"/>
      <c r="B353" s="442"/>
      <c r="C353" s="441"/>
      <c r="D353" s="441"/>
      <c r="E353" s="442"/>
      <c r="F353" s="442"/>
      <c r="G353" s="443"/>
      <c r="H353" s="441"/>
      <c r="I353" s="441"/>
      <c r="J353" s="441"/>
      <c r="K353" s="441"/>
      <c r="L353" s="456">
        <v>0</v>
      </c>
      <c r="M353" s="453"/>
    </row>
    <row r="354" spans="1:13">
      <c r="A354" s="441"/>
      <c r="B354" s="442"/>
      <c r="C354" s="441"/>
      <c r="D354" s="441"/>
      <c r="E354" s="442"/>
      <c r="F354" s="442"/>
      <c r="G354" s="443"/>
      <c r="H354" s="441"/>
      <c r="I354" s="441"/>
      <c r="J354" s="441"/>
      <c r="K354" s="441"/>
      <c r="L354" s="456">
        <v>0</v>
      </c>
      <c r="M354" s="453"/>
    </row>
    <row r="355" spans="1:13">
      <c r="A355" s="441"/>
      <c r="B355" s="442"/>
      <c r="C355" s="441"/>
      <c r="D355" s="441"/>
      <c r="E355" s="442"/>
      <c r="F355" s="442"/>
      <c r="G355" s="443"/>
      <c r="H355" s="441"/>
      <c r="I355" s="441"/>
      <c r="J355" s="441"/>
      <c r="K355" s="441"/>
      <c r="L355" s="456">
        <v>0</v>
      </c>
      <c r="M355" s="453"/>
    </row>
    <row r="356" spans="1:13">
      <c r="A356" s="441"/>
      <c r="B356" s="442"/>
      <c r="C356" s="441"/>
      <c r="D356" s="441"/>
      <c r="E356" s="442"/>
      <c r="F356" s="442"/>
      <c r="G356" s="443"/>
      <c r="H356" s="441"/>
      <c r="I356" s="441"/>
      <c r="J356" s="441"/>
      <c r="K356" s="441"/>
      <c r="L356" s="456">
        <v>0</v>
      </c>
      <c r="M356" s="453"/>
    </row>
    <row r="357" spans="1:13">
      <c r="A357" s="441"/>
      <c r="B357" s="442"/>
      <c r="C357" s="441"/>
      <c r="D357" s="441"/>
      <c r="E357" s="442"/>
      <c r="F357" s="442"/>
      <c r="G357" s="443"/>
      <c r="H357" s="441"/>
      <c r="I357" s="441"/>
      <c r="J357" s="441"/>
      <c r="K357" s="441"/>
      <c r="L357" s="456">
        <v>0</v>
      </c>
      <c r="M357" s="453"/>
    </row>
    <row r="358" spans="1:13">
      <c r="A358" s="441"/>
      <c r="B358" s="442"/>
      <c r="C358" s="441"/>
      <c r="D358" s="441"/>
      <c r="E358" s="442"/>
      <c r="F358" s="442"/>
      <c r="G358" s="443"/>
      <c r="H358" s="441"/>
      <c r="I358" s="441"/>
      <c r="J358" s="441"/>
      <c r="K358" s="441"/>
      <c r="L358" s="456">
        <v>0</v>
      </c>
      <c r="M358" s="453"/>
    </row>
    <row r="359" spans="1:13">
      <c r="A359" s="441"/>
      <c r="B359" s="442"/>
      <c r="C359" s="441"/>
      <c r="D359" s="441"/>
      <c r="E359" s="442"/>
      <c r="F359" s="442"/>
      <c r="G359" s="443"/>
      <c r="H359" s="441"/>
      <c r="I359" s="441"/>
      <c r="J359" s="441"/>
      <c r="K359" s="441"/>
      <c r="L359" s="456">
        <v>0</v>
      </c>
      <c r="M359" s="453"/>
    </row>
    <row r="360" spans="1:13">
      <c r="A360" s="441"/>
      <c r="B360" s="442"/>
      <c r="C360" s="441"/>
      <c r="D360" s="441"/>
      <c r="E360" s="442"/>
      <c r="F360" s="442"/>
      <c r="G360" s="443"/>
      <c r="H360" s="441"/>
      <c r="I360" s="441"/>
      <c r="J360" s="441"/>
      <c r="K360" s="441"/>
      <c r="L360" s="456">
        <v>0</v>
      </c>
      <c r="M360" s="453"/>
    </row>
    <row r="361" spans="1:13">
      <c r="A361" s="441"/>
      <c r="B361" s="442"/>
      <c r="C361" s="441"/>
      <c r="D361" s="441"/>
      <c r="E361" s="442"/>
      <c r="F361" s="442"/>
      <c r="G361" s="443"/>
      <c r="H361" s="441"/>
      <c r="I361" s="441"/>
      <c r="J361" s="441"/>
      <c r="K361" s="441"/>
      <c r="L361" s="456">
        <v>0</v>
      </c>
      <c r="M361" s="453"/>
    </row>
    <row r="362" spans="1:13">
      <c r="A362" s="441"/>
      <c r="B362" s="442"/>
      <c r="C362" s="441"/>
      <c r="D362" s="441"/>
      <c r="E362" s="442"/>
      <c r="F362" s="442"/>
      <c r="G362" s="443"/>
      <c r="H362" s="441"/>
      <c r="I362" s="441"/>
      <c r="J362" s="441"/>
      <c r="K362" s="441"/>
      <c r="L362" s="456">
        <v>0</v>
      </c>
      <c r="M362" s="453"/>
    </row>
    <row r="363" spans="1:13">
      <c r="A363" s="441"/>
      <c r="B363" s="442"/>
      <c r="C363" s="441"/>
      <c r="D363" s="441"/>
      <c r="E363" s="442"/>
      <c r="F363" s="442"/>
      <c r="G363" s="443"/>
      <c r="H363" s="441"/>
      <c r="I363" s="441"/>
      <c r="J363" s="441"/>
      <c r="K363" s="441"/>
      <c r="L363" s="456">
        <v>0</v>
      </c>
      <c r="M363" s="453"/>
    </row>
    <row r="364" spans="1:13">
      <c r="A364" s="441"/>
      <c r="B364" s="442"/>
      <c r="C364" s="441"/>
      <c r="D364" s="441"/>
      <c r="E364" s="442"/>
      <c r="F364" s="442"/>
      <c r="G364" s="443"/>
      <c r="H364" s="441"/>
      <c r="I364" s="441"/>
      <c r="J364" s="441"/>
      <c r="K364" s="441"/>
      <c r="L364" s="456">
        <v>0</v>
      </c>
      <c r="M364" s="453"/>
    </row>
    <row r="365" spans="1:13">
      <c r="A365" s="441"/>
      <c r="B365" s="442"/>
      <c r="C365" s="441"/>
      <c r="D365" s="441"/>
      <c r="E365" s="442"/>
      <c r="F365" s="442"/>
      <c r="G365" s="443"/>
      <c r="H365" s="441"/>
      <c r="I365" s="441"/>
      <c r="J365" s="441"/>
      <c r="K365" s="441"/>
      <c r="L365" s="456">
        <v>0</v>
      </c>
      <c r="M365" s="453"/>
    </row>
    <row r="366" spans="1:13">
      <c r="A366" s="441"/>
      <c r="B366" s="442"/>
      <c r="C366" s="441"/>
      <c r="D366" s="441"/>
      <c r="E366" s="442"/>
      <c r="F366" s="442"/>
      <c r="G366" s="443"/>
      <c r="H366" s="441"/>
      <c r="I366" s="441"/>
      <c r="J366" s="441"/>
      <c r="K366" s="441"/>
      <c r="L366" s="456">
        <v>0</v>
      </c>
      <c r="M366" s="453"/>
    </row>
    <row r="367" spans="1:13">
      <c r="A367" s="441"/>
      <c r="B367" s="442"/>
      <c r="C367" s="441"/>
      <c r="D367" s="441"/>
      <c r="E367" s="442"/>
      <c r="F367" s="442"/>
      <c r="G367" s="443"/>
      <c r="H367" s="441"/>
      <c r="I367" s="441"/>
      <c r="J367" s="441"/>
      <c r="K367" s="441"/>
      <c r="L367" s="456">
        <v>0</v>
      </c>
      <c r="M367" s="453"/>
    </row>
    <row r="368" spans="1:13">
      <c r="A368" s="441"/>
      <c r="B368" s="442"/>
      <c r="C368" s="441"/>
      <c r="D368" s="441"/>
      <c r="E368" s="442"/>
      <c r="F368" s="442"/>
      <c r="G368" s="443"/>
      <c r="H368" s="441"/>
      <c r="I368" s="441"/>
      <c r="J368" s="441"/>
      <c r="K368" s="441"/>
      <c r="L368" s="456">
        <v>0</v>
      </c>
      <c r="M368" s="453"/>
    </row>
    <row r="369" spans="1:13">
      <c r="A369" s="441"/>
      <c r="B369" s="442"/>
      <c r="C369" s="441"/>
      <c r="D369" s="441"/>
      <c r="E369" s="442"/>
      <c r="F369" s="442"/>
      <c r="G369" s="443"/>
      <c r="H369" s="441"/>
      <c r="I369" s="441"/>
      <c r="J369" s="441"/>
      <c r="K369" s="441"/>
      <c r="L369" s="456">
        <v>0</v>
      </c>
      <c r="M369" s="453"/>
    </row>
    <row r="370" spans="1:13">
      <c r="A370" s="441"/>
      <c r="B370" s="442"/>
      <c r="C370" s="441"/>
      <c r="D370" s="441"/>
      <c r="E370" s="442"/>
      <c r="F370" s="442"/>
      <c r="G370" s="443"/>
      <c r="H370" s="441"/>
      <c r="I370" s="441"/>
      <c r="J370" s="441"/>
      <c r="K370" s="441"/>
      <c r="L370" s="456">
        <v>0</v>
      </c>
      <c r="M370" s="453"/>
    </row>
    <row r="371" spans="1:13">
      <c r="A371" s="441"/>
      <c r="B371" s="442"/>
      <c r="C371" s="441"/>
      <c r="D371" s="441"/>
      <c r="E371" s="442"/>
      <c r="F371" s="442"/>
      <c r="G371" s="443"/>
      <c r="H371" s="441"/>
      <c r="I371" s="441"/>
      <c r="J371" s="441"/>
      <c r="K371" s="441"/>
      <c r="L371" s="456">
        <v>0</v>
      </c>
      <c r="M371" s="453"/>
    </row>
    <row r="372" spans="1:13">
      <c r="A372" s="441"/>
      <c r="B372" s="442"/>
      <c r="C372" s="441"/>
      <c r="D372" s="441"/>
      <c r="E372" s="442"/>
      <c r="F372" s="442"/>
      <c r="G372" s="443"/>
      <c r="H372" s="441"/>
      <c r="I372" s="441"/>
      <c r="J372" s="441"/>
      <c r="K372" s="441"/>
      <c r="L372" s="456">
        <v>0</v>
      </c>
      <c r="M372" s="453"/>
    </row>
    <row r="373" spans="1:13">
      <c r="A373" s="441"/>
      <c r="B373" s="442"/>
      <c r="C373" s="441"/>
      <c r="D373" s="441"/>
      <c r="E373" s="442"/>
      <c r="F373" s="442"/>
      <c r="G373" s="443"/>
      <c r="H373" s="441"/>
      <c r="I373" s="441"/>
      <c r="J373" s="441"/>
      <c r="K373" s="441"/>
      <c r="L373" s="456">
        <v>0</v>
      </c>
      <c r="M373" s="453"/>
    </row>
    <row r="374" spans="1:13">
      <c r="A374" s="441"/>
      <c r="B374" s="442"/>
      <c r="C374" s="441"/>
      <c r="D374" s="441"/>
      <c r="E374" s="442"/>
      <c r="F374" s="442"/>
      <c r="G374" s="443"/>
      <c r="H374" s="441"/>
      <c r="I374" s="441"/>
      <c r="J374" s="441"/>
      <c r="K374" s="441"/>
      <c r="L374" s="456">
        <v>0</v>
      </c>
      <c r="M374" s="453"/>
    </row>
    <row r="375" spans="1:13">
      <c r="A375" s="441"/>
      <c r="B375" s="442"/>
      <c r="C375" s="441"/>
      <c r="D375" s="441"/>
      <c r="E375" s="442"/>
      <c r="F375" s="442"/>
      <c r="G375" s="443"/>
      <c r="H375" s="441"/>
      <c r="I375" s="441"/>
      <c r="J375" s="441"/>
      <c r="K375" s="441"/>
      <c r="L375" s="456">
        <v>0</v>
      </c>
      <c r="M375" s="453"/>
    </row>
    <row r="376" spans="1:13">
      <c r="A376" s="441"/>
      <c r="B376" s="442"/>
      <c r="C376" s="441"/>
      <c r="D376" s="441"/>
      <c r="E376" s="442"/>
      <c r="F376" s="442"/>
      <c r="G376" s="443"/>
      <c r="H376" s="441"/>
      <c r="I376" s="441"/>
      <c r="J376" s="441"/>
      <c r="K376" s="441"/>
      <c r="L376" s="456">
        <v>0</v>
      </c>
      <c r="M376" s="453"/>
    </row>
    <row r="377" spans="1:13">
      <c r="A377" s="441"/>
      <c r="B377" s="442"/>
      <c r="C377" s="441"/>
      <c r="D377" s="441"/>
      <c r="E377" s="442"/>
      <c r="F377" s="442"/>
      <c r="G377" s="443"/>
      <c r="H377" s="441"/>
      <c r="I377" s="441"/>
      <c r="J377" s="441"/>
      <c r="K377" s="441"/>
      <c r="L377" s="456">
        <v>0</v>
      </c>
      <c r="M377" s="453"/>
    </row>
    <row r="378" spans="1:13">
      <c r="A378" s="441"/>
      <c r="B378" s="442"/>
      <c r="C378" s="441"/>
      <c r="D378" s="441"/>
      <c r="E378" s="442"/>
      <c r="F378" s="442"/>
      <c r="G378" s="443"/>
      <c r="H378" s="441"/>
      <c r="I378" s="441"/>
      <c r="J378" s="441"/>
      <c r="K378" s="441"/>
      <c r="L378" s="456">
        <v>0</v>
      </c>
      <c r="M378" s="453"/>
    </row>
    <row r="379" spans="1:13">
      <c r="A379" s="441"/>
      <c r="B379" s="442"/>
      <c r="C379" s="441"/>
      <c r="D379" s="441"/>
      <c r="E379" s="442"/>
      <c r="F379" s="442"/>
      <c r="G379" s="443"/>
      <c r="H379" s="441"/>
      <c r="I379" s="441"/>
      <c r="J379" s="441"/>
      <c r="K379" s="441"/>
      <c r="L379" s="456">
        <v>0</v>
      </c>
      <c r="M379" s="453"/>
    </row>
    <row r="380" spans="1:13">
      <c r="A380" s="441"/>
      <c r="B380" s="442"/>
      <c r="C380" s="441"/>
      <c r="D380" s="441"/>
      <c r="E380" s="442"/>
      <c r="F380" s="442"/>
      <c r="G380" s="443"/>
      <c r="H380" s="441"/>
      <c r="I380" s="441"/>
      <c r="J380" s="441"/>
      <c r="K380" s="441"/>
      <c r="L380" s="456">
        <v>0</v>
      </c>
      <c r="M380" s="453"/>
    </row>
    <row r="381" spans="1:13">
      <c r="A381" s="441"/>
      <c r="B381" s="442"/>
      <c r="C381" s="441"/>
      <c r="D381" s="441"/>
      <c r="E381" s="442"/>
      <c r="F381" s="442"/>
      <c r="G381" s="443"/>
      <c r="H381" s="441"/>
      <c r="I381" s="441"/>
      <c r="J381" s="441"/>
      <c r="K381" s="441"/>
      <c r="L381" s="456">
        <v>0</v>
      </c>
      <c r="M381" s="453"/>
    </row>
    <row r="382" spans="1:13">
      <c r="A382" s="441"/>
      <c r="B382" s="442"/>
      <c r="C382" s="441"/>
      <c r="D382" s="441"/>
      <c r="E382" s="442"/>
      <c r="F382" s="442"/>
      <c r="G382" s="443"/>
      <c r="H382" s="441"/>
      <c r="I382" s="441"/>
      <c r="J382" s="441"/>
      <c r="K382" s="441"/>
      <c r="L382" s="456">
        <v>0</v>
      </c>
      <c r="M382" s="453"/>
    </row>
    <row r="383" spans="1:13">
      <c r="A383" s="441"/>
      <c r="B383" s="442"/>
      <c r="C383" s="441"/>
      <c r="D383" s="441"/>
      <c r="E383" s="442"/>
      <c r="F383" s="442"/>
      <c r="G383" s="443"/>
      <c r="H383" s="441"/>
      <c r="I383" s="441"/>
      <c r="J383" s="441"/>
      <c r="K383" s="441"/>
      <c r="L383" s="456">
        <v>0</v>
      </c>
      <c r="M383" s="453"/>
    </row>
    <row r="384" spans="1:13">
      <c r="A384" s="441"/>
      <c r="B384" s="442"/>
      <c r="C384" s="441"/>
      <c r="D384" s="441"/>
      <c r="E384" s="442"/>
      <c r="F384" s="442"/>
      <c r="G384" s="443"/>
      <c r="H384" s="441"/>
      <c r="I384" s="441"/>
      <c r="J384" s="441"/>
      <c r="K384" s="441"/>
      <c r="L384" s="456">
        <v>0</v>
      </c>
      <c r="M384" s="453"/>
    </row>
    <row r="385" spans="1:13">
      <c r="A385" s="441"/>
      <c r="B385" s="442"/>
      <c r="C385" s="441"/>
      <c r="D385" s="441"/>
      <c r="E385" s="442"/>
      <c r="F385" s="442"/>
      <c r="G385" s="443"/>
      <c r="H385" s="441"/>
      <c r="I385" s="441"/>
      <c r="J385" s="441"/>
      <c r="K385" s="441"/>
      <c r="L385" s="456">
        <v>0</v>
      </c>
      <c r="M385" s="453"/>
    </row>
    <row r="386" spans="1:13">
      <c r="A386" s="441"/>
      <c r="B386" s="442"/>
      <c r="C386" s="441"/>
      <c r="D386" s="441"/>
      <c r="E386" s="442"/>
      <c r="F386" s="442"/>
      <c r="G386" s="443"/>
      <c r="H386" s="441"/>
      <c r="I386" s="441"/>
      <c r="J386" s="441"/>
      <c r="K386" s="441"/>
      <c r="L386" s="456">
        <v>0</v>
      </c>
      <c r="M386" s="453"/>
    </row>
    <row r="387" spans="1:13">
      <c r="A387" s="441"/>
      <c r="B387" s="442"/>
      <c r="C387" s="441"/>
      <c r="D387" s="441"/>
      <c r="E387" s="442"/>
      <c r="F387" s="442"/>
      <c r="G387" s="443"/>
      <c r="H387" s="441"/>
      <c r="I387" s="441"/>
      <c r="J387" s="441"/>
      <c r="K387" s="441"/>
      <c r="L387" s="456">
        <v>0</v>
      </c>
      <c r="M387" s="453"/>
    </row>
    <row r="388" spans="1:13">
      <c r="A388" s="441"/>
      <c r="B388" s="442"/>
      <c r="C388" s="441"/>
      <c r="D388" s="441"/>
      <c r="E388" s="442"/>
      <c r="F388" s="442"/>
      <c r="G388" s="443"/>
      <c r="H388" s="441"/>
      <c r="I388" s="441"/>
      <c r="J388" s="441"/>
      <c r="K388" s="441"/>
      <c r="L388" s="456">
        <v>0</v>
      </c>
      <c r="M388" s="453"/>
    </row>
    <row r="389" spans="1:13">
      <c r="A389" s="441"/>
      <c r="B389" s="442"/>
      <c r="C389" s="441"/>
      <c r="D389" s="441"/>
      <c r="E389" s="442"/>
      <c r="F389" s="442"/>
      <c r="G389" s="443"/>
      <c r="H389" s="441"/>
      <c r="I389" s="441"/>
      <c r="J389" s="441"/>
      <c r="K389" s="441"/>
      <c r="L389" s="456">
        <v>0</v>
      </c>
      <c r="M389" s="453"/>
    </row>
    <row r="390" spans="1:13">
      <c r="A390" s="441"/>
      <c r="B390" s="442"/>
      <c r="C390" s="441"/>
      <c r="D390" s="441"/>
      <c r="E390" s="442"/>
      <c r="F390" s="442"/>
      <c r="G390" s="443"/>
      <c r="H390" s="441"/>
      <c r="I390" s="441"/>
      <c r="J390" s="441"/>
      <c r="K390" s="441"/>
      <c r="L390" s="456">
        <v>0</v>
      </c>
      <c r="M390" s="453"/>
    </row>
    <row r="391" spans="1:13">
      <c r="A391" s="441"/>
      <c r="B391" s="442"/>
      <c r="C391" s="441"/>
      <c r="D391" s="441"/>
      <c r="E391" s="442"/>
      <c r="F391" s="442"/>
      <c r="G391" s="443"/>
      <c r="H391" s="441"/>
      <c r="I391" s="441"/>
      <c r="J391" s="441"/>
      <c r="K391" s="441"/>
      <c r="L391" s="456">
        <v>0</v>
      </c>
      <c r="M391" s="453"/>
    </row>
    <row r="392" spans="1:13">
      <c r="A392" s="441"/>
      <c r="B392" s="442"/>
      <c r="C392" s="441"/>
      <c r="D392" s="441"/>
      <c r="E392" s="442"/>
      <c r="F392" s="442"/>
      <c r="G392" s="443"/>
      <c r="H392" s="441"/>
      <c r="I392" s="441"/>
      <c r="J392" s="441"/>
      <c r="K392" s="441"/>
      <c r="L392" s="456">
        <v>0</v>
      </c>
      <c r="M392" s="453"/>
    </row>
    <row r="393" spans="1:13">
      <c r="A393" s="441"/>
      <c r="B393" s="442"/>
      <c r="C393" s="441"/>
      <c r="D393" s="441"/>
      <c r="E393" s="442"/>
      <c r="F393" s="442"/>
      <c r="G393" s="443"/>
      <c r="H393" s="441"/>
      <c r="I393" s="441"/>
      <c r="J393" s="441"/>
      <c r="K393" s="441"/>
      <c r="L393" s="456">
        <v>0</v>
      </c>
      <c r="M393" s="453"/>
    </row>
    <row r="394" spans="1:13">
      <c r="A394" s="441"/>
      <c r="B394" s="442"/>
      <c r="C394" s="441"/>
      <c r="D394" s="441"/>
      <c r="E394" s="442"/>
      <c r="F394" s="442"/>
      <c r="G394" s="443"/>
      <c r="H394" s="441"/>
      <c r="I394" s="441"/>
      <c r="J394" s="441"/>
      <c r="K394" s="441"/>
      <c r="L394" s="456">
        <v>0</v>
      </c>
      <c r="M394" s="453"/>
    </row>
    <row r="395" spans="1:13">
      <c r="A395" s="441"/>
      <c r="B395" s="442"/>
      <c r="C395" s="441"/>
      <c r="D395" s="441"/>
      <c r="E395" s="442"/>
      <c r="F395" s="442"/>
      <c r="G395" s="443"/>
      <c r="H395" s="441"/>
      <c r="I395" s="441"/>
      <c r="J395" s="441"/>
      <c r="K395" s="441"/>
      <c r="L395" s="456">
        <v>0</v>
      </c>
      <c r="M395" s="453"/>
    </row>
    <row r="396" spans="1:13">
      <c r="A396" s="441"/>
      <c r="B396" s="442"/>
      <c r="C396" s="441"/>
      <c r="D396" s="441"/>
      <c r="E396" s="442"/>
      <c r="F396" s="442"/>
      <c r="G396" s="443"/>
      <c r="H396" s="441"/>
      <c r="I396" s="441"/>
      <c r="J396" s="441"/>
      <c r="K396" s="441"/>
      <c r="L396" s="456">
        <v>0</v>
      </c>
      <c r="M396" s="453"/>
    </row>
    <row r="397" spans="1:13">
      <c r="A397" s="441"/>
      <c r="B397" s="442"/>
      <c r="C397" s="441"/>
      <c r="D397" s="441"/>
      <c r="E397" s="442"/>
      <c r="F397" s="442"/>
      <c r="G397" s="443"/>
      <c r="H397" s="441"/>
      <c r="I397" s="441"/>
      <c r="J397" s="441"/>
      <c r="K397" s="441"/>
      <c r="L397" s="456">
        <v>0</v>
      </c>
      <c r="M397" s="453"/>
    </row>
    <row r="398" spans="1:13">
      <c r="A398" s="441"/>
      <c r="B398" s="442"/>
      <c r="C398" s="441"/>
      <c r="D398" s="441"/>
      <c r="E398" s="442"/>
      <c r="F398" s="442"/>
      <c r="G398" s="443"/>
      <c r="H398" s="441"/>
      <c r="I398" s="441"/>
      <c r="J398" s="441"/>
      <c r="K398" s="441"/>
      <c r="L398" s="456">
        <v>0</v>
      </c>
      <c r="M398" s="453"/>
    </row>
    <row r="399" spans="1:13">
      <c r="A399" s="441"/>
      <c r="B399" s="442"/>
      <c r="C399" s="441"/>
      <c r="D399" s="441"/>
      <c r="E399" s="442"/>
      <c r="F399" s="442"/>
      <c r="G399" s="443"/>
      <c r="H399" s="441"/>
      <c r="I399" s="441"/>
      <c r="J399" s="441"/>
      <c r="K399" s="441"/>
      <c r="L399" s="456">
        <v>0</v>
      </c>
      <c r="M399" s="453"/>
    </row>
    <row r="400" spans="1:13">
      <c r="A400" s="441"/>
      <c r="B400" s="442"/>
      <c r="C400" s="441"/>
      <c r="D400" s="441"/>
      <c r="E400" s="442"/>
      <c r="F400" s="442"/>
      <c r="G400" s="443"/>
      <c r="H400" s="441"/>
      <c r="I400" s="441"/>
      <c r="J400" s="441"/>
      <c r="K400" s="441"/>
      <c r="L400" s="456">
        <v>0</v>
      </c>
      <c r="M400" s="453"/>
    </row>
    <row r="401" spans="1:13">
      <c r="A401" s="441"/>
      <c r="B401" s="442"/>
      <c r="C401" s="441"/>
      <c r="D401" s="441"/>
      <c r="E401" s="442"/>
      <c r="F401" s="442"/>
      <c r="G401" s="443"/>
      <c r="H401" s="441"/>
      <c r="I401" s="441"/>
      <c r="J401" s="441"/>
      <c r="K401" s="441"/>
      <c r="L401" s="456">
        <v>0</v>
      </c>
      <c r="M401" s="453"/>
    </row>
    <row r="402" spans="1:13">
      <c r="A402" s="441"/>
      <c r="B402" s="442"/>
      <c r="C402" s="441"/>
      <c r="D402" s="441"/>
      <c r="E402" s="442"/>
      <c r="F402" s="442"/>
      <c r="G402" s="443"/>
      <c r="H402" s="441"/>
      <c r="I402" s="441"/>
      <c r="J402" s="441"/>
      <c r="K402" s="441"/>
      <c r="L402" s="456">
        <v>0</v>
      </c>
      <c r="M402" s="453"/>
    </row>
    <row r="403" spans="1:13">
      <c r="A403" s="441"/>
      <c r="B403" s="442"/>
      <c r="C403" s="441"/>
      <c r="D403" s="441"/>
      <c r="E403" s="442"/>
      <c r="F403" s="442"/>
      <c r="G403" s="443"/>
      <c r="H403" s="441"/>
      <c r="I403" s="441"/>
      <c r="J403" s="441"/>
      <c r="K403" s="441"/>
      <c r="L403" s="456">
        <v>0</v>
      </c>
      <c r="M403" s="453"/>
    </row>
    <row r="404" spans="1:13">
      <c r="A404" s="441"/>
      <c r="B404" s="442"/>
      <c r="C404" s="441"/>
      <c r="D404" s="441"/>
      <c r="E404" s="442"/>
      <c r="F404" s="442"/>
      <c r="G404" s="443"/>
      <c r="H404" s="441"/>
      <c r="I404" s="441"/>
      <c r="J404" s="441"/>
      <c r="K404" s="441"/>
      <c r="L404" s="456">
        <v>0</v>
      </c>
      <c r="M404" s="453"/>
    </row>
    <row r="405" spans="1:13">
      <c r="A405" s="441"/>
      <c r="B405" s="442"/>
      <c r="C405" s="441"/>
      <c r="D405" s="441"/>
      <c r="E405" s="442"/>
      <c r="F405" s="442"/>
      <c r="G405" s="443"/>
      <c r="H405" s="441"/>
      <c r="I405" s="441"/>
      <c r="J405" s="441"/>
      <c r="K405" s="441"/>
      <c r="L405" s="456">
        <v>0</v>
      </c>
      <c r="M405" s="453"/>
    </row>
    <row r="406" spans="1:13">
      <c r="A406" s="441"/>
      <c r="B406" s="442"/>
      <c r="C406" s="441"/>
      <c r="D406" s="441"/>
      <c r="E406" s="442"/>
      <c r="F406" s="442"/>
      <c r="G406" s="443"/>
      <c r="H406" s="441"/>
      <c r="I406" s="441"/>
      <c r="J406" s="441"/>
      <c r="K406" s="441"/>
      <c r="L406" s="456">
        <v>0</v>
      </c>
      <c r="M406" s="453"/>
    </row>
    <row r="407" spans="1:13">
      <c r="A407" s="441"/>
      <c r="B407" s="442"/>
      <c r="C407" s="441"/>
      <c r="D407" s="441"/>
      <c r="E407" s="442"/>
      <c r="F407" s="442"/>
      <c r="G407" s="443"/>
      <c r="H407" s="441"/>
      <c r="I407" s="441"/>
      <c r="J407" s="441"/>
      <c r="K407" s="441"/>
      <c r="L407" s="456">
        <v>0</v>
      </c>
      <c r="M407" s="453"/>
    </row>
    <row r="408" spans="1:13">
      <c r="A408" s="441"/>
      <c r="B408" s="442"/>
      <c r="C408" s="441"/>
      <c r="D408" s="441"/>
      <c r="E408" s="442"/>
      <c r="F408" s="442"/>
      <c r="G408" s="443"/>
      <c r="H408" s="441"/>
      <c r="I408" s="441"/>
      <c r="J408" s="441"/>
      <c r="K408" s="441"/>
      <c r="L408" s="456">
        <v>0</v>
      </c>
      <c r="M408" s="453"/>
    </row>
    <row r="409" spans="1:13">
      <c r="A409" s="441"/>
      <c r="B409" s="442"/>
      <c r="C409" s="441"/>
      <c r="D409" s="441"/>
      <c r="E409" s="442"/>
      <c r="F409" s="442"/>
      <c r="G409" s="443"/>
      <c r="H409" s="441"/>
      <c r="I409" s="441"/>
      <c r="J409" s="441"/>
      <c r="K409" s="441"/>
      <c r="L409" s="456">
        <v>0</v>
      </c>
      <c r="M409" s="453"/>
    </row>
    <row r="410" spans="1:13">
      <c r="A410" s="441"/>
      <c r="B410" s="442"/>
      <c r="C410" s="441"/>
      <c r="D410" s="441"/>
      <c r="E410" s="442"/>
      <c r="F410" s="442"/>
      <c r="G410" s="443"/>
      <c r="H410" s="441"/>
      <c r="I410" s="441"/>
      <c r="J410" s="441"/>
      <c r="K410" s="441"/>
      <c r="L410" s="456">
        <v>0</v>
      </c>
      <c r="M410" s="453"/>
    </row>
    <row r="411" spans="1:13">
      <c r="A411" s="441"/>
      <c r="B411" s="442"/>
      <c r="C411" s="441"/>
      <c r="D411" s="441"/>
      <c r="E411" s="442"/>
      <c r="F411" s="442"/>
      <c r="G411" s="443"/>
      <c r="H411" s="441"/>
      <c r="I411" s="441"/>
      <c r="J411" s="441"/>
      <c r="K411" s="441"/>
      <c r="L411" s="456">
        <v>0</v>
      </c>
      <c r="M411" s="453"/>
    </row>
    <row r="412" spans="1:13">
      <c r="A412" s="441"/>
      <c r="B412" s="442"/>
      <c r="C412" s="441"/>
      <c r="D412" s="441"/>
      <c r="E412" s="442"/>
      <c r="F412" s="442"/>
      <c r="G412" s="443"/>
      <c r="H412" s="441"/>
      <c r="I412" s="441"/>
      <c r="J412" s="441"/>
      <c r="K412" s="441"/>
      <c r="L412" s="456">
        <v>0</v>
      </c>
      <c r="M412" s="453"/>
    </row>
    <row r="413" spans="1:13">
      <c r="A413" s="441"/>
      <c r="B413" s="442"/>
      <c r="C413" s="441"/>
      <c r="D413" s="441"/>
      <c r="E413" s="442"/>
      <c r="F413" s="442"/>
      <c r="G413" s="443"/>
      <c r="H413" s="441"/>
      <c r="I413" s="441"/>
      <c r="J413" s="441"/>
      <c r="K413" s="441"/>
      <c r="L413" s="456">
        <v>0</v>
      </c>
      <c r="M413" s="453"/>
    </row>
    <row r="414" spans="1:13">
      <c r="A414" s="441"/>
      <c r="B414" s="442"/>
      <c r="C414" s="441"/>
      <c r="D414" s="441"/>
      <c r="E414" s="442"/>
      <c r="F414" s="442"/>
      <c r="G414" s="443"/>
      <c r="H414" s="441"/>
      <c r="I414" s="441"/>
      <c r="J414" s="441"/>
      <c r="K414" s="441"/>
      <c r="L414" s="456">
        <v>0</v>
      </c>
      <c r="M414" s="453"/>
    </row>
    <row r="415" spans="1:13">
      <c r="A415" s="441"/>
      <c r="B415" s="442"/>
      <c r="C415" s="441"/>
      <c r="D415" s="441"/>
      <c r="E415" s="442"/>
      <c r="F415" s="442"/>
      <c r="G415" s="443"/>
      <c r="H415" s="441"/>
      <c r="I415" s="441"/>
      <c r="J415" s="441"/>
      <c r="K415" s="441"/>
      <c r="L415" s="456">
        <v>0</v>
      </c>
      <c r="M415" s="453"/>
    </row>
    <row r="416" spans="1:13">
      <c r="A416" s="441"/>
      <c r="B416" s="442"/>
      <c r="C416" s="441"/>
      <c r="D416" s="441"/>
      <c r="E416" s="442"/>
      <c r="F416" s="442"/>
      <c r="G416" s="443"/>
      <c r="H416" s="441"/>
      <c r="I416" s="441"/>
      <c r="J416" s="441"/>
      <c r="K416" s="441"/>
      <c r="L416" s="456">
        <v>0</v>
      </c>
      <c r="M416" s="453"/>
    </row>
    <row r="417" spans="1:13">
      <c r="A417" s="441"/>
      <c r="B417" s="442"/>
      <c r="C417" s="441"/>
      <c r="D417" s="441"/>
      <c r="E417" s="442"/>
      <c r="F417" s="442"/>
      <c r="G417" s="443"/>
      <c r="H417" s="441"/>
      <c r="I417" s="441"/>
      <c r="J417" s="441"/>
      <c r="K417" s="441"/>
      <c r="L417" s="456">
        <v>0</v>
      </c>
      <c r="M417" s="453"/>
    </row>
    <row r="418" spans="1:13">
      <c r="A418" s="441"/>
      <c r="B418" s="442"/>
      <c r="C418" s="441"/>
      <c r="D418" s="441"/>
      <c r="E418" s="442"/>
      <c r="F418" s="442"/>
      <c r="G418" s="443"/>
      <c r="H418" s="441"/>
      <c r="I418" s="441"/>
      <c r="J418" s="441"/>
      <c r="K418" s="441"/>
      <c r="L418" s="456">
        <v>0</v>
      </c>
      <c r="M418" s="453"/>
    </row>
    <row r="419" spans="1:13">
      <c r="A419" s="441"/>
      <c r="B419" s="442"/>
      <c r="C419" s="441"/>
      <c r="D419" s="441"/>
      <c r="E419" s="442"/>
      <c r="F419" s="442"/>
      <c r="G419" s="443"/>
      <c r="H419" s="441"/>
      <c r="I419" s="441"/>
      <c r="J419" s="441"/>
      <c r="K419" s="441"/>
      <c r="L419" s="456">
        <v>0</v>
      </c>
      <c r="M419" s="453"/>
    </row>
    <row r="420" spans="1:13">
      <c r="A420" s="441"/>
      <c r="B420" s="442"/>
      <c r="C420" s="441"/>
      <c r="D420" s="441"/>
      <c r="E420" s="442"/>
      <c r="F420" s="442"/>
      <c r="G420" s="443"/>
      <c r="H420" s="441"/>
      <c r="I420" s="441"/>
      <c r="J420" s="441"/>
      <c r="K420" s="441"/>
      <c r="L420" s="456">
        <v>0</v>
      </c>
      <c r="M420" s="453"/>
    </row>
    <row r="421" spans="1:13">
      <c r="A421" s="441"/>
      <c r="B421" s="442"/>
      <c r="C421" s="441"/>
      <c r="D421" s="441"/>
      <c r="E421" s="442"/>
      <c r="F421" s="442"/>
      <c r="G421" s="443"/>
      <c r="H421" s="441"/>
      <c r="I421" s="441"/>
      <c r="J421" s="441"/>
      <c r="K421" s="441"/>
      <c r="L421" s="456">
        <v>0</v>
      </c>
      <c r="M421" s="453"/>
    </row>
    <row r="422" spans="1:13">
      <c r="A422" s="441"/>
      <c r="B422" s="442"/>
      <c r="C422" s="441"/>
      <c r="D422" s="441"/>
      <c r="E422" s="442"/>
      <c r="F422" s="442"/>
      <c r="G422" s="443"/>
      <c r="H422" s="441"/>
      <c r="I422" s="441"/>
      <c r="J422" s="441"/>
      <c r="K422" s="441"/>
      <c r="L422" s="456">
        <v>0</v>
      </c>
      <c r="M422" s="453"/>
    </row>
    <row r="423" spans="1:13">
      <c r="A423" s="441"/>
      <c r="B423" s="442"/>
      <c r="C423" s="441"/>
      <c r="D423" s="441"/>
      <c r="E423" s="442"/>
      <c r="F423" s="442"/>
      <c r="G423" s="443"/>
      <c r="H423" s="441"/>
      <c r="I423" s="441"/>
      <c r="J423" s="441"/>
      <c r="K423" s="441"/>
      <c r="L423" s="456">
        <v>0</v>
      </c>
      <c r="M423" s="453"/>
    </row>
    <row r="424" spans="1:13">
      <c r="A424" s="441"/>
      <c r="B424" s="442"/>
      <c r="C424" s="441"/>
      <c r="D424" s="441"/>
      <c r="E424" s="442"/>
      <c r="F424" s="442"/>
      <c r="G424" s="443"/>
      <c r="H424" s="441"/>
      <c r="I424" s="441"/>
      <c r="J424" s="441"/>
      <c r="K424" s="441"/>
      <c r="L424" s="456">
        <v>0</v>
      </c>
      <c r="M424" s="453"/>
    </row>
    <row r="425" spans="1:13">
      <c r="A425" s="441"/>
      <c r="B425" s="442"/>
      <c r="C425" s="441"/>
      <c r="D425" s="441"/>
      <c r="E425" s="442"/>
      <c r="F425" s="442"/>
      <c r="G425" s="443"/>
      <c r="H425" s="441"/>
      <c r="I425" s="441"/>
      <c r="J425" s="441"/>
      <c r="K425" s="441"/>
      <c r="L425" s="456">
        <v>0</v>
      </c>
      <c r="M425" s="453"/>
    </row>
    <row r="426" spans="1:13">
      <c r="A426" s="441"/>
      <c r="B426" s="442"/>
      <c r="C426" s="441"/>
      <c r="D426" s="441"/>
      <c r="E426" s="442"/>
      <c r="F426" s="442"/>
      <c r="G426" s="443"/>
      <c r="H426" s="441"/>
      <c r="I426" s="441"/>
      <c r="J426" s="441"/>
      <c r="K426" s="441"/>
      <c r="L426" s="456">
        <v>0</v>
      </c>
      <c r="M426" s="453"/>
    </row>
    <row r="427" spans="1:13">
      <c r="A427" s="441"/>
      <c r="B427" s="442"/>
      <c r="C427" s="441"/>
      <c r="D427" s="441"/>
      <c r="E427" s="442"/>
      <c r="F427" s="442"/>
      <c r="G427" s="443"/>
      <c r="H427" s="441"/>
      <c r="I427" s="441"/>
      <c r="J427" s="441"/>
      <c r="K427" s="441"/>
      <c r="L427" s="456">
        <v>0</v>
      </c>
      <c r="M427" s="453"/>
    </row>
    <row r="428" spans="1:13">
      <c r="A428" s="441"/>
      <c r="B428" s="442"/>
      <c r="C428" s="441"/>
      <c r="D428" s="441"/>
      <c r="E428" s="442"/>
      <c r="F428" s="442"/>
      <c r="G428" s="443"/>
      <c r="H428" s="441"/>
      <c r="I428" s="441"/>
      <c r="J428" s="441"/>
      <c r="K428" s="441"/>
      <c r="L428" s="456">
        <v>0</v>
      </c>
      <c r="M428" s="453"/>
    </row>
    <row r="429" spans="1:13">
      <c r="A429" s="441"/>
      <c r="B429" s="442"/>
      <c r="C429" s="441"/>
      <c r="D429" s="441"/>
      <c r="E429" s="442"/>
      <c r="F429" s="442"/>
      <c r="G429" s="443"/>
      <c r="H429" s="441"/>
      <c r="I429" s="441"/>
      <c r="J429" s="441"/>
      <c r="K429" s="441"/>
      <c r="L429" s="456">
        <v>0</v>
      </c>
      <c r="M429" s="453"/>
    </row>
    <row r="430" spans="1:13">
      <c r="A430" s="441"/>
      <c r="B430" s="442"/>
      <c r="C430" s="441"/>
      <c r="D430" s="441"/>
      <c r="E430" s="442"/>
      <c r="F430" s="442"/>
      <c r="G430" s="443"/>
      <c r="H430" s="441"/>
      <c r="I430" s="441"/>
      <c r="J430" s="441"/>
      <c r="K430" s="441"/>
      <c r="L430" s="456">
        <v>0</v>
      </c>
      <c r="M430" s="453"/>
    </row>
    <row r="431" spans="1:13">
      <c r="A431" s="441"/>
      <c r="B431" s="442"/>
      <c r="C431" s="441"/>
      <c r="D431" s="441"/>
      <c r="E431" s="442"/>
      <c r="F431" s="442"/>
      <c r="G431" s="443"/>
      <c r="H431" s="441"/>
      <c r="I431" s="441"/>
      <c r="J431" s="441"/>
      <c r="K431" s="441"/>
      <c r="L431" s="456">
        <v>0</v>
      </c>
      <c r="M431" s="453"/>
    </row>
    <row r="432" spans="1:13">
      <c r="A432" s="441"/>
      <c r="B432" s="442"/>
      <c r="C432" s="441"/>
      <c r="D432" s="441"/>
      <c r="E432" s="442"/>
      <c r="F432" s="442"/>
      <c r="G432" s="443"/>
      <c r="H432" s="441"/>
      <c r="I432" s="441"/>
      <c r="J432" s="441"/>
      <c r="K432" s="441"/>
      <c r="L432" s="456">
        <v>0</v>
      </c>
      <c r="M432" s="453"/>
    </row>
    <row r="433" spans="1:13">
      <c r="A433" s="441"/>
      <c r="B433" s="442"/>
      <c r="C433" s="441"/>
      <c r="D433" s="441"/>
      <c r="E433" s="442"/>
      <c r="F433" s="442"/>
      <c r="G433" s="443"/>
      <c r="H433" s="441"/>
      <c r="I433" s="441"/>
      <c r="J433" s="441"/>
      <c r="K433" s="441"/>
      <c r="L433" s="456">
        <v>0</v>
      </c>
      <c r="M433" s="453"/>
    </row>
    <row r="434" spans="1:13">
      <c r="A434" s="441"/>
      <c r="B434" s="442"/>
      <c r="C434" s="441"/>
      <c r="D434" s="441"/>
      <c r="E434" s="442"/>
      <c r="F434" s="442"/>
      <c r="G434" s="443"/>
      <c r="H434" s="441"/>
      <c r="I434" s="441"/>
      <c r="J434" s="441"/>
      <c r="K434" s="441"/>
      <c r="L434" s="456">
        <v>0</v>
      </c>
      <c r="M434" s="453"/>
    </row>
    <row r="435" spans="1:13">
      <c r="A435" s="441"/>
      <c r="B435" s="442"/>
      <c r="C435" s="441"/>
      <c r="D435" s="441"/>
      <c r="E435" s="442"/>
      <c r="F435" s="442"/>
      <c r="G435" s="443"/>
      <c r="H435" s="441"/>
      <c r="I435" s="441"/>
      <c r="J435" s="441"/>
      <c r="K435" s="441"/>
      <c r="L435" s="456">
        <v>0</v>
      </c>
      <c r="M435" s="453"/>
    </row>
    <row r="436" spans="1:13">
      <c r="A436" s="441"/>
      <c r="B436" s="442"/>
      <c r="C436" s="441"/>
      <c r="D436" s="441"/>
      <c r="E436" s="442"/>
      <c r="F436" s="442"/>
      <c r="G436" s="443"/>
      <c r="H436" s="441"/>
      <c r="I436" s="441"/>
      <c r="J436" s="441"/>
      <c r="K436" s="441"/>
      <c r="L436" s="456">
        <v>0</v>
      </c>
      <c r="M436" s="453"/>
    </row>
    <row r="437" spans="1:13">
      <c r="A437" s="441"/>
      <c r="B437" s="442"/>
      <c r="C437" s="441"/>
      <c r="D437" s="441"/>
      <c r="E437" s="442"/>
      <c r="F437" s="442"/>
      <c r="G437" s="443"/>
      <c r="H437" s="441"/>
      <c r="I437" s="441"/>
      <c r="J437" s="441"/>
      <c r="K437" s="441"/>
      <c r="L437" s="456">
        <v>0</v>
      </c>
      <c r="M437" s="453"/>
    </row>
    <row r="438" spans="1:13">
      <c r="A438" s="441"/>
      <c r="B438" s="442"/>
      <c r="C438" s="441"/>
      <c r="D438" s="441"/>
      <c r="E438" s="442"/>
      <c r="F438" s="442"/>
      <c r="G438" s="443"/>
      <c r="H438" s="441"/>
      <c r="I438" s="441"/>
      <c r="J438" s="441"/>
      <c r="K438" s="441"/>
      <c r="L438" s="456">
        <v>0</v>
      </c>
      <c r="M438" s="453"/>
    </row>
    <row r="439" spans="1:13">
      <c r="A439" s="441"/>
      <c r="B439" s="442"/>
      <c r="C439" s="441"/>
      <c r="D439" s="441"/>
      <c r="E439" s="442"/>
      <c r="F439" s="442"/>
      <c r="G439" s="443"/>
      <c r="H439" s="441"/>
      <c r="I439" s="441"/>
      <c r="J439" s="441"/>
      <c r="K439" s="441"/>
      <c r="L439" s="456">
        <v>0</v>
      </c>
      <c r="M439" s="453"/>
    </row>
    <row r="440" spans="1:13">
      <c r="A440" s="441"/>
      <c r="B440" s="442"/>
      <c r="C440" s="441"/>
      <c r="D440" s="441"/>
      <c r="E440" s="442"/>
      <c r="F440" s="442"/>
      <c r="G440" s="443"/>
      <c r="H440" s="441"/>
      <c r="I440" s="441"/>
      <c r="J440" s="441"/>
      <c r="K440" s="441"/>
      <c r="L440" s="456">
        <v>0</v>
      </c>
      <c r="M440" s="453"/>
    </row>
    <row r="441" spans="1:13">
      <c r="A441" s="441"/>
      <c r="B441" s="442"/>
      <c r="C441" s="441"/>
      <c r="D441" s="441"/>
      <c r="E441" s="442"/>
      <c r="F441" s="442"/>
      <c r="G441" s="443"/>
      <c r="H441" s="441"/>
      <c r="I441" s="441"/>
      <c r="J441" s="441"/>
      <c r="K441" s="441"/>
      <c r="L441" s="456">
        <v>0</v>
      </c>
      <c r="M441" s="453"/>
    </row>
    <row r="442" spans="1:13">
      <c r="A442" s="441"/>
      <c r="B442" s="442"/>
      <c r="C442" s="441"/>
      <c r="D442" s="441"/>
      <c r="E442" s="442"/>
      <c r="F442" s="442"/>
      <c r="G442" s="443"/>
      <c r="H442" s="441"/>
      <c r="I442" s="441"/>
      <c r="J442" s="441"/>
      <c r="K442" s="441"/>
      <c r="L442" s="456">
        <v>0</v>
      </c>
      <c r="M442" s="453"/>
    </row>
    <row r="443" spans="1:13">
      <c r="A443" s="441"/>
      <c r="B443" s="442"/>
      <c r="C443" s="441"/>
      <c r="D443" s="441"/>
      <c r="E443" s="442"/>
      <c r="F443" s="442"/>
      <c r="G443" s="443"/>
      <c r="H443" s="441"/>
      <c r="I443" s="441"/>
      <c r="J443" s="441"/>
      <c r="K443" s="441"/>
      <c r="L443" s="456">
        <v>0</v>
      </c>
      <c r="M443" s="453"/>
    </row>
    <row r="444" spans="1:13">
      <c r="A444" s="441"/>
      <c r="B444" s="442"/>
      <c r="C444" s="441"/>
      <c r="D444" s="441"/>
      <c r="E444" s="442"/>
      <c r="F444" s="442"/>
      <c r="G444" s="443"/>
      <c r="H444" s="441"/>
      <c r="I444" s="441"/>
      <c r="J444" s="441"/>
      <c r="K444" s="441"/>
      <c r="L444" s="456">
        <v>0</v>
      </c>
      <c r="M444" s="453"/>
    </row>
    <row r="445" spans="1:13">
      <c r="A445" s="441"/>
      <c r="B445" s="442"/>
      <c r="C445" s="441"/>
      <c r="D445" s="441"/>
      <c r="E445" s="442"/>
      <c r="F445" s="442"/>
      <c r="G445" s="443"/>
      <c r="H445" s="441"/>
      <c r="I445" s="441"/>
      <c r="J445" s="441"/>
      <c r="K445" s="441"/>
      <c r="L445" s="456">
        <v>0</v>
      </c>
      <c r="M445" s="453"/>
    </row>
    <row r="446" spans="1:13">
      <c r="A446" s="441"/>
      <c r="B446" s="442"/>
      <c r="C446" s="441"/>
      <c r="D446" s="441"/>
      <c r="E446" s="442"/>
      <c r="F446" s="442"/>
      <c r="G446" s="443"/>
      <c r="H446" s="441"/>
      <c r="I446" s="441"/>
      <c r="J446" s="441"/>
      <c r="K446" s="441"/>
      <c r="L446" s="456">
        <v>0</v>
      </c>
      <c r="M446" s="453"/>
    </row>
    <row r="447" spans="1:13">
      <c r="A447" s="441"/>
      <c r="B447" s="442"/>
      <c r="C447" s="441"/>
      <c r="D447" s="441"/>
      <c r="E447" s="442"/>
      <c r="F447" s="442"/>
      <c r="G447" s="443"/>
      <c r="H447" s="441"/>
      <c r="I447" s="441"/>
      <c r="J447" s="441"/>
      <c r="K447" s="441"/>
      <c r="L447" s="456">
        <v>0</v>
      </c>
      <c r="M447" s="453"/>
    </row>
    <row r="448" spans="1:13">
      <c r="A448" s="441"/>
      <c r="B448" s="442"/>
      <c r="C448" s="441"/>
      <c r="D448" s="441"/>
      <c r="E448" s="442"/>
      <c r="F448" s="442"/>
      <c r="G448" s="443"/>
      <c r="H448" s="441"/>
      <c r="I448" s="441"/>
      <c r="J448" s="441"/>
      <c r="K448" s="441"/>
      <c r="L448" s="456">
        <v>0</v>
      </c>
      <c r="M448" s="453"/>
    </row>
    <row r="449" spans="1:13">
      <c r="A449" s="441"/>
      <c r="B449" s="442"/>
      <c r="C449" s="441"/>
      <c r="D449" s="441"/>
      <c r="E449" s="442"/>
      <c r="F449" s="442"/>
      <c r="G449" s="443"/>
      <c r="H449" s="441"/>
      <c r="I449" s="441"/>
      <c r="J449" s="441"/>
      <c r="K449" s="441"/>
      <c r="L449" s="456">
        <v>0</v>
      </c>
      <c r="M449" s="453"/>
    </row>
    <row r="450" spans="1:13">
      <c r="A450" s="441"/>
      <c r="B450" s="442"/>
      <c r="C450" s="441"/>
      <c r="D450" s="441"/>
      <c r="E450" s="442"/>
      <c r="F450" s="442"/>
      <c r="G450" s="443"/>
      <c r="H450" s="441"/>
      <c r="I450" s="441"/>
      <c r="J450" s="441"/>
      <c r="K450" s="441"/>
      <c r="L450" s="456">
        <v>0</v>
      </c>
      <c r="M450" s="453"/>
    </row>
    <row r="451" spans="1:13">
      <c r="A451" s="441"/>
      <c r="B451" s="442"/>
      <c r="C451" s="441"/>
      <c r="D451" s="441"/>
      <c r="E451" s="442"/>
      <c r="F451" s="442"/>
      <c r="G451" s="443"/>
      <c r="H451" s="441"/>
      <c r="I451" s="441"/>
      <c r="J451" s="441"/>
      <c r="K451" s="441"/>
      <c r="L451" s="456">
        <v>0</v>
      </c>
      <c r="M451" s="453"/>
    </row>
    <row r="452" spans="1:13">
      <c r="A452" s="441"/>
      <c r="B452" s="442"/>
      <c r="C452" s="441"/>
      <c r="D452" s="441"/>
      <c r="E452" s="442"/>
      <c r="F452" s="442"/>
      <c r="G452" s="443"/>
      <c r="H452" s="441"/>
      <c r="I452" s="441"/>
      <c r="J452" s="441"/>
      <c r="K452" s="441"/>
      <c r="L452" s="456">
        <v>0</v>
      </c>
      <c r="M452" s="453"/>
    </row>
    <row r="453" spans="1:13">
      <c r="A453" s="441"/>
      <c r="B453" s="442"/>
      <c r="C453" s="441"/>
      <c r="D453" s="441"/>
      <c r="E453" s="442"/>
      <c r="F453" s="442"/>
      <c r="G453" s="443"/>
      <c r="H453" s="441"/>
      <c r="I453" s="441"/>
      <c r="J453" s="441"/>
      <c r="K453" s="441"/>
      <c r="L453" s="456">
        <v>0</v>
      </c>
      <c r="M453" s="453"/>
    </row>
    <row r="454" spans="1:13">
      <c r="A454" s="441"/>
      <c r="B454" s="442"/>
      <c r="C454" s="441"/>
      <c r="D454" s="441"/>
      <c r="E454" s="442"/>
      <c r="F454" s="442"/>
      <c r="G454" s="443"/>
      <c r="H454" s="441"/>
      <c r="I454" s="441"/>
      <c r="J454" s="441"/>
      <c r="K454" s="441"/>
      <c r="L454" s="456">
        <v>0</v>
      </c>
      <c r="M454" s="453"/>
    </row>
    <row r="455" spans="1:13">
      <c r="A455" s="441"/>
      <c r="B455" s="442"/>
      <c r="C455" s="441"/>
      <c r="D455" s="441"/>
      <c r="E455" s="442"/>
      <c r="F455" s="442"/>
      <c r="G455" s="443"/>
      <c r="H455" s="441"/>
      <c r="I455" s="441"/>
      <c r="J455" s="441"/>
      <c r="K455" s="441"/>
      <c r="L455" s="456">
        <v>0</v>
      </c>
      <c r="M455" s="453"/>
    </row>
    <row r="456" spans="1:13">
      <c r="A456" s="441"/>
      <c r="B456" s="442"/>
      <c r="C456" s="441"/>
      <c r="D456" s="441"/>
      <c r="E456" s="442"/>
      <c r="F456" s="442"/>
      <c r="G456" s="443"/>
      <c r="H456" s="441"/>
      <c r="I456" s="441"/>
      <c r="J456" s="441"/>
      <c r="K456" s="441"/>
      <c r="L456" s="456">
        <v>0</v>
      </c>
      <c r="M456" s="453"/>
    </row>
    <row r="457" spans="1:13">
      <c r="A457" s="441"/>
      <c r="B457" s="442"/>
      <c r="C457" s="441"/>
      <c r="D457" s="441"/>
      <c r="E457" s="442"/>
      <c r="F457" s="442"/>
      <c r="G457" s="443"/>
      <c r="H457" s="441"/>
      <c r="I457" s="441"/>
      <c r="J457" s="441"/>
      <c r="K457" s="441"/>
      <c r="L457" s="456">
        <v>0</v>
      </c>
      <c r="M457" s="453"/>
    </row>
    <row r="458" spans="1:13">
      <c r="A458" s="441"/>
      <c r="B458" s="442"/>
      <c r="C458" s="441"/>
      <c r="D458" s="441"/>
      <c r="E458" s="442"/>
      <c r="F458" s="442"/>
      <c r="G458" s="443"/>
      <c r="H458" s="441"/>
      <c r="I458" s="441"/>
      <c r="J458" s="441"/>
      <c r="K458" s="441"/>
      <c r="L458" s="456">
        <v>0</v>
      </c>
      <c r="M458" s="453"/>
    </row>
    <row r="459" spans="1:13">
      <c r="A459" s="441"/>
      <c r="B459" s="442"/>
      <c r="C459" s="441"/>
      <c r="D459" s="441"/>
      <c r="E459" s="442"/>
      <c r="F459" s="442"/>
      <c r="G459" s="443"/>
      <c r="H459" s="441"/>
      <c r="I459" s="441"/>
      <c r="J459" s="441"/>
      <c r="K459" s="441"/>
      <c r="L459" s="456">
        <v>0</v>
      </c>
      <c r="M459" s="453"/>
    </row>
    <row r="460" spans="1:13">
      <c r="A460" s="441"/>
      <c r="B460" s="442"/>
      <c r="C460" s="441"/>
      <c r="D460" s="441"/>
      <c r="E460" s="442"/>
      <c r="F460" s="442"/>
      <c r="G460" s="443"/>
      <c r="H460" s="441"/>
      <c r="I460" s="441"/>
      <c r="J460" s="441"/>
      <c r="K460" s="441"/>
      <c r="L460" s="456">
        <v>0</v>
      </c>
      <c r="M460" s="453"/>
    </row>
    <row r="461" spans="1:13">
      <c r="A461" s="441"/>
      <c r="B461" s="442"/>
      <c r="C461" s="441"/>
      <c r="D461" s="441"/>
      <c r="E461" s="442"/>
      <c r="F461" s="442"/>
      <c r="G461" s="443"/>
      <c r="H461" s="441"/>
      <c r="I461" s="441"/>
      <c r="J461" s="441"/>
      <c r="K461" s="441"/>
      <c r="L461" s="456">
        <v>0</v>
      </c>
      <c r="M461" s="453"/>
    </row>
    <row r="462" spans="1:13">
      <c r="A462" s="441"/>
      <c r="B462" s="442"/>
      <c r="C462" s="441"/>
      <c r="D462" s="441"/>
      <c r="E462" s="442"/>
      <c r="F462" s="442"/>
      <c r="G462" s="443"/>
      <c r="H462" s="441"/>
      <c r="I462" s="441"/>
      <c r="J462" s="441"/>
      <c r="K462" s="441"/>
      <c r="L462" s="456">
        <v>0</v>
      </c>
      <c r="M462" s="453"/>
    </row>
    <row r="463" spans="1:13">
      <c r="A463" s="441"/>
      <c r="B463" s="442"/>
      <c r="C463" s="441"/>
      <c r="D463" s="441"/>
      <c r="E463" s="442"/>
      <c r="F463" s="442"/>
      <c r="G463" s="443"/>
      <c r="H463" s="441"/>
      <c r="I463" s="441"/>
      <c r="J463" s="441"/>
      <c r="K463" s="441"/>
      <c r="L463" s="456">
        <v>0</v>
      </c>
      <c r="M463" s="453"/>
    </row>
    <row r="464" spans="1:13">
      <c r="A464" s="441"/>
      <c r="B464" s="442"/>
      <c r="C464" s="441"/>
      <c r="D464" s="441"/>
      <c r="E464" s="442"/>
      <c r="F464" s="442"/>
      <c r="G464" s="443"/>
      <c r="H464" s="441"/>
      <c r="I464" s="441"/>
      <c r="J464" s="441"/>
      <c r="K464" s="441"/>
      <c r="L464" s="456">
        <v>0</v>
      </c>
      <c r="M464" s="453"/>
    </row>
    <row r="465" spans="1:13">
      <c r="A465" s="441"/>
      <c r="B465" s="442"/>
      <c r="C465" s="441"/>
      <c r="D465" s="441"/>
      <c r="E465" s="442"/>
      <c r="F465" s="442"/>
      <c r="G465" s="443"/>
      <c r="H465" s="441"/>
      <c r="I465" s="441"/>
      <c r="J465" s="441"/>
      <c r="K465" s="441"/>
      <c r="L465" s="456">
        <v>0</v>
      </c>
      <c r="M465" s="453"/>
    </row>
    <row r="466" spans="1:13">
      <c r="A466" s="441"/>
      <c r="B466" s="442"/>
      <c r="C466" s="441"/>
      <c r="D466" s="441"/>
      <c r="E466" s="442"/>
      <c r="F466" s="442"/>
      <c r="G466" s="443"/>
      <c r="H466" s="441"/>
      <c r="I466" s="441"/>
      <c r="J466" s="441"/>
      <c r="K466" s="441"/>
      <c r="L466" s="456">
        <v>0</v>
      </c>
      <c r="M466" s="453"/>
    </row>
    <row r="467" spans="1:13">
      <c r="A467" s="441"/>
      <c r="B467" s="442"/>
      <c r="C467" s="441"/>
      <c r="D467" s="441"/>
      <c r="E467" s="442"/>
      <c r="F467" s="442"/>
      <c r="G467" s="443"/>
      <c r="H467" s="441"/>
      <c r="I467" s="441"/>
      <c r="J467" s="441"/>
      <c r="K467" s="441"/>
      <c r="L467" s="456">
        <v>0</v>
      </c>
      <c r="M467" s="453"/>
    </row>
    <row r="468" spans="1:13">
      <c r="A468" s="441"/>
      <c r="B468" s="442"/>
      <c r="C468" s="441"/>
      <c r="D468" s="441"/>
      <c r="E468" s="442"/>
      <c r="F468" s="442"/>
      <c r="G468" s="443"/>
      <c r="H468" s="441"/>
      <c r="I468" s="441"/>
      <c r="J468" s="441"/>
      <c r="K468" s="441"/>
      <c r="L468" s="456">
        <v>0</v>
      </c>
      <c r="M468" s="453"/>
    </row>
    <row r="469" spans="1:13">
      <c r="A469" s="441"/>
      <c r="B469" s="442"/>
      <c r="C469" s="441"/>
      <c r="D469" s="441"/>
      <c r="E469" s="442"/>
      <c r="F469" s="442"/>
      <c r="G469" s="443"/>
      <c r="H469" s="441"/>
      <c r="I469" s="441"/>
      <c r="J469" s="441"/>
      <c r="K469" s="441"/>
      <c r="L469" s="456">
        <v>0</v>
      </c>
      <c r="M469" s="453"/>
    </row>
    <row r="470" spans="1:13">
      <c r="A470" s="441"/>
      <c r="B470" s="442"/>
      <c r="C470" s="441"/>
      <c r="D470" s="441"/>
      <c r="E470" s="442"/>
      <c r="F470" s="442"/>
      <c r="G470" s="443"/>
      <c r="H470" s="441"/>
      <c r="I470" s="441"/>
      <c r="J470" s="441"/>
      <c r="K470" s="441"/>
      <c r="L470" s="456">
        <v>0</v>
      </c>
      <c r="M470" s="453"/>
    </row>
    <row r="471" spans="1:13">
      <c r="A471" s="441"/>
      <c r="B471" s="442"/>
      <c r="C471" s="441"/>
      <c r="D471" s="441"/>
      <c r="E471" s="442"/>
      <c r="F471" s="442"/>
      <c r="G471" s="443"/>
      <c r="H471" s="441"/>
      <c r="I471" s="441"/>
      <c r="J471" s="441"/>
      <c r="K471" s="441"/>
      <c r="L471" s="456">
        <v>0</v>
      </c>
      <c r="M471" s="453"/>
    </row>
    <row r="472" spans="1:13">
      <c r="A472" s="441"/>
      <c r="B472" s="442"/>
      <c r="C472" s="441"/>
      <c r="D472" s="441"/>
      <c r="E472" s="442"/>
      <c r="F472" s="442"/>
      <c r="G472" s="443"/>
      <c r="H472" s="441"/>
      <c r="I472" s="441"/>
      <c r="J472" s="441"/>
      <c r="K472" s="441"/>
      <c r="L472" s="456">
        <v>0</v>
      </c>
      <c r="M472" s="453"/>
    </row>
    <row r="473" spans="1:13">
      <c r="A473" s="441"/>
      <c r="B473" s="442"/>
      <c r="C473" s="441"/>
      <c r="D473" s="441"/>
      <c r="E473" s="442"/>
      <c r="F473" s="442"/>
      <c r="G473" s="443"/>
      <c r="H473" s="441"/>
      <c r="I473" s="441"/>
      <c r="J473" s="441"/>
      <c r="K473" s="441"/>
      <c r="L473" s="456">
        <v>0</v>
      </c>
      <c r="M473" s="453"/>
    </row>
    <row r="474" spans="1:13">
      <c r="A474" s="441"/>
      <c r="B474" s="442"/>
      <c r="C474" s="441"/>
      <c r="D474" s="441"/>
      <c r="E474" s="442"/>
      <c r="F474" s="442"/>
      <c r="G474" s="443"/>
      <c r="H474" s="441"/>
      <c r="I474" s="441"/>
      <c r="J474" s="441"/>
      <c r="K474" s="441"/>
      <c r="L474" s="456">
        <v>0</v>
      </c>
      <c r="M474" s="453"/>
    </row>
    <row r="475" spans="1:13">
      <c r="A475" s="441"/>
      <c r="B475" s="442"/>
      <c r="C475" s="441"/>
      <c r="D475" s="441"/>
      <c r="E475" s="442"/>
      <c r="F475" s="442"/>
      <c r="G475" s="443"/>
      <c r="H475" s="441"/>
      <c r="I475" s="441"/>
      <c r="J475" s="441"/>
      <c r="K475" s="441"/>
      <c r="L475" s="456">
        <v>0</v>
      </c>
      <c r="M475" s="453"/>
    </row>
    <row r="476" spans="1:13">
      <c r="A476" s="441"/>
      <c r="B476" s="442"/>
      <c r="C476" s="441"/>
      <c r="D476" s="441"/>
      <c r="E476" s="442"/>
      <c r="F476" s="442"/>
      <c r="G476" s="443"/>
      <c r="H476" s="441"/>
      <c r="I476" s="441"/>
      <c r="J476" s="441"/>
      <c r="K476" s="441"/>
      <c r="L476" s="456">
        <v>0</v>
      </c>
      <c r="M476" s="453"/>
    </row>
    <row r="477" spans="1:13">
      <c r="A477" s="441"/>
      <c r="B477" s="442"/>
      <c r="C477" s="441"/>
      <c r="D477" s="441"/>
      <c r="E477" s="442"/>
      <c r="F477" s="442"/>
      <c r="G477" s="443"/>
      <c r="H477" s="441"/>
      <c r="I477" s="441"/>
      <c r="J477" s="441"/>
      <c r="K477" s="441"/>
      <c r="L477" s="456">
        <v>0</v>
      </c>
      <c r="M477" s="453"/>
    </row>
    <row r="478" spans="1:13">
      <c r="A478" s="441"/>
      <c r="B478" s="442"/>
      <c r="C478" s="441"/>
      <c r="D478" s="441"/>
      <c r="E478" s="442"/>
      <c r="F478" s="442"/>
      <c r="G478" s="443"/>
      <c r="H478" s="441"/>
      <c r="I478" s="441"/>
      <c r="J478" s="441"/>
      <c r="K478" s="441"/>
      <c r="L478" s="456">
        <v>0</v>
      </c>
      <c r="M478" s="453"/>
    </row>
    <row r="479" spans="1:13">
      <c r="A479" s="441"/>
      <c r="B479" s="442"/>
      <c r="C479" s="441"/>
      <c r="D479" s="441"/>
      <c r="E479" s="442"/>
      <c r="F479" s="442"/>
      <c r="G479" s="443"/>
      <c r="H479" s="441"/>
      <c r="I479" s="441"/>
      <c r="J479" s="441"/>
      <c r="K479" s="441"/>
      <c r="L479" s="456">
        <v>0</v>
      </c>
      <c r="M479" s="453"/>
    </row>
    <row r="480" spans="1:13">
      <c r="A480" s="441"/>
      <c r="B480" s="442"/>
      <c r="C480" s="441"/>
      <c r="D480" s="441"/>
      <c r="E480" s="442"/>
      <c r="F480" s="442"/>
      <c r="G480" s="443"/>
      <c r="H480" s="441"/>
      <c r="I480" s="441"/>
      <c r="J480" s="441"/>
      <c r="K480" s="441"/>
      <c r="L480" s="456">
        <v>0</v>
      </c>
      <c r="M480" s="453"/>
    </row>
    <row r="481" spans="1:13">
      <c r="A481" s="441"/>
      <c r="B481" s="442"/>
      <c r="C481" s="441"/>
      <c r="D481" s="441"/>
      <c r="E481" s="442"/>
      <c r="F481" s="442"/>
      <c r="G481" s="443"/>
      <c r="H481" s="441"/>
      <c r="I481" s="441"/>
      <c r="J481" s="441"/>
      <c r="K481" s="441"/>
      <c r="L481" s="456">
        <v>0</v>
      </c>
      <c r="M481" s="453"/>
    </row>
    <row r="482" spans="1:13">
      <c r="A482" s="441"/>
      <c r="B482" s="442"/>
      <c r="C482" s="441"/>
      <c r="D482" s="441"/>
      <c r="E482" s="442"/>
      <c r="F482" s="442"/>
      <c r="G482" s="443"/>
      <c r="H482" s="441"/>
      <c r="I482" s="441"/>
      <c r="J482" s="441"/>
      <c r="K482" s="441"/>
      <c r="L482" s="456">
        <v>0</v>
      </c>
      <c r="M482" s="453"/>
    </row>
    <row r="483" spans="1:13">
      <c r="A483" s="441"/>
      <c r="B483" s="442"/>
      <c r="C483" s="441"/>
      <c r="D483" s="441"/>
      <c r="E483" s="442"/>
      <c r="F483" s="442"/>
      <c r="G483" s="443"/>
      <c r="H483" s="441"/>
      <c r="I483" s="441"/>
      <c r="J483" s="441"/>
      <c r="K483" s="441"/>
      <c r="L483" s="456">
        <v>0</v>
      </c>
      <c r="M483" s="453"/>
    </row>
    <row r="484" spans="1:13">
      <c r="A484" s="441"/>
      <c r="B484" s="442"/>
      <c r="C484" s="441"/>
      <c r="D484" s="441"/>
      <c r="E484" s="442"/>
      <c r="F484" s="442"/>
      <c r="G484" s="443"/>
      <c r="H484" s="441"/>
      <c r="I484" s="441"/>
      <c r="J484" s="441"/>
      <c r="K484" s="441"/>
      <c r="L484" s="456">
        <v>0</v>
      </c>
      <c r="M484" s="453"/>
    </row>
    <row r="485" spans="1:13">
      <c r="A485" s="441"/>
      <c r="B485" s="442"/>
      <c r="C485" s="441"/>
      <c r="D485" s="441"/>
      <c r="E485" s="442"/>
      <c r="F485" s="442"/>
      <c r="G485" s="443"/>
      <c r="H485" s="441"/>
      <c r="I485" s="441"/>
      <c r="J485" s="441"/>
      <c r="K485" s="441"/>
      <c r="L485" s="456">
        <v>0</v>
      </c>
      <c r="M485" s="453"/>
    </row>
    <row r="486" spans="1:13">
      <c r="A486" s="441"/>
      <c r="B486" s="442"/>
      <c r="C486" s="441"/>
      <c r="D486" s="441"/>
      <c r="E486" s="442"/>
      <c r="F486" s="442"/>
      <c r="G486" s="443"/>
      <c r="H486" s="441"/>
      <c r="I486" s="441"/>
      <c r="J486" s="441"/>
      <c r="K486" s="441"/>
      <c r="L486" s="456">
        <v>0</v>
      </c>
      <c r="M486" s="453"/>
    </row>
    <row r="487" spans="1:13">
      <c r="A487" s="441"/>
      <c r="B487" s="442"/>
      <c r="C487" s="441"/>
      <c r="D487" s="441"/>
      <c r="E487" s="442"/>
      <c r="F487" s="442"/>
      <c r="G487" s="443"/>
      <c r="H487" s="441"/>
      <c r="I487" s="441"/>
      <c r="J487" s="441"/>
      <c r="K487" s="441"/>
      <c r="L487" s="456">
        <v>0</v>
      </c>
      <c r="M487" s="453"/>
    </row>
    <row r="488" spans="1:13">
      <c r="A488" s="441"/>
      <c r="B488" s="442"/>
      <c r="C488" s="441"/>
      <c r="D488" s="441"/>
      <c r="E488" s="442"/>
      <c r="F488" s="442"/>
      <c r="G488" s="443"/>
      <c r="H488" s="441"/>
      <c r="I488" s="441"/>
      <c r="J488" s="441"/>
      <c r="K488" s="441"/>
      <c r="L488" s="456">
        <v>0</v>
      </c>
      <c r="M488" s="453"/>
    </row>
    <row r="489" spans="1:13">
      <c r="A489" s="441"/>
      <c r="B489" s="442"/>
      <c r="C489" s="441"/>
      <c r="D489" s="441"/>
      <c r="E489" s="442"/>
      <c r="F489" s="442"/>
      <c r="G489" s="443"/>
      <c r="H489" s="441"/>
      <c r="I489" s="441"/>
      <c r="J489" s="441"/>
      <c r="K489" s="441"/>
      <c r="L489" s="456">
        <v>0</v>
      </c>
      <c r="M489" s="453"/>
    </row>
    <row r="490" spans="1:13">
      <c r="A490" s="441"/>
      <c r="B490" s="442"/>
      <c r="C490" s="441"/>
      <c r="D490" s="441"/>
      <c r="E490" s="442"/>
      <c r="F490" s="442"/>
      <c r="G490" s="443"/>
      <c r="H490" s="441"/>
      <c r="I490" s="441"/>
      <c r="J490" s="441"/>
      <c r="K490" s="441"/>
      <c r="L490" s="456">
        <v>0</v>
      </c>
      <c r="M490" s="453"/>
    </row>
    <row r="491" spans="1:13">
      <c r="A491" s="441"/>
      <c r="B491" s="442"/>
      <c r="C491" s="441"/>
      <c r="D491" s="441"/>
      <c r="E491" s="442"/>
      <c r="F491" s="442"/>
      <c r="G491" s="443"/>
      <c r="H491" s="441"/>
      <c r="I491" s="441"/>
      <c r="J491" s="441"/>
      <c r="K491" s="441"/>
      <c r="L491" s="456">
        <v>0</v>
      </c>
      <c r="M491" s="453"/>
    </row>
    <row r="492" spans="1:13">
      <c r="A492" s="441"/>
      <c r="B492" s="442"/>
      <c r="C492" s="441"/>
      <c r="D492" s="441"/>
      <c r="E492" s="442"/>
      <c r="F492" s="442"/>
      <c r="G492" s="443"/>
      <c r="H492" s="441"/>
      <c r="I492" s="441"/>
      <c r="J492" s="441"/>
      <c r="K492" s="441"/>
      <c r="L492" s="456">
        <v>0</v>
      </c>
      <c r="M492" s="453"/>
    </row>
    <row r="493" spans="1:13">
      <c r="A493" s="441"/>
      <c r="B493" s="442"/>
      <c r="C493" s="441"/>
      <c r="D493" s="441"/>
      <c r="E493" s="442"/>
      <c r="F493" s="442"/>
      <c r="G493" s="443"/>
      <c r="H493" s="441"/>
      <c r="I493" s="441"/>
      <c r="J493" s="441"/>
      <c r="K493" s="441"/>
      <c r="L493" s="456">
        <v>0</v>
      </c>
      <c r="M493" s="453"/>
    </row>
    <row r="494" spans="1:13">
      <c r="A494" s="441"/>
      <c r="B494" s="442"/>
      <c r="C494" s="441"/>
      <c r="D494" s="441"/>
      <c r="E494" s="442"/>
      <c r="F494" s="442"/>
      <c r="G494" s="443"/>
      <c r="H494" s="441"/>
      <c r="I494" s="441"/>
      <c r="J494" s="441"/>
      <c r="K494" s="441"/>
      <c r="L494" s="456">
        <v>0</v>
      </c>
      <c r="M494" s="453"/>
    </row>
    <row r="495" spans="1:13">
      <c r="A495" s="441"/>
      <c r="B495" s="442"/>
      <c r="C495" s="441"/>
      <c r="D495" s="441"/>
      <c r="E495" s="442"/>
      <c r="F495" s="442"/>
      <c r="G495" s="443"/>
      <c r="H495" s="441"/>
      <c r="I495" s="441"/>
      <c r="J495" s="441"/>
      <c r="K495" s="441"/>
      <c r="L495" s="456">
        <v>0</v>
      </c>
      <c r="M495" s="453"/>
    </row>
    <row r="496" spans="1:13">
      <c r="A496" s="441"/>
      <c r="B496" s="442"/>
      <c r="C496" s="441"/>
      <c r="D496" s="441"/>
      <c r="E496" s="442"/>
      <c r="F496" s="442"/>
      <c r="G496" s="443"/>
      <c r="H496" s="441"/>
      <c r="I496" s="441"/>
      <c r="J496" s="441"/>
      <c r="K496" s="441"/>
      <c r="L496" s="456">
        <v>0</v>
      </c>
      <c r="M496" s="453"/>
    </row>
    <row r="497" spans="1:13">
      <c r="A497" s="441"/>
      <c r="B497" s="442"/>
      <c r="C497" s="441"/>
      <c r="D497" s="441"/>
      <c r="E497" s="442"/>
      <c r="F497" s="442"/>
      <c r="G497" s="443"/>
      <c r="H497" s="441"/>
      <c r="I497" s="441"/>
      <c r="J497" s="441"/>
      <c r="K497" s="441"/>
      <c r="L497" s="456">
        <v>0</v>
      </c>
      <c r="M497" s="453"/>
    </row>
    <row r="498" spans="1:13">
      <c r="A498" s="441"/>
      <c r="B498" s="442"/>
      <c r="C498" s="441"/>
      <c r="D498" s="441"/>
      <c r="E498" s="442"/>
      <c r="F498" s="442"/>
      <c r="G498" s="443"/>
      <c r="H498" s="441"/>
      <c r="I498" s="441"/>
      <c r="J498" s="441"/>
      <c r="K498" s="441"/>
      <c r="L498" s="456">
        <v>0</v>
      </c>
      <c r="M498" s="453"/>
    </row>
    <row r="499" spans="1:13">
      <c r="A499" s="441"/>
      <c r="B499" s="442"/>
      <c r="C499" s="441"/>
      <c r="D499" s="441"/>
      <c r="E499" s="442"/>
      <c r="F499" s="442"/>
      <c r="G499" s="443"/>
      <c r="H499" s="441"/>
      <c r="I499" s="441"/>
      <c r="J499" s="441"/>
      <c r="K499" s="441"/>
      <c r="L499" s="456">
        <v>0</v>
      </c>
      <c r="M499" s="453"/>
    </row>
    <row r="500" spans="1:13">
      <c r="A500" s="441"/>
      <c r="B500" s="442"/>
      <c r="C500" s="441"/>
      <c r="D500" s="441"/>
      <c r="E500" s="442"/>
      <c r="F500" s="442"/>
      <c r="G500" s="443"/>
      <c r="H500" s="441"/>
      <c r="I500" s="441"/>
      <c r="J500" s="441"/>
      <c r="K500" s="441"/>
      <c r="L500" s="456">
        <v>0</v>
      </c>
      <c r="M500" s="453"/>
    </row>
    <row r="501" spans="1:13">
      <c r="A501" s="441"/>
      <c r="B501" s="442"/>
      <c r="C501" s="441"/>
      <c r="D501" s="441"/>
      <c r="E501" s="442"/>
      <c r="F501" s="442"/>
      <c r="G501" s="443"/>
      <c r="H501" s="441"/>
      <c r="I501" s="441"/>
      <c r="J501" s="441"/>
      <c r="K501" s="441"/>
      <c r="L501" s="456">
        <v>0</v>
      </c>
      <c r="M501" s="453"/>
    </row>
    <row r="502" spans="1:13">
      <c r="A502" s="441"/>
      <c r="B502" s="442"/>
      <c r="C502" s="441"/>
      <c r="D502" s="441"/>
      <c r="E502" s="442"/>
      <c r="F502" s="442"/>
      <c r="G502" s="443"/>
      <c r="H502" s="441"/>
      <c r="I502" s="441"/>
      <c r="J502" s="441"/>
      <c r="K502" s="441"/>
      <c r="L502" s="456">
        <v>0</v>
      </c>
      <c r="M502" s="453"/>
    </row>
    <row r="503" spans="1:13">
      <c r="A503" s="441"/>
      <c r="B503" s="442"/>
      <c r="C503" s="441"/>
      <c r="D503" s="441"/>
      <c r="E503" s="442"/>
      <c r="F503" s="442"/>
      <c r="G503" s="443"/>
      <c r="H503" s="441"/>
      <c r="I503" s="441"/>
      <c r="J503" s="441"/>
      <c r="K503" s="441"/>
      <c r="L503" s="456">
        <v>0</v>
      </c>
      <c r="M503" s="453"/>
    </row>
    <row r="504" spans="1:13">
      <c r="A504" s="441"/>
      <c r="B504" s="442"/>
      <c r="C504" s="441"/>
      <c r="D504" s="441"/>
      <c r="E504" s="442"/>
      <c r="F504" s="442"/>
      <c r="G504" s="443"/>
      <c r="H504" s="441"/>
      <c r="I504" s="441"/>
      <c r="J504" s="441"/>
      <c r="K504" s="441"/>
      <c r="L504" s="456">
        <v>0</v>
      </c>
      <c r="M504" s="453"/>
    </row>
    <row r="505" spans="1:13">
      <c r="A505" s="441"/>
      <c r="B505" s="442"/>
      <c r="C505" s="441"/>
      <c r="D505" s="441"/>
      <c r="E505" s="442"/>
      <c r="F505" s="442"/>
      <c r="G505" s="443"/>
      <c r="H505" s="441"/>
      <c r="I505" s="441"/>
      <c r="J505" s="441"/>
      <c r="K505" s="441"/>
      <c r="L505" s="456">
        <v>0</v>
      </c>
      <c r="M505" s="453"/>
    </row>
    <row r="506" spans="1:13">
      <c r="A506" s="441"/>
      <c r="B506" s="442"/>
      <c r="C506" s="441"/>
      <c r="D506" s="441"/>
      <c r="E506" s="442"/>
      <c r="F506" s="442"/>
      <c r="G506" s="443"/>
      <c r="H506" s="441"/>
      <c r="I506" s="441"/>
      <c r="J506" s="441"/>
      <c r="K506" s="441"/>
      <c r="L506" s="456">
        <v>0</v>
      </c>
      <c r="M506" s="453"/>
    </row>
    <row r="507" spans="1:13">
      <c r="A507" s="441"/>
      <c r="B507" s="442"/>
      <c r="C507" s="441"/>
      <c r="D507" s="441"/>
      <c r="E507" s="442"/>
      <c r="F507" s="442"/>
      <c r="G507" s="443"/>
      <c r="H507" s="441"/>
      <c r="I507" s="441"/>
      <c r="J507" s="441"/>
      <c r="K507" s="441"/>
      <c r="L507" s="456">
        <v>0</v>
      </c>
      <c r="M507" s="453"/>
    </row>
    <row r="508" spans="1:13">
      <c r="A508" s="441"/>
      <c r="B508" s="442"/>
      <c r="C508" s="441"/>
      <c r="D508" s="441"/>
      <c r="E508" s="442"/>
      <c r="F508" s="442"/>
      <c r="G508" s="443"/>
      <c r="H508" s="441"/>
      <c r="I508" s="441"/>
      <c r="J508" s="441"/>
      <c r="K508" s="441"/>
      <c r="L508" s="456">
        <v>0</v>
      </c>
      <c r="M508" s="453"/>
    </row>
    <row r="509" spans="1:13">
      <c r="A509" s="441"/>
      <c r="B509" s="442"/>
      <c r="C509" s="441"/>
      <c r="D509" s="441"/>
      <c r="E509" s="442"/>
      <c r="F509" s="442"/>
      <c r="G509" s="443"/>
      <c r="H509" s="441"/>
      <c r="I509" s="441"/>
      <c r="J509" s="441"/>
      <c r="K509" s="441"/>
      <c r="L509" s="456">
        <v>0</v>
      </c>
      <c r="M509" s="453"/>
    </row>
    <row r="510" spans="1:13">
      <c r="A510" s="441"/>
      <c r="B510" s="442"/>
      <c r="C510" s="441"/>
      <c r="D510" s="441"/>
      <c r="E510" s="442"/>
      <c r="F510" s="442"/>
      <c r="G510" s="443"/>
      <c r="H510" s="441"/>
      <c r="I510" s="441"/>
      <c r="J510" s="441"/>
      <c r="K510" s="441"/>
      <c r="L510" s="456">
        <v>0</v>
      </c>
      <c r="M510" s="453"/>
    </row>
    <row r="511" spans="1:13">
      <c r="A511" s="441"/>
      <c r="B511" s="442"/>
      <c r="C511" s="441"/>
      <c r="D511" s="441"/>
      <c r="E511" s="442"/>
      <c r="F511" s="442"/>
      <c r="G511" s="443"/>
      <c r="H511" s="441"/>
      <c r="I511" s="441"/>
      <c r="J511" s="441"/>
      <c r="K511" s="441"/>
      <c r="L511" s="456">
        <v>0</v>
      </c>
      <c r="M511" s="453"/>
    </row>
    <row r="512" spans="1:13">
      <c r="A512" s="441"/>
      <c r="B512" s="442"/>
      <c r="C512" s="441"/>
      <c r="D512" s="441"/>
      <c r="E512" s="442"/>
      <c r="F512" s="442"/>
      <c r="G512" s="443"/>
      <c r="H512" s="441"/>
      <c r="I512" s="441"/>
      <c r="J512" s="441"/>
      <c r="K512" s="441"/>
      <c r="L512" s="456">
        <v>0</v>
      </c>
      <c r="M512" s="453"/>
    </row>
    <row r="513" spans="1:13">
      <c r="A513" s="441"/>
      <c r="B513" s="442"/>
      <c r="C513" s="441"/>
      <c r="D513" s="441"/>
      <c r="E513" s="442"/>
      <c r="F513" s="442"/>
      <c r="G513" s="443"/>
      <c r="H513" s="441"/>
      <c r="I513" s="441"/>
      <c r="J513" s="441"/>
      <c r="K513" s="441"/>
      <c r="L513" s="456">
        <v>0</v>
      </c>
      <c r="M513" s="453"/>
    </row>
    <row r="514" spans="1:13">
      <c r="A514" s="441"/>
      <c r="B514" s="442"/>
      <c r="C514" s="441"/>
      <c r="D514" s="441"/>
      <c r="E514" s="442"/>
      <c r="F514" s="442"/>
      <c r="G514" s="443"/>
      <c r="H514" s="441"/>
      <c r="I514" s="441"/>
      <c r="J514" s="441"/>
      <c r="K514" s="441"/>
      <c r="L514" s="456">
        <v>0</v>
      </c>
      <c r="M514" s="453"/>
    </row>
    <row r="515" spans="1:13">
      <c r="A515" s="441"/>
      <c r="B515" s="442"/>
      <c r="C515" s="441"/>
      <c r="D515" s="441"/>
      <c r="E515" s="442"/>
      <c r="F515" s="442"/>
      <c r="G515" s="443"/>
      <c r="H515" s="441"/>
      <c r="I515" s="441"/>
      <c r="J515" s="441"/>
      <c r="K515" s="441"/>
      <c r="L515" s="456">
        <v>0</v>
      </c>
      <c r="M515" s="453"/>
    </row>
    <row r="516" spans="1:13">
      <c r="A516" s="441"/>
      <c r="B516" s="442"/>
      <c r="C516" s="441"/>
      <c r="D516" s="441"/>
      <c r="E516" s="442"/>
      <c r="F516" s="442"/>
      <c r="G516" s="443"/>
      <c r="H516" s="441"/>
      <c r="I516" s="441"/>
      <c r="J516" s="441"/>
      <c r="K516" s="441"/>
      <c r="L516" s="456">
        <v>0</v>
      </c>
      <c r="M516" s="453"/>
    </row>
    <row r="517" spans="1:13">
      <c r="A517" s="441"/>
      <c r="B517" s="442"/>
      <c r="C517" s="441"/>
      <c r="D517" s="441"/>
      <c r="E517" s="442"/>
      <c r="F517" s="442"/>
      <c r="G517" s="443"/>
      <c r="H517" s="441"/>
      <c r="I517" s="441"/>
      <c r="J517" s="441"/>
      <c r="K517" s="441"/>
      <c r="L517" s="456">
        <v>0</v>
      </c>
      <c r="M517" s="453"/>
    </row>
    <row r="518" spans="1:13">
      <c r="A518" s="441"/>
      <c r="B518" s="442"/>
      <c r="C518" s="441"/>
      <c r="D518" s="441"/>
      <c r="E518" s="442"/>
      <c r="F518" s="442"/>
      <c r="G518" s="443"/>
      <c r="H518" s="441"/>
      <c r="I518" s="441"/>
      <c r="J518" s="441"/>
      <c r="K518" s="441"/>
      <c r="L518" s="456">
        <v>0</v>
      </c>
      <c r="M518" s="453"/>
    </row>
    <row r="519" spans="1:13">
      <c r="A519" s="441"/>
      <c r="B519" s="442"/>
      <c r="C519" s="441"/>
      <c r="D519" s="441"/>
      <c r="E519" s="442"/>
      <c r="F519" s="442"/>
      <c r="G519" s="443"/>
      <c r="H519" s="441"/>
      <c r="I519" s="441"/>
      <c r="J519" s="441"/>
      <c r="K519" s="441"/>
      <c r="L519" s="456">
        <v>0</v>
      </c>
      <c r="M519" s="453"/>
    </row>
    <row r="520" spans="1:13">
      <c r="A520" s="441"/>
      <c r="B520" s="442"/>
      <c r="C520" s="441"/>
      <c r="D520" s="441"/>
      <c r="E520" s="442"/>
      <c r="F520" s="442"/>
      <c r="G520" s="443"/>
      <c r="H520" s="441"/>
      <c r="I520" s="441"/>
      <c r="J520" s="441"/>
      <c r="K520" s="441"/>
      <c r="L520" s="456">
        <v>0</v>
      </c>
      <c r="M520" s="453"/>
    </row>
    <row r="521" spans="1:13">
      <c r="A521" s="441"/>
      <c r="B521" s="442"/>
      <c r="C521" s="441"/>
      <c r="D521" s="441"/>
      <c r="E521" s="442"/>
      <c r="F521" s="442"/>
      <c r="G521" s="443"/>
      <c r="H521" s="441"/>
      <c r="I521" s="441"/>
      <c r="J521" s="441"/>
      <c r="K521" s="441"/>
      <c r="L521" s="456">
        <v>0</v>
      </c>
      <c r="M521" s="453"/>
    </row>
    <row r="522" spans="1:13">
      <c r="A522" s="441"/>
      <c r="B522" s="442"/>
      <c r="C522" s="441"/>
      <c r="D522" s="441"/>
      <c r="E522" s="442"/>
      <c r="F522" s="442"/>
      <c r="G522" s="443"/>
      <c r="H522" s="441"/>
      <c r="I522" s="441"/>
      <c r="J522" s="441"/>
      <c r="K522" s="441"/>
      <c r="L522" s="456">
        <v>0</v>
      </c>
      <c r="M522" s="453"/>
    </row>
    <row r="523" spans="1:13">
      <c r="A523" s="441"/>
      <c r="B523" s="442"/>
      <c r="C523" s="441"/>
      <c r="D523" s="441"/>
      <c r="E523" s="442"/>
      <c r="F523" s="442"/>
      <c r="G523" s="443"/>
      <c r="H523" s="441"/>
      <c r="I523" s="441"/>
      <c r="J523" s="441"/>
      <c r="K523" s="441"/>
      <c r="L523" s="456">
        <v>0</v>
      </c>
      <c r="M523" s="453"/>
    </row>
    <row r="524" spans="1:13">
      <c r="A524" s="441"/>
      <c r="B524" s="442"/>
      <c r="C524" s="441"/>
      <c r="D524" s="441"/>
      <c r="E524" s="442"/>
      <c r="F524" s="442"/>
      <c r="G524" s="443"/>
      <c r="H524" s="441"/>
      <c r="I524" s="441"/>
      <c r="J524" s="441"/>
      <c r="K524" s="441"/>
      <c r="L524" s="456">
        <v>0</v>
      </c>
      <c r="M524" s="453"/>
    </row>
    <row r="525" spans="1:13">
      <c r="A525" s="441"/>
      <c r="B525" s="442"/>
      <c r="C525" s="441"/>
      <c r="D525" s="441"/>
      <c r="E525" s="442"/>
      <c r="F525" s="442"/>
      <c r="G525" s="443"/>
      <c r="H525" s="441"/>
      <c r="I525" s="441"/>
      <c r="J525" s="441"/>
      <c r="K525" s="441"/>
      <c r="L525" s="456">
        <v>0</v>
      </c>
      <c r="M525" s="453"/>
    </row>
    <row r="526" spans="1:13">
      <c r="A526" s="441"/>
      <c r="B526" s="442"/>
      <c r="C526" s="441"/>
      <c r="D526" s="441"/>
      <c r="E526" s="442"/>
      <c r="F526" s="442"/>
      <c r="G526" s="443"/>
      <c r="H526" s="441"/>
      <c r="I526" s="441"/>
      <c r="J526" s="441"/>
      <c r="K526" s="441"/>
      <c r="L526" s="456">
        <v>0</v>
      </c>
      <c r="M526" s="453"/>
    </row>
    <row r="527" spans="1:13">
      <c r="A527" s="441"/>
      <c r="B527" s="442"/>
      <c r="C527" s="441"/>
      <c r="D527" s="441"/>
      <c r="E527" s="442"/>
      <c r="F527" s="442"/>
      <c r="G527" s="443"/>
      <c r="H527" s="441"/>
      <c r="I527" s="441"/>
      <c r="J527" s="441"/>
      <c r="K527" s="441"/>
      <c r="L527" s="456">
        <v>0</v>
      </c>
      <c r="M527" s="453"/>
    </row>
    <row r="528" spans="1:13">
      <c r="A528" s="441"/>
      <c r="B528" s="442"/>
      <c r="C528" s="441"/>
      <c r="D528" s="441"/>
      <c r="E528" s="442"/>
      <c r="F528" s="442"/>
      <c r="G528" s="443"/>
      <c r="H528" s="441"/>
      <c r="I528" s="441"/>
      <c r="J528" s="441"/>
      <c r="K528" s="441"/>
      <c r="L528" s="456">
        <v>0</v>
      </c>
      <c r="M528" s="453"/>
    </row>
    <row r="529" spans="1:13">
      <c r="A529" s="441"/>
      <c r="B529" s="442"/>
      <c r="C529" s="441"/>
      <c r="D529" s="441"/>
      <c r="E529" s="442"/>
      <c r="F529" s="442"/>
      <c r="G529" s="443"/>
      <c r="H529" s="441"/>
      <c r="I529" s="441"/>
      <c r="J529" s="441"/>
      <c r="K529" s="441"/>
      <c r="L529" s="456">
        <v>0</v>
      </c>
      <c r="M529" s="453"/>
    </row>
    <row r="530" spans="1:13">
      <c r="A530" s="441"/>
      <c r="B530" s="442"/>
      <c r="C530" s="441"/>
      <c r="D530" s="441"/>
      <c r="E530" s="442"/>
      <c r="F530" s="442"/>
      <c r="G530" s="443"/>
      <c r="H530" s="441"/>
      <c r="I530" s="441"/>
      <c r="J530" s="441"/>
      <c r="K530" s="441"/>
      <c r="L530" s="456">
        <v>0</v>
      </c>
      <c r="M530" s="453"/>
    </row>
    <row r="531" spans="1:13">
      <c r="A531" s="441"/>
      <c r="B531" s="442"/>
      <c r="C531" s="441"/>
      <c r="D531" s="441"/>
      <c r="E531" s="442"/>
      <c r="F531" s="442"/>
      <c r="G531" s="443"/>
      <c r="H531" s="441"/>
      <c r="I531" s="441"/>
      <c r="J531" s="441"/>
      <c r="K531" s="441"/>
      <c r="L531" s="456">
        <v>0</v>
      </c>
      <c r="M531" s="453"/>
    </row>
    <row r="532" spans="1:13">
      <c r="A532" s="441"/>
      <c r="B532" s="442"/>
      <c r="C532" s="441"/>
      <c r="D532" s="441"/>
      <c r="E532" s="442"/>
      <c r="F532" s="442"/>
      <c r="G532" s="443"/>
      <c r="H532" s="441"/>
      <c r="I532" s="441"/>
      <c r="J532" s="441"/>
      <c r="K532" s="441"/>
      <c r="L532" s="456">
        <v>0</v>
      </c>
      <c r="M532" s="453"/>
    </row>
    <row r="533" spans="1:13">
      <c r="A533" s="441"/>
      <c r="B533" s="442"/>
      <c r="C533" s="441"/>
      <c r="D533" s="441"/>
      <c r="E533" s="442"/>
      <c r="F533" s="442"/>
      <c r="G533" s="443"/>
      <c r="H533" s="441"/>
      <c r="I533" s="441"/>
      <c r="J533" s="441"/>
      <c r="K533" s="441"/>
      <c r="L533" s="456">
        <v>0</v>
      </c>
      <c r="M533" s="453"/>
    </row>
    <row r="534" spans="1:13">
      <c r="A534" s="441"/>
      <c r="B534" s="442"/>
      <c r="C534" s="441"/>
      <c r="D534" s="441"/>
      <c r="E534" s="442"/>
      <c r="F534" s="442"/>
      <c r="G534" s="443"/>
      <c r="H534" s="441"/>
      <c r="I534" s="441"/>
      <c r="J534" s="441"/>
      <c r="K534" s="441"/>
      <c r="L534" s="456">
        <v>0</v>
      </c>
      <c r="M534" s="453"/>
    </row>
    <row r="535" spans="1:13">
      <c r="A535" s="441"/>
      <c r="B535" s="442"/>
      <c r="C535" s="441"/>
      <c r="D535" s="441"/>
      <c r="E535" s="442"/>
      <c r="F535" s="442"/>
      <c r="G535" s="443"/>
      <c r="H535" s="441"/>
      <c r="I535" s="441"/>
      <c r="J535" s="441"/>
      <c r="K535" s="441"/>
      <c r="L535" s="456">
        <v>0</v>
      </c>
      <c r="M535" s="453"/>
    </row>
    <row r="536" spans="1:13">
      <c r="A536" s="441"/>
      <c r="B536" s="442"/>
      <c r="C536" s="441"/>
      <c r="D536" s="441"/>
      <c r="E536" s="442"/>
      <c r="F536" s="442"/>
      <c r="G536" s="443"/>
      <c r="H536" s="441"/>
      <c r="I536" s="441"/>
      <c r="J536" s="441"/>
      <c r="K536" s="441"/>
      <c r="L536" s="456">
        <v>0</v>
      </c>
      <c r="M536" s="453"/>
    </row>
    <row r="537" spans="1:13">
      <c r="A537" s="441"/>
      <c r="B537" s="442"/>
      <c r="C537" s="441"/>
      <c r="D537" s="441"/>
      <c r="E537" s="442"/>
      <c r="F537" s="442"/>
      <c r="G537" s="443"/>
      <c r="H537" s="441"/>
      <c r="I537" s="441"/>
      <c r="J537" s="441"/>
      <c r="K537" s="441"/>
      <c r="L537" s="456">
        <v>0</v>
      </c>
      <c r="M537" s="453"/>
    </row>
    <row r="538" spans="1:13">
      <c r="A538" s="441"/>
      <c r="B538" s="442"/>
      <c r="C538" s="441"/>
      <c r="D538" s="441"/>
      <c r="E538" s="442"/>
      <c r="F538" s="442"/>
      <c r="G538" s="443"/>
      <c r="H538" s="441"/>
      <c r="I538" s="441"/>
      <c r="J538" s="441"/>
      <c r="K538" s="441"/>
      <c r="L538" s="456">
        <v>0</v>
      </c>
      <c r="M538" s="453"/>
    </row>
    <row r="539" spans="1:13">
      <c r="A539" s="441"/>
      <c r="B539" s="442"/>
      <c r="C539" s="441"/>
      <c r="D539" s="441"/>
      <c r="E539" s="442"/>
      <c r="F539" s="442"/>
      <c r="G539" s="443"/>
      <c r="H539" s="441"/>
      <c r="I539" s="441"/>
      <c r="J539" s="441"/>
      <c r="K539" s="441"/>
      <c r="L539" s="456">
        <v>0</v>
      </c>
      <c r="M539" s="453"/>
    </row>
    <row r="540" spans="1:13">
      <c r="A540" s="441"/>
      <c r="B540" s="442"/>
      <c r="C540" s="441"/>
      <c r="D540" s="441"/>
      <c r="E540" s="442"/>
      <c r="F540" s="442"/>
      <c r="G540" s="443"/>
      <c r="H540" s="441"/>
      <c r="I540" s="441"/>
      <c r="J540" s="441"/>
      <c r="K540" s="441"/>
      <c r="L540" s="456">
        <v>0</v>
      </c>
      <c r="M540" s="453"/>
    </row>
    <row r="541" spans="1:13">
      <c r="A541" s="441"/>
      <c r="B541" s="442"/>
      <c r="C541" s="441"/>
      <c r="D541" s="441"/>
      <c r="E541" s="442"/>
      <c r="F541" s="442"/>
      <c r="G541" s="443"/>
      <c r="H541" s="441"/>
      <c r="I541" s="441"/>
      <c r="J541" s="441"/>
      <c r="K541" s="441"/>
      <c r="L541" s="456">
        <v>0</v>
      </c>
      <c r="M541" s="453"/>
    </row>
    <row r="542" spans="1:13">
      <c r="A542" s="441"/>
      <c r="B542" s="442"/>
      <c r="C542" s="441"/>
      <c r="D542" s="441"/>
      <c r="E542" s="442"/>
      <c r="F542" s="442"/>
      <c r="G542" s="443"/>
      <c r="H542" s="441"/>
      <c r="I542" s="441"/>
      <c r="J542" s="441"/>
      <c r="K542" s="441"/>
      <c r="L542" s="456">
        <v>0</v>
      </c>
      <c r="M542" s="453"/>
    </row>
    <row r="543" spans="1:13">
      <c r="A543" s="441"/>
      <c r="B543" s="442"/>
      <c r="C543" s="441"/>
      <c r="D543" s="441"/>
      <c r="E543" s="442"/>
      <c r="F543" s="442"/>
      <c r="G543" s="443"/>
      <c r="H543" s="441"/>
      <c r="I543" s="441"/>
      <c r="J543" s="441"/>
      <c r="K543" s="441"/>
      <c r="L543" s="456">
        <v>0</v>
      </c>
      <c r="M543" s="453"/>
    </row>
    <row r="544" spans="1:13">
      <c r="A544" s="441"/>
      <c r="B544" s="442"/>
      <c r="C544" s="441"/>
      <c r="D544" s="441"/>
      <c r="E544" s="442"/>
      <c r="F544" s="442"/>
      <c r="G544" s="443"/>
      <c r="H544" s="441"/>
      <c r="I544" s="441"/>
      <c r="J544" s="441"/>
      <c r="K544" s="441"/>
      <c r="L544" s="456">
        <v>0</v>
      </c>
      <c r="M544" s="453"/>
    </row>
    <row r="545" spans="1:13">
      <c r="A545" s="441"/>
      <c r="B545" s="442"/>
      <c r="C545" s="441"/>
      <c r="D545" s="441"/>
      <c r="E545" s="442"/>
      <c r="F545" s="442"/>
      <c r="G545" s="443"/>
      <c r="H545" s="441"/>
      <c r="I545" s="441"/>
      <c r="J545" s="441"/>
      <c r="K545" s="441"/>
      <c r="L545" s="456">
        <v>0</v>
      </c>
      <c r="M545" s="453"/>
    </row>
    <row r="546" spans="1:13">
      <c r="A546" s="441"/>
      <c r="B546" s="442"/>
      <c r="C546" s="441"/>
      <c r="D546" s="441"/>
      <c r="E546" s="442"/>
      <c r="F546" s="442"/>
      <c r="G546" s="443"/>
      <c r="H546" s="441"/>
      <c r="I546" s="441"/>
      <c r="J546" s="441"/>
      <c r="K546" s="441"/>
      <c r="L546" s="456">
        <v>0</v>
      </c>
      <c r="M546" s="453"/>
    </row>
    <row r="547" spans="1:13">
      <c r="A547" s="441"/>
      <c r="B547" s="442"/>
      <c r="C547" s="441"/>
      <c r="D547" s="441"/>
      <c r="E547" s="442"/>
      <c r="F547" s="442"/>
      <c r="G547" s="443"/>
      <c r="H547" s="441"/>
      <c r="I547" s="441"/>
      <c r="J547" s="441"/>
      <c r="K547" s="441"/>
      <c r="L547" s="456">
        <v>0</v>
      </c>
      <c r="M547" s="453"/>
    </row>
    <row r="548" spans="1:13">
      <c r="A548" s="441"/>
      <c r="B548" s="442"/>
      <c r="C548" s="441"/>
      <c r="D548" s="441"/>
      <c r="E548" s="442"/>
      <c r="F548" s="442"/>
      <c r="G548" s="443"/>
      <c r="H548" s="441"/>
      <c r="I548" s="441"/>
      <c r="J548" s="441"/>
      <c r="K548" s="441"/>
      <c r="L548" s="456">
        <v>0</v>
      </c>
      <c r="M548" s="453"/>
    </row>
    <row r="549" spans="1:13">
      <c r="A549" s="441"/>
      <c r="B549" s="442"/>
      <c r="C549" s="441"/>
      <c r="D549" s="441"/>
      <c r="E549" s="442"/>
      <c r="F549" s="442"/>
      <c r="G549" s="443"/>
      <c r="H549" s="441"/>
      <c r="I549" s="441"/>
      <c r="J549" s="441"/>
      <c r="K549" s="441"/>
      <c r="L549" s="456">
        <v>0</v>
      </c>
      <c r="M549" s="453"/>
    </row>
    <row r="550" spans="1:13">
      <c r="A550" s="441"/>
      <c r="B550" s="442"/>
      <c r="C550" s="441"/>
      <c r="D550" s="441"/>
      <c r="E550" s="442"/>
      <c r="F550" s="442"/>
      <c r="G550" s="443"/>
      <c r="H550" s="441"/>
      <c r="I550" s="441"/>
      <c r="J550" s="441"/>
      <c r="K550" s="441"/>
      <c r="L550" s="456">
        <v>0</v>
      </c>
      <c r="M550" s="453"/>
    </row>
    <row r="551" spans="1:13">
      <c r="A551" s="441"/>
      <c r="B551" s="442"/>
      <c r="C551" s="441"/>
      <c r="D551" s="441"/>
      <c r="E551" s="442"/>
      <c r="F551" s="442"/>
      <c r="G551" s="443"/>
      <c r="H551" s="441"/>
      <c r="I551" s="441"/>
      <c r="J551" s="441"/>
      <c r="K551" s="441"/>
      <c r="L551" s="456">
        <v>0</v>
      </c>
      <c r="M551" s="453"/>
    </row>
    <row r="552" spans="1:13">
      <c r="A552" s="441"/>
      <c r="B552" s="442"/>
      <c r="C552" s="441"/>
      <c r="D552" s="441"/>
      <c r="E552" s="442"/>
      <c r="F552" s="442"/>
      <c r="G552" s="443"/>
      <c r="H552" s="441"/>
      <c r="I552" s="441"/>
      <c r="J552" s="441"/>
      <c r="K552" s="441"/>
      <c r="L552" s="456">
        <v>0</v>
      </c>
      <c r="M552" s="453"/>
    </row>
    <row r="553" spans="1:13">
      <c r="A553" s="441"/>
      <c r="B553" s="442"/>
      <c r="C553" s="441"/>
      <c r="D553" s="441"/>
      <c r="E553" s="442"/>
      <c r="F553" s="442"/>
      <c r="G553" s="443"/>
      <c r="H553" s="441"/>
      <c r="I553" s="441"/>
      <c r="J553" s="441"/>
      <c r="K553" s="441"/>
      <c r="L553" s="456">
        <v>0</v>
      </c>
      <c r="M553" s="453"/>
    </row>
    <row r="554" spans="1:13">
      <c r="A554" s="441"/>
      <c r="B554" s="442"/>
      <c r="C554" s="441"/>
      <c r="D554" s="441"/>
      <c r="E554" s="442"/>
      <c r="F554" s="442"/>
      <c r="G554" s="443"/>
      <c r="H554" s="441"/>
      <c r="I554" s="441"/>
      <c r="J554" s="441"/>
      <c r="K554" s="441"/>
      <c r="L554" s="456">
        <v>0</v>
      </c>
      <c r="M554" s="453"/>
    </row>
    <row r="555" spans="1:13">
      <c r="A555" s="441"/>
      <c r="B555" s="442"/>
      <c r="C555" s="441"/>
      <c r="D555" s="441"/>
      <c r="E555" s="442"/>
      <c r="F555" s="442"/>
      <c r="G555" s="443"/>
      <c r="H555" s="441"/>
      <c r="I555" s="441"/>
      <c r="J555" s="441"/>
      <c r="K555" s="441"/>
      <c r="L555" s="456">
        <v>0</v>
      </c>
      <c r="M555" s="453"/>
    </row>
    <row r="556" spans="1:13">
      <c r="A556" s="441"/>
      <c r="B556" s="442"/>
      <c r="C556" s="441"/>
      <c r="D556" s="441"/>
      <c r="E556" s="442"/>
      <c r="F556" s="442"/>
      <c r="G556" s="443"/>
      <c r="H556" s="441"/>
      <c r="I556" s="441"/>
      <c r="J556" s="441"/>
      <c r="K556" s="441"/>
      <c r="L556" s="456">
        <v>0</v>
      </c>
      <c r="M556" s="453"/>
    </row>
    <row r="557" spans="1:13">
      <c r="A557" s="441"/>
      <c r="B557" s="442"/>
      <c r="C557" s="441"/>
      <c r="D557" s="441"/>
      <c r="E557" s="442"/>
      <c r="F557" s="442"/>
      <c r="G557" s="443"/>
      <c r="H557" s="441"/>
      <c r="I557" s="441"/>
      <c r="J557" s="441"/>
      <c r="K557" s="441"/>
      <c r="L557" s="456">
        <v>0</v>
      </c>
      <c r="M557" s="453"/>
    </row>
    <row r="558" spans="1:13">
      <c r="A558" s="441"/>
      <c r="B558" s="442"/>
      <c r="C558" s="441"/>
      <c r="D558" s="441"/>
      <c r="E558" s="442"/>
      <c r="F558" s="442"/>
      <c r="G558" s="443"/>
      <c r="H558" s="441"/>
      <c r="I558" s="441"/>
      <c r="J558" s="441"/>
      <c r="K558" s="441"/>
      <c r="L558" s="456">
        <v>0</v>
      </c>
      <c r="M558" s="453"/>
    </row>
    <row r="559" spans="1:13">
      <c r="A559" s="441"/>
      <c r="B559" s="442"/>
      <c r="C559" s="441"/>
      <c r="D559" s="441"/>
      <c r="E559" s="442"/>
      <c r="F559" s="442"/>
      <c r="G559" s="443"/>
      <c r="H559" s="441"/>
      <c r="I559" s="441"/>
      <c r="J559" s="441"/>
      <c r="K559" s="441"/>
      <c r="L559" s="456">
        <v>0</v>
      </c>
      <c r="M559" s="453"/>
    </row>
    <row r="560" spans="1:13">
      <c r="A560" s="441"/>
      <c r="B560" s="442"/>
      <c r="C560" s="441"/>
      <c r="D560" s="441"/>
      <c r="E560" s="442"/>
      <c r="F560" s="442"/>
      <c r="G560" s="443"/>
      <c r="H560" s="441"/>
      <c r="I560" s="441"/>
      <c r="J560" s="441"/>
      <c r="K560" s="441"/>
      <c r="L560" s="456">
        <v>0</v>
      </c>
      <c r="M560" s="453"/>
    </row>
    <row r="561" spans="1:13">
      <c r="A561" s="441"/>
      <c r="B561" s="442"/>
      <c r="C561" s="441"/>
      <c r="D561" s="441"/>
      <c r="E561" s="442"/>
      <c r="F561" s="442"/>
      <c r="G561" s="443"/>
      <c r="H561" s="441"/>
      <c r="I561" s="441"/>
      <c r="J561" s="441"/>
      <c r="K561" s="441"/>
      <c r="L561" s="456">
        <v>0</v>
      </c>
      <c r="M561" s="453"/>
    </row>
    <row r="562" spans="1:13">
      <c r="A562" s="441"/>
      <c r="B562" s="442"/>
      <c r="C562" s="441"/>
      <c r="D562" s="441"/>
      <c r="E562" s="442"/>
      <c r="F562" s="442"/>
      <c r="G562" s="443"/>
      <c r="H562" s="441"/>
      <c r="I562" s="441"/>
      <c r="J562" s="441"/>
      <c r="K562" s="441"/>
      <c r="L562" s="456">
        <v>0</v>
      </c>
      <c r="M562" s="453"/>
    </row>
    <row r="563" spans="1:13">
      <c r="A563" s="441"/>
      <c r="B563" s="442"/>
      <c r="C563" s="441"/>
      <c r="D563" s="441"/>
      <c r="E563" s="442"/>
      <c r="F563" s="442"/>
      <c r="G563" s="443"/>
      <c r="H563" s="441"/>
      <c r="I563" s="441"/>
      <c r="J563" s="441"/>
      <c r="K563" s="441"/>
      <c r="L563" s="456">
        <v>0</v>
      </c>
      <c r="M563" s="453"/>
    </row>
    <row r="564" spans="1:13">
      <c r="A564" s="441"/>
      <c r="B564" s="442"/>
      <c r="C564" s="441"/>
      <c r="D564" s="441"/>
      <c r="E564" s="442"/>
      <c r="F564" s="442"/>
      <c r="G564" s="443"/>
      <c r="H564" s="441"/>
      <c r="I564" s="441"/>
      <c r="J564" s="441"/>
      <c r="K564" s="441"/>
      <c r="L564" s="456">
        <v>0</v>
      </c>
      <c r="M564" s="453"/>
    </row>
    <row r="565" spans="1:13">
      <c r="A565" s="441"/>
      <c r="B565" s="442"/>
      <c r="C565" s="441"/>
      <c r="D565" s="441"/>
      <c r="E565" s="442"/>
      <c r="F565" s="442"/>
      <c r="G565" s="443"/>
      <c r="H565" s="441"/>
      <c r="I565" s="441"/>
      <c r="J565" s="441"/>
      <c r="K565" s="441"/>
      <c r="L565" s="456">
        <v>0</v>
      </c>
      <c r="M565" s="453"/>
    </row>
    <row r="566" spans="1:13">
      <c r="A566" s="441"/>
      <c r="B566" s="442"/>
      <c r="C566" s="441"/>
      <c r="D566" s="441"/>
      <c r="E566" s="442"/>
      <c r="F566" s="442"/>
      <c r="G566" s="443"/>
      <c r="H566" s="441"/>
      <c r="I566" s="441"/>
      <c r="J566" s="441"/>
      <c r="K566" s="441"/>
      <c r="L566" s="456">
        <v>0</v>
      </c>
      <c r="M566" s="453"/>
    </row>
    <row r="567" spans="1:13">
      <c r="A567" s="441"/>
      <c r="B567" s="442"/>
      <c r="C567" s="441"/>
      <c r="D567" s="441"/>
      <c r="E567" s="442"/>
      <c r="F567" s="442"/>
      <c r="G567" s="443"/>
      <c r="H567" s="441"/>
      <c r="I567" s="441"/>
      <c r="J567" s="441"/>
      <c r="K567" s="441"/>
      <c r="L567" s="456">
        <v>0</v>
      </c>
      <c r="M567" s="453"/>
    </row>
    <row r="568" spans="1:13">
      <c r="A568" s="441"/>
      <c r="B568" s="442"/>
      <c r="C568" s="441"/>
      <c r="D568" s="441"/>
      <c r="E568" s="442"/>
      <c r="F568" s="442"/>
      <c r="G568" s="443"/>
      <c r="H568" s="441"/>
      <c r="I568" s="441"/>
      <c r="J568" s="441"/>
      <c r="K568" s="441"/>
      <c r="L568" s="456">
        <v>0</v>
      </c>
      <c r="M568" s="453"/>
    </row>
    <row r="569" spans="1:13">
      <c r="A569" s="441"/>
      <c r="B569" s="442"/>
      <c r="C569" s="441"/>
      <c r="D569" s="441"/>
      <c r="E569" s="442"/>
      <c r="F569" s="442"/>
      <c r="G569" s="443"/>
      <c r="H569" s="441"/>
      <c r="I569" s="441"/>
      <c r="J569" s="441"/>
      <c r="K569" s="441"/>
      <c r="L569" s="456">
        <v>0</v>
      </c>
      <c r="M569" s="453"/>
    </row>
    <row r="570" spans="1:13">
      <c r="A570" s="441"/>
      <c r="B570" s="442"/>
      <c r="C570" s="441"/>
      <c r="D570" s="441"/>
      <c r="E570" s="442"/>
      <c r="F570" s="442"/>
      <c r="G570" s="443"/>
      <c r="H570" s="441"/>
      <c r="I570" s="441"/>
      <c r="J570" s="441"/>
      <c r="K570" s="441"/>
      <c r="L570" s="456">
        <v>0</v>
      </c>
      <c r="M570" s="453"/>
    </row>
    <row r="571" spans="1:13">
      <c r="A571" s="441"/>
      <c r="B571" s="442"/>
      <c r="C571" s="441"/>
      <c r="D571" s="441"/>
      <c r="E571" s="442"/>
      <c r="F571" s="442"/>
      <c r="G571" s="443"/>
      <c r="H571" s="441"/>
      <c r="I571" s="441"/>
      <c r="J571" s="441"/>
      <c r="K571" s="441"/>
      <c r="L571" s="456">
        <v>0</v>
      </c>
      <c r="M571" s="453"/>
    </row>
    <row r="572" spans="1:13">
      <c r="A572" s="441"/>
      <c r="B572" s="442"/>
      <c r="C572" s="441"/>
      <c r="D572" s="441"/>
      <c r="E572" s="442"/>
      <c r="F572" s="442"/>
      <c r="G572" s="443"/>
      <c r="H572" s="441"/>
      <c r="I572" s="441"/>
      <c r="J572" s="441"/>
      <c r="K572" s="441"/>
      <c r="L572" s="456">
        <v>0</v>
      </c>
      <c r="M572" s="453"/>
    </row>
    <row r="573" spans="1:13">
      <c r="A573" s="441"/>
      <c r="B573" s="442"/>
      <c r="C573" s="441"/>
      <c r="D573" s="441"/>
      <c r="E573" s="442"/>
      <c r="F573" s="442"/>
      <c r="G573" s="443"/>
      <c r="H573" s="441"/>
      <c r="I573" s="441"/>
      <c r="J573" s="441"/>
      <c r="K573" s="441"/>
      <c r="L573" s="456">
        <v>0</v>
      </c>
      <c r="M573" s="453"/>
    </row>
    <row r="574" spans="1:13">
      <c r="A574" s="441"/>
      <c r="B574" s="442"/>
      <c r="C574" s="441"/>
      <c r="D574" s="441"/>
      <c r="E574" s="442"/>
      <c r="F574" s="442"/>
      <c r="G574" s="443"/>
      <c r="H574" s="441"/>
      <c r="I574" s="441"/>
      <c r="J574" s="441"/>
      <c r="K574" s="441"/>
      <c r="L574" s="456">
        <v>0</v>
      </c>
      <c r="M574" s="453"/>
    </row>
    <row r="575" spans="1:13">
      <c r="A575" s="441"/>
      <c r="B575" s="442"/>
      <c r="C575" s="441"/>
      <c r="D575" s="441"/>
      <c r="E575" s="442"/>
      <c r="F575" s="442"/>
      <c r="G575" s="443"/>
      <c r="H575" s="441"/>
      <c r="I575" s="441"/>
      <c r="J575" s="441"/>
      <c r="K575" s="441"/>
      <c r="L575" s="456">
        <v>0</v>
      </c>
      <c r="M575" s="453"/>
    </row>
    <row r="576" spans="1:13">
      <c r="A576" s="441"/>
      <c r="B576" s="442"/>
      <c r="C576" s="441"/>
      <c r="D576" s="441"/>
      <c r="E576" s="442"/>
      <c r="F576" s="442"/>
      <c r="G576" s="443"/>
      <c r="H576" s="441"/>
      <c r="I576" s="441"/>
      <c r="J576" s="441"/>
      <c r="K576" s="441"/>
      <c r="L576" s="456">
        <v>0</v>
      </c>
      <c r="M576" s="453"/>
    </row>
    <row r="577" spans="1:13">
      <c r="A577" s="441"/>
      <c r="B577" s="442"/>
      <c r="C577" s="441"/>
      <c r="D577" s="441"/>
      <c r="E577" s="442"/>
      <c r="F577" s="442"/>
      <c r="G577" s="443"/>
      <c r="H577" s="441"/>
      <c r="I577" s="441"/>
      <c r="J577" s="441"/>
      <c r="K577" s="441"/>
      <c r="L577" s="456">
        <v>0</v>
      </c>
      <c r="M577" s="453"/>
    </row>
    <row r="578" spans="1:13">
      <c r="A578" s="441"/>
      <c r="B578" s="442"/>
      <c r="C578" s="441"/>
      <c r="D578" s="441"/>
      <c r="E578" s="442"/>
      <c r="F578" s="442"/>
      <c r="G578" s="443"/>
      <c r="H578" s="441"/>
      <c r="I578" s="441"/>
      <c r="J578" s="441"/>
      <c r="K578" s="441"/>
      <c r="L578" s="456">
        <v>0</v>
      </c>
      <c r="M578" s="453"/>
    </row>
    <row r="579" spans="1:13">
      <c r="A579" s="441"/>
      <c r="B579" s="442"/>
      <c r="C579" s="441"/>
      <c r="D579" s="441"/>
      <c r="E579" s="442"/>
      <c r="F579" s="442"/>
      <c r="G579" s="443"/>
      <c r="H579" s="441"/>
      <c r="I579" s="441"/>
      <c r="J579" s="441"/>
      <c r="K579" s="441"/>
      <c r="L579" s="456">
        <v>0</v>
      </c>
      <c r="M579" s="453"/>
    </row>
    <row r="580" spans="1:13">
      <c r="A580" s="441"/>
      <c r="B580" s="442"/>
      <c r="C580" s="441"/>
      <c r="D580" s="441"/>
      <c r="E580" s="442"/>
      <c r="F580" s="442"/>
      <c r="G580" s="443"/>
      <c r="H580" s="441"/>
      <c r="I580" s="441"/>
      <c r="J580" s="441"/>
      <c r="K580" s="441"/>
      <c r="L580" s="456">
        <v>0</v>
      </c>
      <c r="M580" s="453"/>
    </row>
    <row r="581" spans="1:13">
      <c r="A581" s="441"/>
      <c r="B581" s="442"/>
      <c r="C581" s="441"/>
      <c r="D581" s="441"/>
      <c r="E581" s="442"/>
      <c r="F581" s="442"/>
      <c r="G581" s="443"/>
      <c r="H581" s="441"/>
      <c r="I581" s="441"/>
      <c r="J581" s="441"/>
      <c r="K581" s="441"/>
      <c r="L581" s="456">
        <v>0</v>
      </c>
      <c r="M581" s="453"/>
    </row>
    <row r="582" spans="1:13">
      <c r="A582" s="441"/>
      <c r="B582" s="442"/>
      <c r="C582" s="441"/>
      <c r="D582" s="441"/>
      <c r="E582" s="442"/>
      <c r="F582" s="442"/>
      <c r="G582" s="443"/>
      <c r="H582" s="441"/>
      <c r="I582" s="441"/>
      <c r="J582" s="441"/>
      <c r="K582" s="441"/>
      <c r="L582" s="456">
        <v>0</v>
      </c>
      <c r="M582" s="453"/>
    </row>
    <row r="583" spans="1:13">
      <c r="A583" s="441"/>
      <c r="B583" s="442"/>
      <c r="C583" s="441"/>
      <c r="D583" s="441"/>
      <c r="E583" s="442"/>
      <c r="F583" s="442"/>
      <c r="G583" s="443"/>
      <c r="H583" s="441"/>
      <c r="I583" s="441"/>
      <c r="J583" s="441"/>
      <c r="K583" s="441"/>
      <c r="L583" s="456">
        <v>0</v>
      </c>
      <c r="M583" s="453"/>
    </row>
    <row r="584" spans="1:13">
      <c r="A584" s="441"/>
      <c r="B584" s="442"/>
      <c r="C584" s="441"/>
      <c r="D584" s="441"/>
      <c r="E584" s="442"/>
      <c r="F584" s="442"/>
      <c r="G584" s="443"/>
      <c r="H584" s="441"/>
      <c r="I584" s="441"/>
      <c r="J584" s="441"/>
      <c r="K584" s="441"/>
      <c r="L584" s="456">
        <v>0</v>
      </c>
      <c r="M584" s="453"/>
    </row>
    <row r="585" spans="1:13">
      <c r="A585" s="441"/>
      <c r="B585" s="442"/>
      <c r="C585" s="441"/>
      <c r="D585" s="441"/>
      <c r="E585" s="442"/>
      <c r="F585" s="442"/>
      <c r="G585" s="443"/>
      <c r="H585" s="441"/>
      <c r="I585" s="441"/>
      <c r="J585" s="441"/>
      <c r="K585" s="441"/>
      <c r="L585" s="456">
        <v>0</v>
      </c>
      <c r="M585" s="453"/>
    </row>
    <row r="586" spans="1:13">
      <c r="A586" s="441"/>
      <c r="B586" s="442"/>
      <c r="C586" s="441"/>
      <c r="D586" s="441"/>
      <c r="E586" s="442"/>
      <c r="F586" s="442"/>
      <c r="G586" s="443"/>
      <c r="H586" s="441"/>
      <c r="I586" s="441"/>
      <c r="J586" s="441"/>
      <c r="K586" s="441"/>
      <c r="L586" s="456">
        <v>0</v>
      </c>
      <c r="M586" s="453"/>
    </row>
    <row r="587" spans="1:13">
      <c r="A587" s="441"/>
      <c r="B587" s="442"/>
      <c r="C587" s="441"/>
      <c r="D587" s="441"/>
      <c r="E587" s="442"/>
      <c r="F587" s="442"/>
      <c r="G587" s="443"/>
      <c r="H587" s="441"/>
      <c r="I587" s="441"/>
      <c r="J587" s="441"/>
      <c r="K587" s="441"/>
      <c r="L587" s="456">
        <v>0</v>
      </c>
      <c r="M587" s="453"/>
    </row>
    <row r="588" spans="1:13">
      <c r="A588" s="441"/>
      <c r="B588" s="442"/>
      <c r="C588" s="441"/>
      <c r="D588" s="441"/>
      <c r="E588" s="442"/>
      <c r="F588" s="442"/>
      <c r="G588" s="443"/>
      <c r="H588" s="441"/>
      <c r="I588" s="441"/>
      <c r="J588" s="441"/>
      <c r="K588" s="441"/>
      <c r="L588" s="456">
        <v>0</v>
      </c>
      <c r="M588" s="453"/>
    </row>
    <row r="589" spans="1:13">
      <c r="A589" s="441"/>
      <c r="B589" s="442"/>
      <c r="C589" s="441"/>
      <c r="D589" s="441"/>
      <c r="E589" s="442"/>
      <c r="F589" s="442"/>
      <c r="G589" s="443"/>
      <c r="H589" s="441"/>
      <c r="I589" s="441"/>
      <c r="J589" s="441"/>
      <c r="K589" s="441"/>
      <c r="L589" s="456">
        <v>0</v>
      </c>
      <c r="M589" s="453"/>
    </row>
    <row r="590" spans="1:13">
      <c r="A590" s="441"/>
      <c r="B590" s="442"/>
      <c r="C590" s="441"/>
      <c r="D590" s="441"/>
      <c r="E590" s="442"/>
      <c r="F590" s="442"/>
      <c r="G590" s="443"/>
      <c r="H590" s="441"/>
      <c r="I590" s="441"/>
      <c r="J590" s="441"/>
      <c r="K590" s="441"/>
      <c r="L590" s="456">
        <v>0</v>
      </c>
      <c r="M590" s="453"/>
    </row>
    <row r="591" spans="1:13">
      <c r="A591" s="441"/>
      <c r="B591" s="442"/>
      <c r="C591" s="441"/>
      <c r="D591" s="441"/>
      <c r="E591" s="442"/>
      <c r="F591" s="442"/>
      <c r="G591" s="443"/>
      <c r="H591" s="441"/>
      <c r="I591" s="441"/>
      <c r="J591" s="441"/>
      <c r="K591" s="441"/>
      <c r="L591" s="456">
        <v>0</v>
      </c>
      <c r="M591" s="453"/>
    </row>
    <row r="592" spans="1:13">
      <c r="A592" s="441"/>
      <c r="B592" s="442"/>
      <c r="C592" s="441"/>
      <c r="D592" s="441"/>
      <c r="E592" s="442"/>
      <c r="F592" s="442"/>
      <c r="G592" s="443"/>
      <c r="H592" s="441"/>
      <c r="I592" s="441"/>
      <c r="J592" s="441"/>
      <c r="K592" s="441"/>
      <c r="L592" s="456">
        <v>0</v>
      </c>
      <c r="M592" s="453"/>
    </row>
    <row r="593" spans="1:13">
      <c r="A593" s="441"/>
      <c r="B593" s="442"/>
      <c r="C593" s="441"/>
      <c r="D593" s="441"/>
      <c r="E593" s="442"/>
      <c r="F593" s="442"/>
      <c r="G593" s="443"/>
      <c r="H593" s="441"/>
      <c r="I593" s="441"/>
      <c r="J593" s="441"/>
      <c r="K593" s="441"/>
      <c r="L593" s="456">
        <v>0</v>
      </c>
      <c r="M593" s="453"/>
    </row>
    <row r="594" spans="1:13">
      <c r="A594" s="441"/>
      <c r="B594" s="442"/>
      <c r="C594" s="441"/>
      <c r="D594" s="441"/>
      <c r="E594" s="442"/>
      <c r="F594" s="442"/>
      <c r="G594" s="443"/>
      <c r="H594" s="441"/>
      <c r="I594" s="441"/>
      <c r="J594" s="441"/>
      <c r="K594" s="441"/>
      <c r="L594" s="456">
        <v>0</v>
      </c>
      <c r="M594" s="453"/>
    </row>
    <row r="595" spans="1:13">
      <c r="A595" s="441"/>
      <c r="B595" s="442"/>
      <c r="C595" s="441"/>
      <c r="D595" s="441"/>
      <c r="E595" s="442"/>
      <c r="F595" s="442"/>
      <c r="G595" s="443"/>
      <c r="H595" s="441"/>
      <c r="I595" s="441"/>
      <c r="J595" s="441"/>
      <c r="K595" s="441"/>
      <c r="L595" s="456">
        <v>0</v>
      </c>
      <c r="M595" s="453"/>
    </row>
    <row r="596" spans="1:13">
      <c r="A596" s="441"/>
      <c r="B596" s="442"/>
      <c r="C596" s="441"/>
      <c r="D596" s="441"/>
      <c r="E596" s="442"/>
      <c r="F596" s="442"/>
      <c r="G596" s="443"/>
      <c r="H596" s="441"/>
      <c r="I596" s="441"/>
      <c r="J596" s="441"/>
      <c r="K596" s="441"/>
      <c r="L596" s="456">
        <v>0</v>
      </c>
      <c r="M596" s="453"/>
    </row>
    <row r="597" spans="1:13">
      <c r="A597" s="441"/>
      <c r="B597" s="442"/>
      <c r="C597" s="441"/>
      <c r="D597" s="441"/>
      <c r="E597" s="442"/>
      <c r="F597" s="442"/>
      <c r="G597" s="443"/>
      <c r="H597" s="441"/>
      <c r="I597" s="441"/>
      <c r="J597" s="441"/>
      <c r="K597" s="441"/>
      <c r="L597" s="456">
        <v>0</v>
      </c>
      <c r="M597" s="453"/>
    </row>
    <row r="598" spans="1:13">
      <c r="A598" s="441"/>
      <c r="B598" s="442"/>
      <c r="C598" s="441"/>
      <c r="D598" s="441"/>
      <c r="E598" s="442"/>
      <c r="F598" s="442"/>
      <c r="G598" s="443"/>
      <c r="H598" s="441"/>
      <c r="I598" s="441"/>
      <c r="J598" s="441"/>
      <c r="K598" s="441"/>
      <c r="L598" s="456">
        <v>0</v>
      </c>
      <c r="M598" s="453"/>
    </row>
    <row r="599" spans="1:13">
      <c r="A599" s="441"/>
      <c r="B599" s="442"/>
      <c r="C599" s="441"/>
      <c r="D599" s="441"/>
      <c r="E599" s="442"/>
      <c r="F599" s="442"/>
      <c r="G599" s="443"/>
      <c r="H599" s="441"/>
      <c r="I599" s="441"/>
      <c r="J599" s="441"/>
      <c r="K599" s="441"/>
      <c r="L599" s="456">
        <v>0</v>
      </c>
      <c r="M599" s="453"/>
    </row>
    <row r="600" spans="1:13">
      <c r="A600" s="441"/>
      <c r="B600" s="442"/>
      <c r="C600" s="441"/>
      <c r="D600" s="441"/>
      <c r="E600" s="442"/>
      <c r="F600" s="442"/>
      <c r="G600" s="443"/>
      <c r="H600" s="441"/>
      <c r="I600" s="441"/>
      <c r="J600" s="441"/>
      <c r="K600" s="441"/>
      <c r="L600" s="456">
        <v>0</v>
      </c>
      <c r="M600" s="453"/>
    </row>
    <row r="601" spans="1:13">
      <c r="A601" s="441"/>
      <c r="B601" s="442"/>
      <c r="C601" s="441"/>
      <c r="D601" s="441"/>
      <c r="E601" s="442"/>
      <c r="F601" s="442"/>
      <c r="G601" s="443"/>
      <c r="H601" s="441"/>
      <c r="I601" s="441"/>
      <c r="J601" s="441"/>
      <c r="K601" s="441"/>
      <c r="L601" s="456">
        <v>0</v>
      </c>
      <c r="M601" s="453"/>
    </row>
    <row r="602" spans="1:13">
      <c r="A602" s="441"/>
      <c r="B602" s="442"/>
      <c r="C602" s="441"/>
      <c r="D602" s="441"/>
      <c r="E602" s="442"/>
      <c r="F602" s="442"/>
      <c r="G602" s="443"/>
      <c r="H602" s="441"/>
      <c r="I602" s="441"/>
      <c r="J602" s="441"/>
      <c r="K602" s="441"/>
      <c r="L602" s="456">
        <v>0</v>
      </c>
      <c r="M602" s="453"/>
    </row>
    <row r="603" spans="1:13">
      <c r="D603" s="457"/>
    </row>
    <row r="604" spans="1:13">
      <c r="D604" s="457"/>
    </row>
    <row r="605" spans="1:13">
      <c r="D605" s="457"/>
    </row>
    <row r="606" spans="1:13">
      <c r="D606" s="457"/>
    </row>
    <row r="607" spans="1:13">
      <c r="D607" s="457"/>
    </row>
    <row r="608" spans="1:13">
      <c r="A608" s="453"/>
      <c r="B608" s="453"/>
      <c r="C608" s="453"/>
      <c r="D608" s="457"/>
      <c r="E608" s="459"/>
      <c r="F608" s="453"/>
      <c r="G608" s="453"/>
      <c r="H608" s="453"/>
      <c r="I608" s="453"/>
      <c r="J608" s="453"/>
      <c r="K608" s="453"/>
      <c r="L608" s="453"/>
      <c r="M608" s="453"/>
    </row>
    <row r="609" spans="1:13">
      <c r="A609" s="453"/>
      <c r="B609" s="453"/>
      <c r="C609" s="453"/>
      <c r="D609" s="457"/>
      <c r="E609" s="459"/>
      <c r="F609" s="453"/>
      <c r="G609" s="453"/>
      <c r="H609" s="453"/>
      <c r="I609" s="453"/>
      <c r="J609" s="453"/>
      <c r="K609" s="453"/>
      <c r="L609" s="453"/>
      <c r="M609" s="453"/>
    </row>
    <row r="610" spans="1:13">
      <c r="A610" s="453"/>
      <c r="B610" s="453"/>
      <c r="C610" s="453"/>
      <c r="D610" s="457"/>
      <c r="E610" s="459"/>
      <c r="F610" s="453"/>
      <c r="G610" s="453"/>
      <c r="H610" s="453"/>
      <c r="I610" s="453"/>
      <c r="J610" s="453"/>
      <c r="K610" s="453"/>
      <c r="L610" s="453"/>
      <c r="M610" s="453"/>
    </row>
    <row r="611" spans="1:13">
      <c r="A611" s="453"/>
      <c r="B611" s="453"/>
      <c r="C611" s="453"/>
      <c r="D611" s="457"/>
      <c r="E611" s="459"/>
      <c r="F611" s="453"/>
      <c r="G611" s="453"/>
      <c r="H611" s="453"/>
      <c r="I611" s="453"/>
      <c r="J611" s="453"/>
      <c r="K611" s="453"/>
      <c r="L611" s="453"/>
      <c r="M611" s="453"/>
    </row>
    <row r="612" spans="1:13">
      <c r="A612" s="453"/>
      <c r="B612" s="453"/>
      <c r="C612" s="453"/>
      <c r="D612" s="457"/>
      <c r="E612" s="459"/>
      <c r="F612" s="453"/>
      <c r="G612" s="453"/>
      <c r="H612" s="453"/>
      <c r="I612" s="453"/>
      <c r="J612" s="453"/>
      <c r="K612" s="453"/>
      <c r="L612" s="453"/>
      <c r="M612" s="453"/>
    </row>
    <row r="613" spans="1:13">
      <c r="A613" s="453"/>
      <c r="B613" s="453"/>
      <c r="C613" s="453"/>
      <c r="D613" s="457"/>
      <c r="E613" s="459"/>
      <c r="F613" s="453"/>
      <c r="G613" s="453"/>
      <c r="H613" s="453"/>
      <c r="I613" s="453"/>
      <c r="J613" s="453"/>
      <c r="K613" s="453"/>
      <c r="L613" s="453"/>
      <c r="M613" s="453"/>
    </row>
    <row r="614" spans="1:13">
      <c r="A614" s="453"/>
      <c r="B614" s="453"/>
      <c r="C614" s="453"/>
      <c r="D614" s="457"/>
      <c r="E614" s="459"/>
      <c r="F614" s="453"/>
      <c r="G614" s="453"/>
      <c r="H614" s="453"/>
      <c r="I614" s="453"/>
      <c r="J614" s="453"/>
      <c r="K614" s="453"/>
      <c r="L614" s="453"/>
      <c r="M614" s="453"/>
    </row>
    <row r="615" spans="1:13">
      <c r="A615" s="453"/>
      <c r="B615" s="453"/>
      <c r="C615" s="453"/>
      <c r="D615" s="457"/>
      <c r="E615" s="459"/>
      <c r="F615" s="453"/>
      <c r="G615" s="453"/>
      <c r="H615" s="453"/>
      <c r="I615" s="453"/>
      <c r="J615" s="453"/>
      <c r="K615" s="453"/>
      <c r="L615" s="453"/>
      <c r="M615" s="453"/>
    </row>
    <row r="616" spans="1:13">
      <c r="A616" s="453"/>
      <c r="B616" s="453"/>
      <c r="C616" s="453"/>
      <c r="D616" s="457"/>
      <c r="E616" s="459"/>
      <c r="F616" s="453"/>
      <c r="G616" s="453"/>
      <c r="H616" s="453"/>
      <c r="I616" s="453"/>
      <c r="J616" s="453"/>
      <c r="K616" s="453"/>
      <c r="L616" s="453"/>
      <c r="M616" s="453"/>
    </row>
    <row r="617" spans="1:13">
      <c r="A617" s="453"/>
      <c r="B617" s="453"/>
      <c r="C617" s="453"/>
      <c r="D617" s="457"/>
      <c r="E617" s="459"/>
      <c r="F617" s="453"/>
      <c r="G617" s="453"/>
      <c r="H617" s="453"/>
      <c r="I617" s="453"/>
      <c r="J617" s="453"/>
      <c r="K617" s="453"/>
      <c r="L617" s="453"/>
      <c r="M617" s="453"/>
    </row>
    <row r="618" spans="1:13">
      <c r="A618" s="453"/>
      <c r="B618" s="453"/>
      <c r="C618" s="453"/>
      <c r="D618" s="457"/>
      <c r="E618" s="459"/>
      <c r="F618" s="453"/>
      <c r="G618" s="453"/>
      <c r="H618" s="453"/>
      <c r="I618" s="453"/>
      <c r="J618" s="453"/>
      <c r="K618" s="453"/>
      <c r="L618" s="453"/>
      <c r="M618" s="453"/>
    </row>
    <row r="619" spans="1:13">
      <c r="A619" s="453"/>
      <c r="B619" s="453"/>
      <c r="C619" s="453"/>
      <c r="D619" s="457"/>
      <c r="E619" s="459"/>
      <c r="F619" s="453"/>
      <c r="G619" s="453"/>
      <c r="H619" s="453"/>
      <c r="I619" s="453"/>
      <c r="J619" s="453"/>
      <c r="K619" s="453"/>
      <c r="L619" s="453"/>
      <c r="M619" s="453"/>
    </row>
    <row r="620" spans="1:13">
      <c r="A620" s="453"/>
      <c r="B620" s="453"/>
      <c r="C620" s="453"/>
      <c r="D620" s="457"/>
      <c r="E620" s="459"/>
      <c r="F620" s="453"/>
      <c r="G620" s="453"/>
      <c r="H620" s="453"/>
      <c r="I620" s="453"/>
      <c r="J620" s="453"/>
      <c r="K620" s="453"/>
      <c r="L620" s="453"/>
      <c r="M620" s="453"/>
    </row>
    <row r="621" spans="1:13">
      <c r="A621" s="453"/>
      <c r="B621" s="453"/>
      <c r="C621" s="453"/>
      <c r="D621" s="457"/>
      <c r="E621" s="459"/>
      <c r="F621" s="453"/>
      <c r="G621" s="453"/>
      <c r="H621" s="453"/>
      <c r="I621" s="453"/>
      <c r="J621" s="453"/>
      <c r="K621" s="453"/>
      <c r="L621" s="453"/>
      <c r="M621" s="453"/>
    </row>
    <row r="622" spans="1:13">
      <c r="A622" s="453"/>
      <c r="B622" s="453"/>
      <c r="C622" s="453"/>
      <c r="D622" s="457"/>
      <c r="E622" s="459"/>
      <c r="F622" s="453"/>
      <c r="G622" s="453"/>
      <c r="H622" s="453"/>
      <c r="I622" s="453"/>
      <c r="J622" s="453"/>
      <c r="K622" s="453"/>
      <c r="L622" s="453"/>
      <c r="M622" s="453"/>
    </row>
    <row r="623" spans="1:13">
      <c r="A623" s="453"/>
      <c r="B623" s="453"/>
      <c r="C623" s="453"/>
      <c r="D623" s="457"/>
      <c r="E623" s="459"/>
      <c r="F623" s="453"/>
      <c r="G623" s="453"/>
      <c r="H623" s="453"/>
      <c r="I623" s="453"/>
      <c r="J623" s="453"/>
      <c r="K623" s="453"/>
      <c r="L623" s="453"/>
      <c r="M623" s="453"/>
    </row>
    <row r="624" spans="1:13">
      <c r="A624" s="453"/>
      <c r="B624" s="453"/>
      <c r="C624" s="453"/>
      <c r="D624" s="457"/>
      <c r="E624" s="459"/>
      <c r="F624" s="453"/>
      <c r="G624" s="453"/>
      <c r="H624" s="453"/>
      <c r="I624" s="453"/>
      <c r="J624" s="453"/>
      <c r="K624" s="453"/>
      <c r="L624" s="453"/>
      <c r="M624" s="453"/>
    </row>
    <row r="625" spans="1:13">
      <c r="A625" s="453"/>
      <c r="B625" s="453"/>
      <c r="C625" s="453"/>
      <c r="D625" s="457"/>
      <c r="E625" s="459"/>
      <c r="F625" s="453"/>
      <c r="G625" s="453"/>
      <c r="H625" s="453"/>
      <c r="I625" s="453"/>
      <c r="J625" s="453"/>
      <c r="K625" s="453"/>
      <c r="L625" s="453"/>
      <c r="M625" s="453"/>
    </row>
    <row r="626" spans="1:13">
      <c r="A626" s="453"/>
      <c r="B626" s="453"/>
      <c r="C626" s="453"/>
      <c r="D626" s="457"/>
      <c r="E626" s="459"/>
      <c r="F626" s="453"/>
      <c r="G626" s="453"/>
      <c r="H626" s="453"/>
      <c r="I626" s="453"/>
      <c r="J626" s="453"/>
      <c r="K626" s="453"/>
      <c r="L626" s="453"/>
      <c r="M626" s="453"/>
    </row>
    <row r="627" spans="1:13">
      <c r="A627" s="453"/>
      <c r="B627" s="453"/>
      <c r="C627" s="453"/>
      <c r="D627" s="457"/>
      <c r="E627" s="459"/>
      <c r="F627" s="453"/>
      <c r="G627" s="453"/>
      <c r="H627" s="453"/>
      <c r="I627" s="453"/>
      <c r="J627" s="453"/>
      <c r="K627" s="453"/>
      <c r="L627" s="453"/>
      <c r="M627" s="453"/>
    </row>
    <row r="628" spans="1:13">
      <c r="A628" s="453"/>
      <c r="B628" s="453"/>
      <c r="C628" s="453"/>
      <c r="D628" s="457"/>
      <c r="E628" s="459"/>
      <c r="F628" s="453"/>
      <c r="G628" s="453"/>
      <c r="H628" s="453"/>
      <c r="I628" s="453"/>
      <c r="J628" s="453"/>
      <c r="K628" s="453"/>
      <c r="L628" s="453"/>
      <c r="M628" s="453"/>
    </row>
    <row r="629" spans="1:13">
      <c r="A629" s="453"/>
      <c r="B629" s="453"/>
      <c r="C629" s="453"/>
      <c r="D629" s="457"/>
      <c r="E629" s="459"/>
      <c r="F629" s="453"/>
      <c r="G629" s="453"/>
      <c r="H629" s="453"/>
      <c r="I629" s="453"/>
      <c r="J629" s="453"/>
      <c r="K629" s="453"/>
      <c r="L629" s="453"/>
      <c r="M629" s="453"/>
    </row>
    <row r="630" spans="1:13">
      <c r="A630" s="453"/>
      <c r="B630" s="453"/>
      <c r="C630" s="453"/>
      <c r="D630" s="457"/>
      <c r="E630" s="459"/>
      <c r="F630" s="453"/>
      <c r="G630" s="453"/>
      <c r="H630" s="453"/>
      <c r="I630" s="453"/>
      <c r="J630" s="453"/>
      <c r="K630" s="453"/>
      <c r="L630" s="453"/>
      <c r="M630" s="453"/>
    </row>
    <row r="631" spans="1:13">
      <c r="A631" s="453"/>
      <c r="B631" s="453"/>
      <c r="C631" s="453"/>
      <c r="D631" s="457"/>
      <c r="E631" s="459"/>
      <c r="F631" s="453"/>
      <c r="G631" s="453"/>
      <c r="H631" s="453"/>
      <c r="I631" s="453"/>
      <c r="J631" s="453"/>
      <c r="K631" s="453"/>
      <c r="L631" s="453"/>
      <c r="M631" s="453"/>
    </row>
    <row r="632" spans="1:13">
      <c r="A632" s="453"/>
      <c r="B632" s="453"/>
      <c r="C632" s="453"/>
      <c r="D632" s="457"/>
      <c r="E632" s="459"/>
      <c r="F632" s="453"/>
      <c r="G632" s="453"/>
      <c r="H632" s="453"/>
      <c r="I632" s="453"/>
      <c r="J632" s="453"/>
      <c r="K632" s="453"/>
      <c r="L632" s="453"/>
      <c r="M632" s="453"/>
    </row>
    <row r="633" spans="1:13">
      <c r="A633" s="453"/>
      <c r="B633" s="453"/>
      <c r="C633" s="453"/>
      <c r="D633" s="457"/>
      <c r="E633" s="459"/>
      <c r="F633" s="453"/>
      <c r="G633" s="453"/>
      <c r="H633" s="453"/>
      <c r="I633" s="453"/>
      <c r="J633" s="453"/>
      <c r="K633" s="453"/>
      <c r="L633" s="453"/>
      <c r="M633" s="453"/>
    </row>
    <row r="634" spans="1:13">
      <c r="A634" s="453"/>
      <c r="B634" s="453"/>
      <c r="C634" s="453"/>
      <c r="D634" s="457"/>
      <c r="E634" s="459"/>
      <c r="F634" s="453"/>
      <c r="G634" s="453"/>
      <c r="H634" s="453"/>
      <c r="I634" s="453"/>
      <c r="J634" s="453"/>
      <c r="K634" s="453"/>
      <c r="L634" s="453"/>
      <c r="M634" s="453"/>
    </row>
    <row r="635" spans="1:13">
      <c r="A635" s="453"/>
      <c r="B635" s="453"/>
      <c r="C635" s="453"/>
      <c r="D635" s="457"/>
      <c r="E635" s="459"/>
      <c r="F635" s="453"/>
      <c r="G635" s="453"/>
      <c r="H635" s="453"/>
      <c r="I635" s="453"/>
      <c r="J635" s="453"/>
      <c r="K635" s="453"/>
      <c r="L635" s="453"/>
      <c r="M635" s="453"/>
    </row>
    <row r="636" spans="1:13">
      <c r="A636" s="453"/>
      <c r="B636" s="453"/>
      <c r="C636" s="453"/>
      <c r="D636" s="457"/>
      <c r="E636" s="459"/>
      <c r="F636" s="453"/>
      <c r="G636" s="453"/>
      <c r="H636" s="453"/>
      <c r="I636" s="453"/>
      <c r="J636" s="453"/>
      <c r="K636" s="453"/>
      <c r="L636" s="453"/>
      <c r="M636" s="453"/>
    </row>
    <row r="637" spans="1:13">
      <c r="A637" s="453"/>
      <c r="B637" s="453"/>
      <c r="C637" s="453"/>
      <c r="D637" s="457"/>
      <c r="E637" s="459"/>
      <c r="F637" s="453"/>
      <c r="G637" s="453"/>
      <c r="H637" s="453"/>
      <c r="I637" s="453"/>
      <c r="J637" s="453"/>
      <c r="K637" s="453"/>
      <c r="L637" s="453"/>
      <c r="M637" s="453"/>
    </row>
    <row r="638" spans="1:13">
      <c r="A638" s="453"/>
      <c r="B638" s="453"/>
      <c r="C638" s="453"/>
      <c r="E638" s="459"/>
      <c r="F638" s="453"/>
      <c r="G638" s="453"/>
      <c r="H638" s="453"/>
      <c r="I638" s="453"/>
      <c r="J638" s="453"/>
      <c r="K638" s="453"/>
      <c r="L638" s="453"/>
      <c r="M638" s="453"/>
    </row>
    <row r="639" spans="1:13">
      <c r="A639" s="453"/>
      <c r="B639" s="453"/>
      <c r="C639" s="453"/>
      <c r="E639" s="459"/>
      <c r="F639" s="453"/>
      <c r="G639" s="453"/>
      <c r="H639" s="453"/>
      <c r="I639" s="453"/>
      <c r="J639" s="453"/>
      <c r="K639" s="453"/>
      <c r="L639" s="453"/>
      <c r="M639" s="453"/>
    </row>
    <row r="640" spans="1:13">
      <c r="A640" s="453"/>
      <c r="B640" s="453"/>
      <c r="C640" s="453"/>
      <c r="D640" s="453"/>
      <c r="E640" s="459"/>
      <c r="F640" s="453"/>
      <c r="G640" s="453"/>
      <c r="H640" s="453"/>
      <c r="I640" s="453"/>
      <c r="J640" s="453"/>
      <c r="K640" s="453"/>
      <c r="L640" s="453"/>
      <c r="M640" s="453"/>
    </row>
    <row r="641" spans="1:13">
      <c r="A641" s="453"/>
      <c r="B641" s="453"/>
      <c r="C641" s="453"/>
      <c r="D641" s="453"/>
      <c r="E641" s="459"/>
      <c r="F641" s="453"/>
      <c r="G641" s="453"/>
      <c r="H641" s="453"/>
      <c r="I641" s="453"/>
      <c r="J641" s="453"/>
      <c r="K641" s="453"/>
      <c r="L641" s="453"/>
      <c r="M641" s="453"/>
    </row>
    <row r="642" spans="1:13">
      <c r="A642" s="453"/>
      <c r="B642" s="453"/>
      <c r="C642" s="453"/>
      <c r="D642" s="453"/>
      <c r="E642" s="459"/>
      <c r="F642" s="453"/>
      <c r="G642" s="453"/>
      <c r="H642" s="453"/>
      <c r="I642" s="453"/>
      <c r="J642" s="453"/>
      <c r="K642" s="453"/>
      <c r="L642" s="453"/>
      <c r="M642" s="453"/>
    </row>
    <row r="643" spans="1:13">
      <c r="A643" s="453"/>
      <c r="B643" s="453"/>
      <c r="C643" s="453"/>
      <c r="D643" s="453"/>
      <c r="E643" s="459"/>
      <c r="F643" s="453"/>
      <c r="G643" s="453"/>
      <c r="H643" s="453"/>
      <c r="I643" s="453"/>
      <c r="J643" s="453"/>
      <c r="K643" s="453"/>
      <c r="L643" s="453"/>
      <c r="M643" s="453"/>
    </row>
    <row r="644" spans="1:13">
      <c r="A644" s="453"/>
      <c r="B644" s="453"/>
      <c r="C644" s="453"/>
      <c r="D644" s="453"/>
      <c r="E644" s="459"/>
      <c r="F644" s="453"/>
      <c r="G644" s="453"/>
      <c r="H644" s="453"/>
      <c r="I644" s="453"/>
      <c r="J644" s="453"/>
      <c r="K644" s="453"/>
      <c r="L644" s="453"/>
      <c r="M644" s="453"/>
    </row>
    <row r="645" spans="1:13">
      <c r="A645" s="453"/>
      <c r="B645" s="453"/>
      <c r="C645" s="453"/>
      <c r="D645" s="453"/>
      <c r="E645" s="459"/>
      <c r="F645" s="453"/>
      <c r="G645" s="453"/>
      <c r="H645" s="453"/>
      <c r="I645" s="453"/>
      <c r="J645" s="453"/>
      <c r="K645" s="453"/>
      <c r="L645" s="453"/>
      <c r="M645" s="453"/>
    </row>
    <row r="646" spans="1:13">
      <c r="A646" s="453"/>
      <c r="B646" s="453"/>
      <c r="C646" s="453"/>
      <c r="D646" s="453"/>
      <c r="E646" s="459"/>
      <c r="F646" s="453"/>
      <c r="G646" s="453"/>
      <c r="H646" s="453"/>
      <c r="I646" s="453"/>
      <c r="J646" s="453"/>
      <c r="K646" s="453"/>
      <c r="L646" s="453"/>
      <c r="M646" s="453"/>
    </row>
    <row r="647" spans="1:13">
      <c r="A647" s="453"/>
      <c r="B647" s="453"/>
      <c r="C647" s="453"/>
      <c r="D647" s="453"/>
      <c r="E647" s="459"/>
      <c r="F647" s="453"/>
      <c r="G647" s="453"/>
      <c r="H647" s="453"/>
      <c r="I647" s="453"/>
      <c r="J647" s="453"/>
      <c r="K647" s="453"/>
      <c r="L647" s="453"/>
      <c r="M647" s="453"/>
    </row>
    <row r="648" spans="1:13">
      <c r="A648" s="453"/>
      <c r="B648" s="453"/>
      <c r="C648" s="453"/>
      <c r="D648" s="453"/>
      <c r="E648" s="459"/>
      <c r="F648" s="453"/>
      <c r="G648" s="453"/>
      <c r="H648" s="453"/>
      <c r="I648" s="453"/>
      <c r="J648" s="453"/>
      <c r="K648" s="453"/>
      <c r="L648" s="453"/>
      <c r="M648" s="453"/>
    </row>
    <row r="649" spans="1:13">
      <c r="A649" s="453"/>
      <c r="B649" s="453"/>
      <c r="C649" s="453"/>
      <c r="D649" s="453"/>
      <c r="E649" s="459"/>
      <c r="F649" s="453"/>
      <c r="G649" s="453"/>
      <c r="H649" s="453"/>
      <c r="I649" s="453"/>
      <c r="J649" s="453"/>
      <c r="K649" s="453"/>
      <c r="L649" s="453"/>
      <c r="M649" s="453"/>
    </row>
    <row r="650" spans="1:13">
      <c r="A650" s="453"/>
      <c r="B650" s="453"/>
      <c r="C650" s="453"/>
      <c r="D650" s="453"/>
      <c r="E650" s="459"/>
      <c r="F650" s="453"/>
      <c r="G650" s="453"/>
      <c r="H650" s="453"/>
      <c r="I650" s="453"/>
      <c r="J650" s="453"/>
      <c r="K650" s="453"/>
      <c r="L650" s="453"/>
      <c r="M650" s="453"/>
    </row>
    <row r="651" spans="1:13">
      <c r="A651" s="453"/>
      <c r="B651" s="453"/>
      <c r="C651" s="453"/>
      <c r="D651" s="453"/>
      <c r="E651" s="459"/>
      <c r="F651" s="453"/>
      <c r="G651" s="453"/>
      <c r="H651" s="453"/>
      <c r="I651" s="453"/>
      <c r="J651" s="453"/>
      <c r="K651" s="453"/>
      <c r="L651" s="453"/>
      <c r="M651" s="453"/>
    </row>
    <row r="652" spans="1:13">
      <c r="A652" s="453"/>
      <c r="B652" s="453"/>
      <c r="C652" s="453"/>
      <c r="D652" s="453"/>
      <c r="E652" s="459"/>
      <c r="F652" s="453"/>
      <c r="G652" s="453"/>
      <c r="H652" s="453"/>
      <c r="I652" s="453"/>
      <c r="J652" s="453"/>
      <c r="K652" s="453"/>
      <c r="L652" s="453"/>
      <c r="M652" s="453"/>
    </row>
    <row r="653" spans="1:13">
      <c r="A653" s="453"/>
      <c r="B653" s="453"/>
      <c r="C653" s="453"/>
      <c r="D653" s="453"/>
      <c r="E653" s="459"/>
      <c r="F653" s="453"/>
      <c r="G653" s="453"/>
      <c r="H653" s="453"/>
      <c r="I653" s="453"/>
      <c r="J653" s="453"/>
      <c r="K653" s="453"/>
      <c r="L653" s="453"/>
      <c r="M653" s="453"/>
    </row>
    <row r="654" spans="1:13">
      <c r="A654" s="453"/>
      <c r="B654" s="453"/>
      <c r="C654" s="453"/>
      <c r="D654" s="453"/>
      <c r="E654" s="459"/>
      <c r="F654" s="453"/>
      <c r="G654" s="453"/>
      <c r="H654" s="453"/>
      <c r="I654" s="453"/>
      <c r="J654" s="453"/>
      <c r="K654" s="453"/>
      <c r="L654" s="453"/>
      <c r="M654" s="453"/>
    </row>
    <row r="655" spans="1:13">
      <c r="A655" s="453"/>
      <c r="B655" s="453"/>
      <c r="C655" s="453"/>
      <c r="D655" s="453"/>
      <c r="E655" s="459"/>
      <c r="F655" s="453"/>
      <c r="G655" s="453"/>
      <c r="H655" s="453"/>
      <c r="I655" s="453"/>
      <c r="J655" s="453"/>
      <c r="K655" s="453"/>
      <c r="L655" s="453"/>
      <c r="M655" s="453"/>
    </row>
    <row r="656" spans="1:13">
      <c r="A656" s="453"/>
      <c r="B656" s="453"/>
      <c r="C656" s="453"/>
      <c r="D656" s="453"/>
      <c r="E656" s="459"/>
      <c r="F656" s="453"/>
      <c r="G656" s="453"/>
      <c r="H656" s="453"/>
      <c r="I656" s="453"/>
      <c r="J656" s="453"/>
      <c r="K656" s="453"/>
      <c r="L656" s="453"/>
      <c r="M656" s="453"/>
    </row>
    <row r="657" spans="1:13">
      <c r="A657" s="453"/>
      <c r="B657" s="453"/>
      <c r="C657" s="453"/>
      <c r="D657" s="453"/>
      <c r="E657" s="459"/>
      <c r="F657" s="453"/>
      <c r="G657" s="453"/>
      <c r="H657" s="453"/>
      <c r="I657" s="453"/>
      <c r="J657" s="453"/>
      <c r="K657" s="453"/>
      <c r="L657" s="453"/>
      <c r="M657" s="453"/>
    </row>
    <row r="658" spans="1:13">
      <c r="A658" s="453"/>
      <c r="B658" s="453"/>
      <c r="C658" s="453"/>
      <c r="D658" s="453"/>
      <c r="E658" s="459"/>
      <c r="F658" s="453"/>
      <c r="G658" s="453"/>
      <c r="H658" s="453"/>
      <c r="I658" s="453"/>
      <c r="J658" s="453"/>
      <c r="K658" s="453"/>
      <c r="L658" s="453"/>
      <c r="M658" s="453"/>
    </row>
    <row r="659" spans="1:13">
      <c r="A659" s="453"/>
      <c r="B659" s="453"/>
      <c r="C659" s="453"/>
      <c r="D659" s="453"/>
      <c r="E659" s="459"/>
      <c r="F659" s="453"/>
      <c r="G659" s="453"/>
      <c r="H659" s="453"/>
      <c r="I659" s="453"/>
      <c r="J659" s="453"/>
      <c r="K659" s="453"/>
      <c r="L659" s="453"/>
      <c r="M659" s="453"/>
    </row>
  </sheetData>
  <protectedRanges>
    <protectedRange sqref="G51" name="Intervalo2_13_1"/>
    <protectedRange sqref="G52" name="Intervalo2_24"/>
    <protectedRange sqref="G54" name="Intervalo2_21"/>
    <protectedRange sqref="G55" name="Intervalo2_12_1"/>
    <protectedRange sqref="G56" name="Intervalo2_11_2"/>
    <protectedRange sqref="G59" name="Intervalo2_10_1"/>
    <protectedRange sqref="G60" name="Intervalo2_1_1"/>
    <protectedRange sqref="G61" name="Intervalo2_20"/>
    <protectedRange sqref="G62" name="Intervalo2_15_1"/>
    <protectedRange sqref="G63" name="Intervalo2"/>
    <protectedRange sqref="G64" name="Intervalo2_16_1"/>
    <protectedRange sqref="G65" name="Intervalo2_13"/>
    <protectedRange sqref="G66" name="Intervalo2_14_1"/>
    <protectedRange sqref="G67" name="Intervalo2_26"/>
    <protectedRange sqref="G68" name="Intervalo2_25"/>
    <protectedRange sqref="G69" name="Intervalo2_24_1"/>
    <protectedRange sqref="G70" name="Intervalo2_30"/>
    <protectedRange sqref="G74" name="Intervalo2_1"/>
    <protectedRange sqref="G75" name="Intervalo2_18_1"/>
    <protectedRange sqref="G77:G78" name="Intervalo2_7_1"/>
    <protectedRange sqref="G79" name="Intervalo2_28"/>
    <protectedRange sqref="G80" name="Intervalo2_17_1"/>
    <protectedRange sqref="G81" name="Intervalo2_29"/>
    <protectedRange sqref="G82" name="Intervalo2_27"/>
    <protectedRange sqref="G84" name="Intervalo2_6_1"/>
    <protectedRange sqref="G86:G87" name="Intervalo2_19"/>
    <protectedRange sqref="G88" name="Intervalo2_22"/>
    <protectedRange sqref="G89" name="Intervalo2_2_1"/>
    <protectedRange sqref="G90" name="Intervalo2_4_1"/>
    <protectedRange sqref="G91" name="Intervalo2_23_1"/>
    <protectedRange sqref="L93:L96" name="Intervalo2_1_4"/>
  </protectedRanges>
  <pageMargins left="0.51181102362204722" right="0.51181102362204722" top="0.78740157480314965" bottom="0.78740157480314965" header="0.31496062992125984" footer="0.31496062992125984"/>
  <pageSetup paperSize="9" scale="33" orientation="landscape" horizontalDpi="4294967294" verticalDpi="4294967294" r:id="rId1"/>
  <rowBreaks count="1" manualBreakCount="1">
    <brk id="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6</vt:i4>
      </vt:variant>
    </vt:vector>
  </HeadingPairs>
  <TitlesOfParts>
    <vt:vector size="23" baseType="lpstr">
      <vt:lpstr>CONTÁBIL FINANCEIRA - PCF</vt:lpstr>
      <vt:lpstr>FUNDO FIXO</vt:lpstr>
      <vt:lpstr>1 CONTA CORRENTE (D E C)</vt:lpstr>
      <vt:lpstr>2 CONTA CORRENTE (D E C)</vt:lpstr>
      <vt:lpstr>SALDO DE ESTOQUE</vt:lpstr>
      <vt:lpstr>APLICAÇÃO FINANCEIRA</vt:lpstr>
      <vt:lpstr>Despesa pessoal ANEXO II </vt:lpstr>
      <vt:lpstr>Demais despesas pesso ANEXO III</vt:lpstr>
      <vt:lpstr>Despesas gerais ANEXO IV</vt:lpstr>
      <vt:lpstr>Receitas ANEXO V</vt:lpstr>
      <vt:lpstr>Demais receitas ANEXO VI</vt:lpstr>
      <vt:lpstr>Contratos ANEXO VII</vt:lpstr>
      <vt:lpstr>Termo aditivo ANEXO VIII</vt:lpstr>
      <vt:lpstr>TURNOVER</vt:lpstr>
      <vt:lpstr>CATEGORIA PROFISSIONAL</vt:lpstr>
      <vt:lpstr>CÁLCULO FOLHA DE PAGAMENTO</vt:lpstr>
      <vt:lpstr>PLANILHA DE CONFERÊNCIA</vt:lpstr>
      <vt:lpstr>'CÁLCULO FOLHA DE PAGAMENTO'!Area_de_impressao</vt:lpstr>
      <vt:lpstr>'CONTÁBIL FINANCEIRA - PCF'!Area_de_impressao</vt:lpstr>
      <vt:lpstr>'Demais despesas pesso ANEXO III'!Area_de_impressao</vt:lpstr>
      <vt:lpstr>'Despesa pessoal ANEXO II '!Area_de_impressao</vt:lpstr>
      <vt:lpstr>'SALDO DE ESTOQUE'!Area_de_impressao</vt:lpstr>
      <vt:lpstr>'Termo aditivo ANEXO VIII'!Area_de_impressao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 Leandra Cruz</dc:creator>
  <cp:lastModifiedBy>Camila Regina Gomes de Oliveira</cp:lastModifiedBy>
  <cp:lastPrinted>2021-02-17T16:20:39Z</cp:lastPrinted>
  <dcterms:created xsi:type="dcterms:W3CDTF">2019-12-13T12:34:00Z</dcterms:created>
  <dcterms:modified xsi:type="dcterms:W3CDTF">2021-02-18T13:19:57Z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1046-11.2.0.9906</vt:lpwstr>
  </property>
</Properties>
</file>