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- Arquivo TCE - Mensal\TCE\2021\Julho.2021\Excel\"/>
    </mc:Choice>
  </mc:AlternateContent>
  <xr:revisionPtr revIDLastSave="0" documentId="13_ncr:1_{7DF9AB31-DCD8-49B7-AEE0-668CAA4F25E1}" xr6:coauthVersionLast="47" xr6:coauthVersionMax="47" xr10:uidLastSave="{00000000-0000-0000-0000-000000000000}"/>
  <bookViews>
    <workbookView xWindow="-120" yWindow="-120" windowWidth="20730" windowHeight="11160" tabRatio="973" firstSheet="5" activeTab="8" xr2:uid="{00000000-000D-0000-FFFF-FFFF00000000}"/>
  </bookViews>
  <sheets>
    <sheet name="CONTÁBIL FINANCEIRA - PCF" sheetId="1" r:id="rId1"/>
    <sheet name="FUNDO FIXO" sheetId="19" r:id="rId2"/>
    <sheet name="1 CONTA CORRENTE (D E C)" sheetId="17" r:id="rId3"/>
    <sheet name="2 CONTA CORRENTE (D E C)" sheetId="28" state="hidden" r:id="rId4"/>
    <sheet name="SALDO DE ESTOQUE" sheetId="2" r:id="rId5"/>
    <sheet name="APLICAÇÃO FINANCEIRA" sheetId="18" r:id="rId6"/>
    <sheet name="Despesa pessoal ANEXO II " sheetId="20" r:id="rId7"/>
    <sheet name="Demais despesas pesso ANEXO III" sheetId="21" r:id="rId8"/>
    <sheet name="Despesas gerais ANEXO IV" sheetId="22" r:id="rId9"/>
    <sheet name="Receitas ANEXO V" sheetId="23" r:id="rId10"/>
    <sheet name="Demais receitas ANEXO VI" sheetId="24" r:id="rId11"/>
    <sheet name="Contratos ANEXO VII" sheetId="26" r:id="rId12"/>
    <sheet name="Termo aditivo ANEXO VIII" sheetId="27" r:id="rId13"/>
    <sheet name="TURNOVER" sheetId="4" r:id="rId14"/>
    <sheet name="CATEGORIA PROFISSIONAL" sheetId="7" r:id="rId15"/>
    <sheet name="CÁLCULO FOLHA DE PAGAMENTO" sheetId="12" r:id="rId16"/>
    <sheet name="PLANILHA DE CONFERÊNCIA" sheetId="11" r:id="rId17"/>
    <sheet name="Plan1" sheetId="29" state="hidden" r:id="rId18"/>
  </sheets>
  <definedNames>
    <definedName name="_xlnm._FilterDatabase" localSheetId="11" hidden="1">'Contratos ANEXO VII'!$A$1:$I$56</definedName>
    <definedName name="_xlnm._FilterDatabase" localSheetId="7" hidden="1">'Demais despesas pesso ANEXO III'!$A$1:$AB$191</definedName>
    <definedName name="_xlnm._FilterDatabase" localSheetId="6" hidden="1">'Despesa pessoal ANEXO II '!$A$1:$P$136</definedName>
    <definedName name="_xlnm.Print_Area" localSheetId="15">'CÁLCULO FOLHA DE PAGAMENTO'!$A$1:$I$83</definedName>
    <definedName name="_xlnm.Print_Area" localSheetId="0">'CONTÁBIL FINANCEIRA - PCF'!$A$1:$E$192</definedName>
    <definedName name="_xlnm.Print_Area" localSheetId="7">'Demais despesas pesso ANEXO III'!$A$1:$IE$136</definedName>
    <definedName name="_xlnm.Print_Area" localSheetId="6">'Despesa pessoal ANEXO II '!$A$1:$IG$136</definedName>
    <definedName name="_xlnm.Print_Area" localSheetId="8">'Despesas gerais ANEXO IV'!$A$1:$L$602</definedName>
    <definedName name="_xlnm.Print_Area" localSheetId="4">'SALDO DE ESTOQUE'!$A$1:$C$38</definedName>
    <definedName name="_xlnm.Print_Area" localSheetId="12">'Termo aditivo ANEXO VIII'!$A$1:$J$12</definedName>
    <definedName name="FORNECEDORES">#REF!</definedName>
  </definedNames>
  <calcPr calcId="191029"/>
</workbook>
</file>

<file path=xl/calcChain.xml><?xml version="1.0" encoding="utf-8"?>
<calcChain xmlns="http://schemas.openxmlformats.org/spreadsheetml/2006/main">
  <c r="D101" i="1" l="1"/>
  <c r="D99" i="1"/>
  <c r="D97" i="1"/>
  <c r="D96" i="1"/>
  <c r="D94" i="1"/>
  <c r="D83" i="1"/>
  <c r="D79" i="1"/>
  <c r="D78" i="1"/>
  <c r="D76" i="1"/>
  <c r="G79" i="12" l="1"/>
  <c r="G75" i="12"/>
  <c r="F14" i="18" l="1"/>
  <c r="D80" i="1" l="1"/>
  <c r="B36" i="12"/>
  <c r="G83" i="12"/>
  <c r="E18" i="12"/>
  <c r="D18" i="12"/>
  <c r="D44" i="12"/>
  <c r="G77" i="12" s="1"/>
  <c r="D14" i="12"/>
  <c r="P136" i="20" l="1"/>
  <c r="M135" i="20"/>
  <c r="P135" i="20" s="1"/>
  <c r="P134" i="20"/>
  <c r="M133" i="20"/>
  <c r="P133" i="20" s="1"/>
  <c r="M132" i="20"/>
  <c r="P132" i="20" s="1"/>
  <c r="P131" i="20"/>
  <c r="M131" i="20"/>
  <c r="M130" i="20"/>
  <c r="P130" i="20" s="1"/>
  <c r="M129" i="20"/>
  <c r="P129" i="20" s="1"/>
  <c r="P128" i="20"/>
  <c r="M127" i="20"/>
  <c r="P127" i="20" s="1"/>
  <c r="M126" i="20"/>
  <c r="P126" i="20" s="1"/>
  <c r="M125" i="20"/>
  <c r="P125" i="20" s="1"/>
  <c r="M124" i="20"/>
  <c r="P124" i="20" s="1"/>
  <c r="M123" i="20"/>
  <c r="P123" i="20" s="1"/>
  <c r="M122" i="20"/>
  <c r="P122" i="20" s="1"/>
  <c r="P121" i="20"/>
  <c r="M121" i="20"/>
  <c r="M120" i="20"/>
  <c r="P120" i="20" s="1"/>
  <c r="P119" i="20"/>
  <c r="P118" i="20"/>
  <c r="M117" i="20"/>
  <c r="P117" i="20" s="1"/>
  <c r="P116" i="20"/>
  <c r="M116" i="20"/>
  <c r="M115" i="20"/>
  <c r="P115" i="20" s="1"/>
  <c r="M114" i="20"/>
  <c r="P114" i="20" s="1"/>
  <c r="M113" i="20"/>
  <c r="P113" i="20" s="1"/>
  <c r="P112" i="20"/>
  <c r="M112" i="20"/>
  <c r="M111" i="20"/>
  <c r="P111" i="20" s="1"/>
  <c r="P110" i="20"/>
  <c r="M110" i="20"/>
  <c r="M109" i="20"/>
  <c r="P109" i="20" s="1"/>
  <c r="P108" i="20"/>
  <c r="M108" i="20"/>
  <c r="M107" i="20"/>
  <c r="P107" i="20" s="1"/>
  <c r="P106" i="20"/>
  <c r="P105" i="20"/>
  <c r="M104" i="20"/>
  <c r="P104" i="20" s="1"/>
  <c r="P103" i="20"/>
  <c r="M103" i="20"/>
  <c r="M102" i="20"/>
  <c r="P102" i="20" s="1"/>
  <c r="P101" i="20"/>
  <c r="K101" i="20"/>
  <c r="O100" i="20"/>
  <c r="M100" i="20"/>
  <c r="P100" i="20" s="1"/>
  <c r="P99" i="20"/>
  <c r="M99" i="20"/>
  <c r="M98" i="20"/>
  <c r="P98" i="20" s="1"/>
  <c r="P97" i="20"/>
  <c r="P96" i="20"/>
  <c r="M96" i="20"/>
  <c r="O95" i="20"/>
  <c r="M95" i="20"/>
  <c r="K95" i="20"/>
  <c r="M94" i="20"/>
  <c r="P94" i="20" s="1"/>
  <c r="M93" i="20"/>
  <c r="P93" i="20" s="1"/>
  <c r="M92" i="20"/>
  <c r="P92" i="20" s="1"/>
  <c r="P91" i="20"/>
  <c r="M91" i="20"/>
  <c r="M90" i="20"/>
  <c r="P90" i="20" s="1"/>
  <c r="P89" i="20"/>
  <c r="M89" i="20"/>
  <c r="P88" i="20"/>
  <c r="M87" i="20"/>
  <c r="P87" i="20" s="1"/>
  <c r="P86" i="20"/>
  <c r="M85" i="20"/>
  <c r="P85" i="20" s="1"/>
  <c r="P84" i="20"/>
  <c r="P83" i="20"/>
  <c r="M82" i="20"/>
  <c r="P82" i="20" s="1"/>
  <c r="P81" i="20"/>
  <c r="P80" i="20"/>
  <c r="M79" i="20"/>
  <c r="P79" i="20" s="1"/>
  <c r="P78" i="20"/>
  <c r="M78" i="20"/>
  <c r="P77" i="20"/>
  <c r="M76" i="20"/>
  <c r="P76" i="20" s="1"/>
  <c r="M75" i="20"/>
  <c r="P75" i="20" s="1"/>
  <c r="M74" i="20"/>
  <c r="P74" i="20" s="1"/>
  <c r="M73" i="20"/>
  <c r="P73" i="20" s="1"/>
  <c r="M72" i="20"/>
  <c r="P72" i="20" s="1"/>
  <c r="P71" i="20"/>
  <c r="M70" i="20"/>
  <c r="K70" i="20"/>
  <c r="P70" i="20" s="1"/>
  <c r="M69" i="20"/>
  <c r="P69" i="20" s="1"/>
  <c r="P68" i="20"/>
  <c r="P67" i="20"/>
  <c r="M66" i="20"/>
  <c r="P66" i="20" s="1"/>
  <c r="M65" i="20"/>
  <c r="P65" i="20" s="1"/>
  <c r="M64" i="20"/>
  <c r="P64" i="20" s="1"/>
  <c r="M63" i="20"/>
  <c r="P63" i="20" s="1"/>
  <c r="M62" i="20"/>
  <c r="P62" i="20" s="1"/>
  <c r="P61" i="20"/>
  <c r="P60" i="20"/>
  <c r="M59" i="20"/>
  <c r="P59" i="20" s="1"/>
  <c r="P58" i="20"/>
  <c r="M58" i="20"/>
  <c r="P57" i="20"/>
  <c r="P56" i="20"/>
  <c r="P55" i="20"/>
  <c r="M55" i="20"/>
  <c r="M54" i="20"/>
  <c r="P54" i="20" s="1"/>
  <c r="P53" i="20"/>
  <c r="P52" i="20"/>
  <c r="M52" i="20"/>
  <c r="M51" i="20"/>
  <c r="P51" i="20" s="1"/>
  <c r="M50" i="20"/>
  <c r="P50" i="20" s="1"/>
  <c r="M49" i="20"/>
  <c r="P49" i="20" s="1"/>
  <c r="M48" i="20"/>
  <c r="P48" i="20" s="1"/>
  <c r="M47" i="20"/>
  <c r="P47" i="20" s="1"/>
  <c r="M46" i="20"/>
  <c r="P46" i="20" s="1"/>
  <c r="P45" i="20"/>
  <c r="M44" i="20"/>
  <c r="P44" i="20" s="1"/>
  <c r="M43" i="20"/>
  <c r="P43" i="20" s="1"/>
  <c r="M42" i="20"/>
  <c r="P42" i="20" s="1"/>
  <c r="M41" i="20"/>
  <c r="P41" i="20" s="1"/>
  <c r="M40" i="20"/>
  <c r="P40" i="20" s="1"/>
  <c r="M39" i="20"/>
  <c r="P39" i="20" s="1"/>
  <c r="M38" i="20"/>
  <c r="P38" i="20" s="1"/>
  <c r="M37" i="20"/>
  <c r="P37" i="20" s="1"/>
  <c r="P36" i="20"/>
  <c r="M36" i="20"/>
  <c r="M35" i="20"/>
  <c r="P35" i="20" s="1"/>
  <c r="M34" i="20"/>
  <c r="P34" i="20" s="1"/>
  <c r="M33" i="20"/>
  <c r="P33" i="20" s="1"/>
  <c r="P32" i="20"/>
  <c r="K31" i="20"/>
  <c r="P31" i="20" s="1"/>
  <c r="P30" i="20"/>
  <c r="M29" i="20"/>
  <c r="P29" i="20" s="1"/>
  <c r="M28" i="20"/>
  <c r="P28" i="20" s="1"/>
  <c r="M27" i="20"/>
  <c r="P27" i="20" s="1"/>
  <c r="M26" i="20"/>
  <c r="P26" i="20" s="1"/>
  <c r="P25" i="20"/>
  <c r="M24" i="20"/>
  <c r="P24" i="20" s="1"/>
  <c r="P23" i="20"/>
  <c r="P22" i="20"/>
  <c r="P21" i="20"/>
  <c r="P20" i="20"/>
  <c r="M19" i="20"/>
  <c r="P19" i="20" s="1"/>
  <c r="P18" i="20"/>
  <c r="M18" i="20"/>
  <c r="M17" i="20"/>
  <c r="P17" i="20" s="1"/>
  <c r="M16" i="20"/>
  <c r="P16" i="20" s="1"/>
  <c r="M15" i="20"/>
  <c r="P15" i="20" s="1"/>
  <c r="P14" i="20"/>
  <c r="M13" i="20"/>
  <c r="P13" i="20" s="1"/>
  <c r="P12" i="20"/>
  <c r="M12" i="20"/>
  <c r="M11" i="20"/>
  <c r="P11" i="20" s="1"/>
  <c r="P10" i="20"/>
  <c r="P9" i="20"/>
  <c r="M9" i="20"/>
  <c r="M8" i="20"/>
  <c r="K8" i="20"/>
  <c r="M7" i="20"/>
  <c r="P7" i="20" s="1"/>
  <c r="M6" i="20"/>
  <c r="P6" i="20" s="1"/>
  <c r="P5" i="20"/>
  <c r="M4" i="20"/>
  <c r="P4" i="20" s="1"/>
  <c r="M3" i="20"/>
  <c r="P3" i="20" s="1"/>
  <c r="P2" i="20"/>
  <c r="P95" i="20" l="1"/>
  <c r="P8" i="20"/>
  <c r="V136" i="21"/>
  <c r="AB136" i="21" s="1"/>
  <c r="P136" i="21"/>
  <c r="V135" i="21"/>
  <c r="AB135" i="21" s="1"/>
  <c r="P135" i="21"/>
  <c r="V134" i="21"/>
  <c r="P134" i="21"/>
  <c r="V133" i="21"/>
  <c r="P133" i="21"/>
  <c r="AB133" i="21" s="1"/>
  <c r="V132" i="21"/>
  <c r="P132" i="21"/>
  <c r="V131" i="21"/>
  <c r="P131" i="21"/>
  <c r="V130" i="21"/>
  <c r="Q130" i="21"/>
  <c r="P130" i="21"/>
  <c r="V129" i="21"/>
  <c r="P129" i="21"/>
  <c r="V128" i="21"/>
  <c r="P128" i="21"/>
  <c r="AB128" i="21" s="1"/>
  <c r="V127" i="21"/>
  <c r="AB127" i="21" s="1"/>
  <c r="P127" i="21"/>
  <c r="P126" i="21"/>
  <c r="AB126" i="21" s="1"/>
  <c r="V125" i="21"/>
  <c r="AB125" i="21" s="1"/>
  <c r="P125" i="21"/>
  <c r="V124" i="21"/>
  <c r="AB124" i="21" s="1"/>
  <c r="P124" i="21"/>
  <c r="V123" i="21"/>
  <c r="AB123" i="21" s="1"/>
  <c r="P123" i="21"/>
  <c r="V122" i="21"/>
  <c r="Q122" i="21"/>
  <c r="P122" i="21"/>
  <c r="V121" i="21"/>
  <c r="P121" i="21"/>
  <c r="AB121" i="21" s="1"/>
  <c r="V120" i="21"/>
  <c r="Q120" i="21"/>
  <c r="P120" i="21"/>
  <c r="V119" i="21"/>
  <c r="AB119" i="21" s="1"/>
  <c r="P119" i="21"/>
  <c r="AB118" i="21"/>
  <c r="Q118" i="21"/>
  <c r="V117" i="21"/>
  <c r="P117" i="21"/>
  <c r="V116" i="21"/>
  <c r="Q116" i="21"/>
  <c r="P116" i="21"/>
  <c r="V115" i="21"/>
  <c r="P115" i="21"/>
  <c r="V114" i="21"/>
  <c r="P114" i="21"/>
  <c r="V113" i="21"/>
  <c r="Q113" i="21"/>
  <c r="P113" i="21"/>
  <c r="V112" i="21"/>
  <c r="Q112" i="21"/>
  <c r="P112" i="21"/>
  <c r="V111" i="21"/>
  <c r="AB111" i="21" s="1"/>
  <c r="Q111" i="21"/>
  <c r="P111" i="21"/>
  <c r="V110" i="21"/>
  <c r="AB110" i="21" s="1"/>
  <c r="V109" i="21"/>
  <c r="AB109" i="21" s="1"/>
  <c r="Q109" i="21"/>
  <c r="P109" i="21"/>
  <c r="V108" i="21"/>
  <c r="AB108" i="21" s="1"/>
  <c r="Q108" i="21"/>
  <c r="P108" i="21"/>
  <c r="V107" i="21"/>
  <c r="P107" i="21"/>
  <c r="AB106" i="21"/>
  <c r="V106" i="21"/>
  <c r="P106" i="21"/>
  <c r="V105" i="21"/>
  <c r="AB105" i="21" s="1"/>
  <c r="Q105" i="21"/>
  <c r="P105" i="21"/>
  <c r="V104" i="21"/>
  <c r="P104" i="21"/>
  <c r="V103" i="21"/>
  <c r="P103" i="21"/>
  <c r="P102" i="21"/>
  <c r="AB102" i="21" s="1"/>
  <c r="V101" i="21"/>
  <c r="P101" i="21"/>
  <c r="V100" i="21"/>
  <c r="P100" i="21"/>
  <c r="I100" i="21"/>
  <c r="V99" i="21"/>
  <c r="P99" i="21"/>
  <c r="V98" i="21"/>
  <c r="Q98" i="21"/>
  <c r="P98" i="21"/>
  <c r="Q97" i="21"/>
  <c r="P97" i="21"/>
  <c r="AB97" i="21" s="1"/>
  <c r="V96" i="21"/>
  <c r="AB96" i="21" s="1"/>
  <c r="P96" i="21"/>
  <c r="V95" i="21"/>
  <c r="P95" i="21"/>
  <c r="AB94" i="21"/>
  <c r="V94" i="21"/>
  <c r="Q94" i="21"/>
  <c r="P94" i="21"/>
  <c r="Q93" i="21"/>
  <c r="P93" i="21"/>
  <c r="AB93" i="21" s="1"/>
  <c r="Q92" i="21"/>
  <c r="P92" i="21"/>
  <c r="AB92" i="21" s="1"/>
  <c r="AB91" i="21"/>
  <c r="V91" i="21"/>
  <c r="Q91" i="21"/>
  <c r="P91" i="21"/>
  <c r="AB90" i="21"/>
  <c r="V90" i="21"/>
  <c r="Q90" i="21"/>
  <c r="P90" i="21"/>
  <c r="AB89" i="21"/>
  <c r="P89" i="21"/>
  <c r="V88" i="21"/>
  <c r="P88" i="21"/>
  <c r="V87" i="21"/>
  <c r="AB87" i="21" s="1"/>
  <c r="P87" i="21"/>
  <c r="V86" i="21"/>
  <c r="AB86" i="21" s="1"/>
  <c r="P86" i="21"/>
  <c r="V85" i="21"/>
  <c r="Q85" i="21"/>
  <c r="P85" i="21"/>
  <c r="V84" i="21"/>
  <c r="Q84" i="21"/>
  <c r="P84" i="21"/>
  <c r="V83" i="21"/>
  <c r="P83" i="21"/>
  <c r="V82" i="21"/>
  <c r="P82" i="21"/>
  <c r="V81" i="21"/>
  <c r="P81" i="21"/>
  <c r="V80" i="21"/>
  <c r="AB80" i="21" s="1"/>
  <c r="P80" i="21"/>
  <c r="V79" i="21"/>
  <c r="AB79" i="21" s="1"/>
  <c r="P79" i="21"/>
  <c r="V78" i="21"/>
  <c r="AB78" i="21" s="1"/>
  <c r="Q78" i="21"/>
  <c r="P78" i="21"/>
  <c r="Q77" i="21"/>
  <c r="P77" i="21"/>
  <c r="AB77" i="21" s="1"/>
  <c r="V76" i="21"/>
  <c r="AB76" i="21" s="1"/>
  <c r="P76" i="21"/>
  <c r="V75" i="21"/>
  <c r="Q75" i="21"/>
  <c r="P75" i="21"/>
  <c r="V74" i="21"/>
  <c r="Q74" i="21"/>
  <c r="P74" i="21"/>
  <c r="V73" i="21"/>
  <c r="AB73" i="21" s="1"/>
  <c r="P73" i="21"/>
  <c r="V72" i="21"/>
  <c r="Q72" i="21"/>
  <c r="P72" i="21"/>
  <c r="V71" i="21"/>
  <c r="AB71" i="21" s="1"/>
  <c r="P71" i="21"/>
  <c r="V70" i="21"/>
  <c r="AB70" i="21" s="1"/>
  <c r="Q70" i="21"/>
  <c r="P70" i="21"/>
  <c r="V69" i="21"/>
  <c r="P69" i="21"/>
  <c r="AB69" i="21" s="1"/>
  <c r="V68" i="21"/>
  <c r="AB68" i="21" s="1"/>
  <c r="P68" i="21"/>
  <c r="Q67" i="21"/>
  <c r="P67" i="21"/>
  <c r="AB67" i="21" s="1"/>
  <c r="V66" i="21"/>
  <c r="Q66" i="21"/>
  <c r="P66" i="21"/>
  <c r="AB65" i="21"/>
  <c r="Q65" i="21"/>
  <c r="P65" i="21"/>
  <c r="V64" i="21"/>
  <c r="Q64" i="21"/>
  <c r="P64" i="21"/>
  <c r="V63" i="21"/>
  <c r="P63" i="21"/>
  <c r="V62" i="21"/>
  <c r="P62" i="21"/>
  <c r="V61" i="21"/>
  <c r="Q61" i="21"/>
  <c r="P61" i="21"/>
  <c r="V60" i="21"/>
  <c r="AB60" i="21" s="1"/>
  <c r="P60" i="21"/>
  <c r="V59" i="21"/>
  <c r="Q59" i="21"/>
  <c r="P59" i="21"/>
  <c r="V58" i="21"/>
  <c r="P58" i="21"/>
  <c r="Q57" i="21"/>
  <c r="P57" i="21"/>
  <c r="AB57" i="21" s="1"/>
  <c r="V56" i="21"/>
  <c r="P56" i="21"/>
  <c r="P55" i="21"/>
  <c r="AB55" i="21" s="1"/>
  <c r="V54" i="21"/>
  <c r="AB54" i="21" s="1"/>
  <c r="P54" i="21"/>
  <c r="AB53" i="21"/>
  <c r="Q53" i="21"/>
  <c r="V52" i="21"/>
  <c r="Q52" i="21"/>
  <c r="P52" i="21"/>
  <c r="V51" i="21"/>
  <c r="P51" i="21"/>
  <c r="Q50" i="21"/>
  <c r="P50" i="21"/>
  <c r="AB50" i="21" s="1"/>
  <c r="V49" i="21"/>
  <c r="P49" i="21"/>
  <c r="V48" i="21"/>
  <c r="P48" i="21"/>
  <c r="V47" i="21"/>
  <c r="P47" i="21"/>
  <c r="P46" i="21"/>
  <c r="AB46" i="21" s="1"/>
  <c r="V45" i="21"/>
  <c r="AB45" i="21" s="1"/>
  <c r="Q45" i="21"/>
  <c r="T44" i="21"/>
  <c r="Q44" i="21"/>
  <c r="P44" i="21"/>
  <c r="AB44" i="21" s="1"/>
  <c r="V43" i="21"/>
  <c r="P43" i="21"/>
  <c r="V42" i="21"/>
  <c r="Q42" i="21"/>
  <c r="P42" i="21"/>
  <c r="V41" i="21"/>
  <c r="Q41" i="21"/>
  <c r="P41" i="21"/>
  <c r="P40" i="21"/>
  <c r="AB40" i="21" s="1"/>
  <c r="P39" i="21"/>
  <c r="AB39" i="21" s="1"/>
  <c r="Q38" i="21"/>
  <c r="P38" i="21"/>
  <c r="AB38" i="21" s="1"/>
  <c r="AB37" i="21"/>
  <c r="Q37" i="21"/>
  <c r="P37" i="21"/>
  <c r="P36" i="21"/>
  <c r="AB36" i="21" s="1"/>
  <c r="V35" i="21"/>
  <c r="AB35" i="21" s="1"/>
  <c r="Q35" i="21"/>
  <c r="P35" i="21"/>
  <c r="Q34" i="21"/>
  <c r="P34" i="21"/>
  <c r="AB34" i="21" s="1"/>
  <c r="V33" i="21"/>
  <c r="P33" i="21"/>
  <c r="AB33" i="21" s="1"/>
  <c r="P32" i="21"/>
  <c r="AB32" i="21" s="1"/>
  <c r="P31" i="21"/>
  <c r="AB31" i="21" s="1"/>
  <c r="V30" i="21"/>
  <c r="P30" i="21"/>
  <c r="V29" i="21"/>
  <c r="P29" i="21"/>
  <c r="P28" i="21"/>
  <c r="AB28" i="21" s="1"/>
  <c r="V27" i="21"/>
  <c r="P27" i="21"/>
  <c r="V26" i="21"/>
  <c r="P26" i="21"/>
  <c r="V25" i="21"/>
  <c r="P25" i="21"/>
  <c r="Q24" i="21"/>
  <c r="P24" i="21"/>
  <c r="AB24" i="21" s="1"/>
  <c r="V23" i="21"/>
  <c r="P23" i="21"/>
  <c r="AB22" i="21"/>
  <c r="V21" i="21"/>
  <c r="P21" i="21"/>
  <c r="V20" i="21"/>
  <c r="Q20" i="21"/>
  <c r="P20" i="21"/>
  <c r="AB20" i="21" s="1"/>
  <c r="V19" i="21"/>
  <c r="Q19" i="21"/>
  <c r="P19" i="21"/>
  <c r="AB19" i="21" s="1"/>
  <c r="T18" i="21"/>
  <c r="V18" i="21" s="1"/>
  <c r="Q18" i="21"/>
  <c r="P18" i="21"/>
  <c r="V17" i="21"/>
  <c r="P17" i="21"/>
  <c r="Q16" i="21"/>
  <c r="P16" i="21"/>
  <c r="AB16" i="21" s="1"/>
  <c r="V15" i="21"/>
  <c r="AB15" i="21" s="1"/>
  <c r="Q15" i="21"/>
  <c r="P15" i="21"/>
  <c r="V14" i="21"/>
  <c r="P14" i="21"/>
  <c r="AB13" i="21"/>
  <c r="P13" i="21"/>
  <c r="P12" i="21"/>
  <c r="AB12" i="21" s="1"/>
  <c r="AB11" i="21"/>
  <c r="V11" i="21"/>
  <c r="Q11" i="21"/>
  <c r="P11" i="21"/>
  <c r="AB10" i="21"/>
  <c r="P10" i="21"/>
  <c r="V9" i="21"/>
  <c r="Q9" i="21"/>
  <c r="P9" i="21"/>
  <c r="V8" i="21"/>
  <c r="AB8" i="21" s="1"/>
  <c r="Q8" i="21"/>
  <c r="P8" i="21"/>
  <c r="V7" i="21"/>
  <c r="P7" i="21"/>
  <c r="AB7" i="21" s="1"/>
  <c r="V6" i="21"/>
  <c r="P6" i="21"/>
  <c r="P5" i="21"/>
  <c r="AB5" i="21" s="1"/>
  <c r="AB4" i="21"/>
  <c r="P4" i="21"/>
  <c r="P3" i="21"/>
  <c r="AB3" i="21" s="1"/>
  <c r="V2" i="21"/>
  <c r="AB2" i="21" s="1"/>
  <c r="Q2" i="21"/>
  <c r="P2" i="21"/>
  <c r="AB6" i="21" l="1"/>
  <c r="AB9" i="21"/>
  <c r="AB30" i="21"/>
  <c r="AB52" i="21"/>
  <c r="AB56" i="21"/>
  <c r="AB63" i="21"/>
  <c r="AB64" i="21"/>
  <c r="AB75" i="21"/>
  <c r="AB84" i="21"/>
  <c r="AB88" i="21"/>
  <c r="AB115" i="21"/>
  <c r="AB18" i="21"/>
  <c r="AB29" i="21"/>
  <c r="AB41" i="21"/>
  <c r="AB43" i="21"/>
  <c r="AB48" i="21"/>
  <c r="AB61" i="21"/>
  <c r="AB74" i="21"/>
  <c r="AB122" i="21"/>
  <c r="AB47" i="21"/>
  <c r="AB49" i="21"/>
  <c r="AB82" i="21"/>
  <c r="AB114" i="21"/>
  <c r="AB131" i="21"/>
  <c r="AB81" i="21"/>
  <c r="AB83" i="21"/>
  <c r="AB101" i="21"/>
  <c r="AB14" i="21"/>
  <c r="AB21" i="21"/>
  <c r="AB25" i="21"/>
  <c r="AB27" i="21"/>
  <c r="AB51" i="21"/>
  <c r="AB59" i="21"/>
  <c r="AB95" i="21"/>
  <c r="AB98" i="21"/>
  <c r="AB100" i="21"/>
  <c r="AB104" i="21"/>
  <c r="AB107" i="21"/>
  <c r="AB113" i="21"/>
  <c r="AB116" i="21"/>
  <c r="AB130" i="21"/>
  <c r="AB17" i="21"/>
  <c r="AB23" i="21"/>
  <c r="AB26" i="21"/>
  <c r="AB42" i="21"/>
  <c r="AB58" i="21"/>
  <c r="AB62" i="21"/>
  <c r="AB66" i="21"/>
  <c r="AB72" i="21"/>
  <c r="AB85" i="21"/>
  <c r="AB99" i="21"/>
  <c r="AB103" i="21"/>
  <c r="AB112" i="21"/>
  <c r="AB117" i="21"/>
  <c r="AB120" i="21"/>
  <c r="AB129" i="21"/>
  <c r="AB132" i="21"/>
  <c r="AB134" i="21"/>
  <c r="C34" i="2"/>
  <c r="D10" i="1" l="1"/>
  <c r="E14" i="12" l="1"/>
  <c r="G26" i="12" l="1"/>
  <c r="C22" i="12"/>
  <c r="C27" i="12" s="1"/>
  <c r="C28" i="12" s="1"/>
  <c r="F57" i="19"/>
  <c r="G80" i="12" l="1"/>
  <c r="G74" i="12"/>
  <c r="G70" i="12"/>
  <c r="D68" i="12"/>
  <c r="H66" i="12"/>
  <c r="G66" i="12"/>
  <c r="G18" i="12" s="1"/>
  <c r="D41" i="12"/>
  <c r="B35" i="12" s="1"/>
  <c r="B34" i="12"/>
  <c r="B33" i="12"/>
  <c r="E16" i="12"/>
  <c r="G25" i="12" s="1"/>
  <c r="G24" i="12"/>
  <c r="G22" i="12" s="1"/>
  <c r="N24" i="7"/>
  <c r="M24" i="7"/>
  <c r="L24" i="7"/>
  <c r="K24" i="7"/>
  <c r="J24" i="7"/>
  <c r="I24" i="7"/>
  <c r="H24" i="7"/>
  <c r="G24" i="7"/>
  <c r="F24" i="7"/>
  <c r="E24" i="7"/>
  <c r="D24" i="7"/>
  <c r="C24" i="7"/>
  <c r="N21" i="7"/>
  <c r="M21" i="7"/>
  <c r="L21" i="7"/>
  <c r="K21" i="7"/>
  <c r="J21" i="7"/>
  <c r="I21" i="7"/>
  <c r="H21" i="7"/>
  <c r="G21" i="7"/>
  <c r="F21" i="7"/>
  <c r="E21" i="7"/>
  <c r="E26" i="7" s="1"/>
  <c r="D21" i="7"/>
  <c r="C21" i="7"/>
  <c r="C21" i="4"/>
  <c r="F23" i="18"/>
  <c r="E23" i="18"/>
  <c r="D23" i="18"/>
  <c r="C23" i="18"/>
  <c r="B23" i="18"/>
  <c r="G22" i="18"/>
  <c r="G21" i="18"/>
  <c r="G23" i="18" s="1"/>
  <c r="F18" i="18"/>
  <c r="F24" i="18" s="1"/>
  <c r="D153" i="1" s="1"/>
  <c r="E18" i="18"/>
  <c r="D18" i="18"/>
  <c r="C18" i="18"/>
  <c r="C24" i="18" s="1"/>
  <c r="D150" i="1" s="1"/>
  <c r="B18" i="18"/>
  <c r="B24" i="18" s="1"/>
  <c r="D149" i="1" s="1"/>
  <c r="G17" i="18"/>
  <c r="G16" i="18"/>
  <c r="G15" i="18"/>
  <c r="G14" i="18"/>
  <c r="G13" i="18"/>
  <c r="C36" i="2"/>
  <c r="D144" i="1" s="1"/>
  <c r="C20" i="2"/>
  <c r="D143" i="1" s="1"/>
  <c r="D249" i="28"/>
  <c r="C249" i="28"/>
  <c r="D249" i="17"/>
  <c r="C249" i="17"/>
  <c r="G57" i="19"/>
  <c r="C63" i="19" s="1"/>
  <c r="D131" i="1" s="1"/>
  <c r="C62" i="19"/>
  <c r="D182" i="1"/>
  <c r="D188" i="1" s="1"/>
  <c r="D189" i="1" s="1"/>
  <c r="D164" i="1"/>
  <c r="D136" i="1"/>
  <c r="D129" i="1"/>
  <c r="E123" i="1"/>
  <c r="D110" i="1"/>
  <c r="D105" i="1"/>
  <c r="D98" i="1"/>
  <c r="D91" i="1"/>
  <c r="D89" i="1"/>
  <c r="D82" i="1"/>
  <c r="D75" i="1"/>
  <c r="E70" i="1"/>
  <c r="D61" i="1"/>
  <c r="D58" i="1"/>
  <c r="D56" i="1" s="1"/>
  <c r="D48" i="1"/>
  <c r="D42" i="1" s="1"/>
  <c r="D34" i="1"/>
  <c r="D31" i="1"/>
  <c r="D25" i="1"/>
  <c r="D24" i="1" s="1"/>
  <c r="D33" i="1" s="1"/>
  <c r="D169" i="1" s="1"/>
  <c r="D15" i="1"/>
  <c r="K26" i="7" l="1"/>
  <c r="D138" i="1"/>
  <c r="E24" i="18"/>
  <c r="D16" i="1" s="1"/>
  <c r="G26" i="7"/>
  <c r="D24" i="18"/>
  <c r="D151" i="1" s="1"/>
  <c r="D250" i="28"/>
  <c r="D137" i="1"/>
  <c r="D139" i="1" s="1"/>
  <c r="L26" i="7"/>
  <c r="G19" i="18"/>
  <c r="I26" i="7"/>
  <c r="M26" i="7"/>
  <c r="J26" i="7"/>
  <c r="N26" i="7"/>
  <c r="H26" i="7"/>
  <c r="F26" i="7"/>
  <c r="H16" i="12"/>
  <c r="D171" i="1" s="1"/>
  <c r="D152" i="1"/>
  <c r="C26" i="7"/>
  <c r="G27" i="12"/>
  <c r="G28" i="12" s="1"/>
  <c r="D26" i="7"/>
  <c r="B32" i="12"/>
  <c r="C64" i="19"/>
  <c r="G18" i="18"/>
  <c r="G24" i="18" s="1"/>
  <c r="D250" i="17"/>
  <c r="D81" i="1"/>
  <c r="D130" i="1"/>
  <c r="D132" i="1" s="1"/>
  <c r="D145" i="1"/>
  <c r="C38" i="2"/>
  <c r="B38" i="12"/>
  <c r="B39" i="12" s="1"/>
  <c r="H18" i="12"/>
  <c r="D172" i="1" s="1"/>
  <c r="H14" i="12"/>
  <c r="G73" i="12"/>
  <c r="D32" i="1" s="1"/>
  <c r="D154" i="1" l="1"/>
  <c r="D19" i="1"/>
  <c r="D20" i="1" s="1"/>
  <c r="G69" i="12"/>
  <c r="D30" i="1" s="1"/>
  <c r="D23" i="1" s="1"/>
  <c r="D112" i="1" s="1"/>
  <c r="D156" i="1"/>
  <c r="I14" i="12"/>
  <c r="D170" i="1"/>
  <c r="D173" i="1" s="1"/>
  <c r="D113" i="1" l="1"/>
</calcChain>
</file>

<file path=xl/sharedStrings.xml><?xml version="1.0" encoding="utf-8"?>
<sst xmlns="http://schemas.openxmlformats.org/spreadsheetml/2006/main" count="4056" uniqueCount="1359">
  <si>
    <t>PREFEITURA MUNICIPAL DE JABOATÃO DOS GUARARAPES</t>
  </si>
  <si>
    <t>JANEIRO/2020 - VERSÃO 1.0</t>
  </si>
  <si>
    <t>SECRETARIA MUNICIPAL DE SAÚDE</t>
  </si>
  <si>
    <t>MÊS/ANO COMPETÊNCIA</t>
  </si>
  <si>
    <t>ANO CONTRATO</t>
  </si>
  <si>
    <t>GERÊNCIA FINANCEIRA E CONTÁBIL - FUNDO MUNICIPAL DE SAÚDE</t>
  </si>
  <si>
    <t>DEMONSTRATIVO DE RESULTADO CONTÁBIL - FINANCEIRO MENSAL</t>
  </si>
  <si>
    <t>UNIDADE</t>
  </si>
  <si>
    <t>RESPONSÁVEL PELA UNIDADE</t>
  </si>
  <si>
    <t>ISENTO PIS:</t>
  </si>
  <si>
    <t>SIM</t>
  </si>
  <si>
    <t>DESCRIÇÃO</t>
  </si>
  <si>
    <t>VALOR</t>
  </si>
  <si>
    <t>RECEITAS OPERACIONAIS</t>
  </si>
  <si>
    <t>Repasse Contrato de Gestão (Fixo+Variável)</t>
  </si>
  <si>
    <t xml:space="preserve">Repasse Contrato de Gestão INVESTIMENTO </t>
  </si>
  <si>
    <t>Plano de Investimento Autorizado pela SMS</t>
  </si>
  <si>
    <t>Repasse Programas Especiais</t>
  </si>
  <si>
    <t xml:space="preserve"> ( - ) Desconto </t>
  </si>
  <si>
    <t>TOTAL DE REPASSES</t>
  </si>
  <si>
    <t>Rendimento de Aplicações Financeiras</t>
  </si>
  <si>
    <t>Reembolso de Despesas</t>
  </si>
  <si>
    <t>Outras Receitas</t>
  </si>
  <si>
    <t>TOTAL OUTRAS RECEITAS</t>
  </si>
  <si>
    <t>TOTAL DE REPASSES/RECEITAS</t>
  </si>
  <si>
    <t>DESPESAS OPERACIONAIS</t>
  </si>
  <si>
    <t>1. Pessoal</t>
  </si>
  <si>
    <t xml:space="preserve">  1.1. Ordenados (Não inclui férias, 13º e Rescisão)</t>
  </si>
  <si>
    <t xml:space="preserve">    1.1.1. Assistência Médica</t>
  </si>
  <si>
    <t xml:space="preserve">        1.1.1.1. Médicos</t>
  </si>
  <si>
    <t xml:space="preserve">        1.1.1.2. Outros profissionais de saúde</t>
  </si>
  <si>
    <t xml:space="preserve">    1.1.2. Assistência Odontológica</t>
  </si>
  <si>
    <t xml:space="preserve">    1.1.3. Administrativo</t>
  </si>
  <si>
    <t xml:space="preserve">  1.2. FGTS</t>
  </si>
  <si>
    <t xml:space="preserve">  1.3. PIS</t>
  </si>
  <si>
    <t xml:space="preserve">  1.4. Benefícios</t>
  </si>
  <si>
    <t xml:space="preserve">  1.5. Provisões (Férias + 13º + Rescisões)</t>
  </si>
  <si>
    <t>2. Insumos Assistenciais</t>
  </si>
  <si>
    <t xml:space="preserve">  2.1. Materiais Descartáveis/Materiais de Penso</t>
  </si>
  <si>
    <t xml:space="preserve">  2.2. Medicamentos</t>
  </si>
  <si>
    <t xml:space="preserve">  2.3. Dietas Industrializadas</t>
  </si>
  <si>
    <t xml:space="preserve">  2.4. Gases Medicinais</t>
  </si>
  <si>
    <t xml:space="preserve">  2.5. OPME (Orteses, Próteses e Materiais Especiais)</t>
  </si>
  <si>
    <t xml:space="preserve">  2.6. Material de uso odontológico</t>
  </si>
  <si>
    <t xml:space="preserve">  2.7. Outras Despesas com Insumos Assistenciais</t>
  </si>
  <si>
    <t>3. Materiais/Consumos Diversos</t>
  </si>
  <si>
    <t xml:space="preserve">  3.1. Material de Higienização e Limpeza</t>
  </si>
  <si>
    <t xml:space="preserve">  3.2. Material/Gêneros Alimentícios</t>
  </si>
  <si>
    <t xml:space="preserve">  3.3. Material de Expediente</t>
  </si>
  <si>
    <t xml:space="preserve">  3.4. Combustível</t>
  </si>
  <si>
    <t xml:space="preserve">  3.5. GLP</t>
  </si>
  <si>
    <t xml:space="preserve">  3.6. Material de Manutenção</t>
  </si>
  <si>
    <t xml:space="preserve">       3.6.1. Predial e Mobiliário</t>
  </si>
  <si>
    <t xml:space="preserve">       3.6.2. Equipamentos Médico-hospitalar</t>
  </si>
  <si>
    <t xml:space="preserve">       3.6.3. Equipamentos de Informática</t>
  </si>
  <si>
    <t xml:space="preserve">       3.6.4.  Manutenção de Veículo </t>
  </si>
  <si>
    <t xml:space="preserve">       3.6.5.  Outras despesas com material de manutenção </t>
  </si>
  <si>
    <t xml:space="preserve">  3.7. Tecidos, Fardamentos e EPI</t>
  </si>
  <si>
    <t xml:space="preserve">  3.8. Outras Despesas com Materiais Diversos</t>
  </si>
  <si>
    <t>4. Seguros/Tributos/Despesas Bancárias</t>
  </si>
  <si>
    <t xml:space="preserve">  4.1. Seguros (Imóvel e veículos)</t>
  </si>
  <si>
    <t xml:space="preserve">  4.2. Tributos (Impostos e Taxas)</t>
  </si>
  <si>
    <t xml:space="preserve">    4.2.1. Taxas</t>
  </si>
  <si>
    <t xml:space="preserve">    4.2.2. Impostos</t>
  </si>
  <si>
    <t xml:space="preserve">  4.3. Despesas Bancárias (Taxa de Manutenção/Tarifas)</t>
  </si>
  <si>
    <t xml:space="preserve">    4.3.1. Taxa de Manutenção de Conta</t>
  </si>
  <si>
    <t xml:space="preserve">    4.3.2. Tarifas</t>
  </si>
  <si>
    <t>_____________________________________</t>
  </si>
  <si>
    <t>______/______/_______</t>
  </si>
  <si>
    <t>RECEBIMENTO SMS
(DATA e ASSINATURA)</t>
  </si>
  <si>
    <t xml:space="preserve">DATA </t>
  </si>
  <si>
    <t>ASSINATURA RESPONSÁVEL PELA UNIDADE</t>
  </si>
  <si>
    <t>DESPESAS OPERACIONAIS (continuação)</t>
  </si>
  <si>
    <t>5. Gerais</t>
  </si>
  <si>
    <t xml:space="preserve">  5.1. Telefonia/Internet</t>
  </si>
  <si>
    <t xml:space="preserve">  5.2. Água</t>
  </si>
  <si>
    <t xml:space="preserve">  5.3. Energia Elétrica</t>
  </si>
  <si>
    <t xml:space="preserve">  5.4. Alugueis/Locações (exceto ambulância)</t>
  </si>
  <si>
    <t xml:space="preserve">  5.5. Outras Despesas Gerais</t>
  </si>
  <si>
    <t>6. Serviços Terceirizados/Contratos de Prestação de Serviços</t>
  </si>
  <si>
    <t xml:space="preserve">  6.1. Assistência Médica (Pessoa Jurídica)</t>
  </si>
  <si>
    <t xml:space="preserve">        6.1.1.1. Médicos</t>
  </si>
  <si>
    <t xml:space="preserve">        6.1.1.2. Outros profissionais de saúde</t>
  </si>
  <si>
    <t xml:space="preserve">        6.1.1.3. Laboratório</t>
  </si>
  <si>
    <t xml:space="preserve">        6.1.1.4. Alimentação/Dietas</t>
  </si>
  <si>
    <t xml:space="preserve">        6.1.1.5. Locação de Ambulâncias</t>
  </si>
  <si>
    <t xml:space="preserve">        6.1.1.6. Outras Pessoas Jurídicas</t>
  </si>
  <si>
    <t xml:space="preserve">  6.2. Assistência Odontológica</t>
  </si>
  <si>
    <t xml:space="preserve">    6.2.1. Pessoa Jurídica</t>
  </si>
  <si>
    <t xml:space="preserve">  6.3. Administrativos (Pessoa Jurídica)</t>
  </si>
  <si>
    <t xml:space="preserve">        6.3.1.1. Lavanderia</t>
  </si>
  <si>
    <t xml:space="preserve">        6.3.1.2. Coleta de Lixo Hospitalar</t>
  </si>
  <si>
    <t xml:space="preserve">        6.3.1.3. Manutenção/Aluguel/Uso de Sistemas ou Softwares</t>
  </si>
  <si>
    <t xml:space="preserve">        6.3.1.4. Vigilância e Limpeza</t>
  </si>
  <si>
    <t xml:space="preserve">        6.3.1.5. Consultorias e Treinamentos</t>
  </si>
  <si>
    <t xml:space="preserve">        6.3.1.6. Outras Pessoas Jurídicas</t>
  </si>
  <si>
    <t>7. Manutenção</t>
  </si>
  <si>
    <t xml:space="preserve">  7.1. Predial e Mobiliário</t>
  </si>
  <si>
    <t xml:space="preserve">  7.2. Veículos</t>
  </si>
  <si>
    <t xml:space="preserve">  7.3. Equipamentos Médico-hospitalar</t>
  </si>
  <si>
    <t xml:space="preserve">  7.4. Equipamentos de Informática</t>
  </si>
  <si>
    <t xml:space="preserve">  7.5. Outros Equipamentos</t>
  </si>
  <si>
    <t xml:space="preserve">  7.6. Engenharia Clínica</t>
  </si>
  <si>
    <t xml:space="preserve">8. Investimentos </t>
  </si>
  <si>
    <t xml:space="preserve">    8.1. Equipamentos</t>
  </si>
  <si>
    <t xml:space="preserve">    8.2. Móveis e Utensílios</t>
  </si>
  <si>
    <t xml:space="preserve">    8.3. Obras e Construções</t>
  </si>
  <si>
    <t xml:space="preserve">    8.4. Outras despesas Investimentos</t>
  </si>
  <si>
    <t xml:space="preserve"> 9. Despesas com Plano de Investimento Autorizado pela SMS</t>
  </si>
  <si>
    <t>10. Despesa(s) de Competência(s) Anterior(es)</t>
  </si>
  <si>
    <t>TOTAL DE DESPESAS OPERACIONAIS</t>
  </si>
  <si>
    <t>RESULTADO (DÉFICIT/SUPERÁVIT)</t>
  </si>
  <si>
    <t>DEVOLUÇÃO DE SUPERÁVIT</t>
  </si>
  <si>
    <t>RESSARCIMENTO DE DÉFICIT</t>
  </si>
  <si>
    <t>TURNOVER DO MÊS (%)</t>
  </si>
  <si>
    <t>DISPONIBILIDADE DE RECURSOS</t>
  </si>
  <si>
    <t>CAIXA</t>
  </si>
  <si>
    <t>SALDO INICIAL (1)</t>
  </si>
  <si>
    <t>DÉBITOS (2)</t>
  </si>
  <si>
    <t>CRÉDITOS (3)</t>
  </si>
  <si>
    <t>SALDO FINAL (4 = 1-2+3)</t>
  </si>
  <si>
    <t>CONTA CORRENTE</t>
  </si>
  <si>
    <t>SALDO DE ESTOQUE</t>
  </si>
  <si>
    <t>INSUMOS ASSISTENCIAIS (1)</t>
  </si>
  <si>
    <t>MATERIAIS/ CONSUMOS DIVERSOS (2)</t>
  </si>
  <si>
    <t>SALDO FINAL (3 =1+2)</t>
  </si>
  <si>
    <t>APLICAÇÕES FINANCEIRAS</t>
  </si>
  <si>
    <t>RESGATES (2)</t>
  </si>
  <si>
    <t>APLICAÇÕES (3)</t>
  </si>
  <si>
    <t>RENDIMENTO APLICAÇÕES (4)</t>
  </si>
  <si>
    <t>TRIBUTOS (5)</t>
  </si>
  <si>
    <t>SALDO FINAL (6 = 1-2+3+4-5)</t>
  </si>
  <si>
    <t>SALDO DE RECURSOS DISPONÍVEIS</t>
  </si>
  <si>
    <t>FORNECEDORES</t>
  </si>
  <si>
    <t>Contas Vencidas no mês da prestação de contas</t>
  </si>
  <si>
    <t>Contas Vencidas em meses anteriores à prestação de contas.</t>
  </si>
  <si>
    <t>Contas a Vencer no mês subsequente ao mês da prestação de contas.</t>
  </si>
  <si>
    <t>Contas a Vencer nos meses posteriores ao mês subsequente à prestação de contas.</t>
  </si>
  <si>
    <t>TOTAL</t>
  </si>
  <si>
    <t>SALDO DE PROVISÕES</t>
  </si>
  <si>
    <t>PROVISÃO DO MÊS (2)</t>
  </si>
  <si>
    <t>FÉRIAS (3)</t>
  </si>
  <si>
    <t>13º SALÁRIO (4)</t>
  </si>
  <si>
    <t>RESCISÕES (5)</t>
  </si>
  <si>
    <t>SALDO FINAL (6 = 1+2-3-4-5)</t>
  </si>
  <si>
    <t xml:space="preserve"> DESPESA COM PLANO DE INVESTIMENTO AUTORIZADO PELA SMS</t>
  </si>
  <si>
    <t>EQUIPAMENTOS</t>
  </si>
  <si>
    <t>MÓVEIS E UTENSÍLIOS</t>
  </si>
  <si>
    <t>OBRAS E CONSTRUÇÕES</t>
  </si>
  <si>
    <t>VEÍCULOS</t>
  </si>
  <si>
    <t>OUTRAS DESPESAS COM INVESTIMENTOS</t>
  </si>
  <si>
    <t xml:space="preserve"> RESULTADO DA DESPESA COM PLANO DE INVESTIMENTO AUTORIZADO PELA SMS</t>
  </si>
  <si>
    <t>RECURSO MENSAL AUTORIZADO (2)</t>
  </si>
  <si>
    <t>DESPESAS INVESTIMENTOS AUTORIZADO (3)</t>
  </si>
  <si>
    <t>SALDO FINAL (4 = 1+2-3)</t>
  </si>
  <si>
    <t>ITEM DA PCF</t>
  </si>
  <si>
    <t>DATA</t>
  </si>
  <si>
    <t>Nº DA NOTA FISCAL</t>
  </si>
  <si>
    <t>NOME DO FORNECEDOR</t>
  </si>
  <si>
    <t>VALOR DÉBITO</t>
  </si>
  <si>
    <t>VALOR CRÉDITO</t>
  </si>
  <si>
    <t>CÁLCULO FINAL</t>
  </si>
  <si>
    <t>SALDO DO MÊS ANTERIOR</t>
  </si>
  <si>
    <t>SALDO TOTAL DOS CUPONS FISCAIS (DÉBITO)</t>
  </si>
  <si>
    <t>SALDO TOTAL  (CRÉDITO)</t>
  </si>
  <si>
    <t>SALDO FINAL</t>
  </si>
  <si>
    <t>_______________________________________</t>
  </si>
  <si>
    <t>ASINATURA DO RESPONSÁVEL PELA UNIDADE</t>
  </si>
  <si>
    <t>NOME DA UNIDADE DE SAÚDE
PLANILHA DÉBITO E CRÉDITO
 MÊS XXXXXX/XXXX</t>
  </si>
  <si>
    <t xml:space="preserve">CONTA CORRENTE 
BANCO XXXXXXXXX
AG: XXXX C/C XXXXXX   </t>
  </si>
  <si>
    <t>SALDO INICIAL</t>
  </si>
  <si>
    <t xml:space="preserve">DÉBITOS </t>
  </si>
  <si>
    <t xml:space="preserve">CRÉDITOS </t>
  </si>
  <si>
    <t>SALDO</t>
  </si>
  <si>
    <t>________________________________________________________</t>
  </si>
  <si>
    <t>ASSINATURA DO RESPONSÁVEL PELA UNIDADE</t>
  </si>
  <si>
    <t>ESTOQUE ITEM 2.</t>
  </si>
  <si>
    <t>2.1</t>
  </si>
  <si>
    <t>MATERIAL DESCARTÁVEL / MATERIAL DE PENSO</t>
  </si>
  <si>
    <t>2.2</t>
  </si>
  <si>
    <t>MEDICAMENTOS</t>
  </si>
  <si>
    <t>2.3</t>
  </si>
  <si>
    <t>DIETAS INDUSTRIALIZADAS</t>
  </si>
  <si>
    <t>2.4</t>
  </si>
  <si>
    <t>GASES MEDICINAIS</t>
  </si>
  <si>
    <t>2.5</t>
  </si>
  <si>
    <t>OPME (Orteses, Próteses e Materiais Especiais)</t>
  </si>
  <si>
    <t>2.6</t>
  </si>
  <si>
    <t>MATERIAL DE USO ODONTOLÓGICO</t>
  </si>
  <si>
    <t>2.7</t>
  </si>
  <si>
    <t>OUTRAS DESPESAS COM MATERIAIS DIVERSOS</t>
  </si>
  <si>
    <t>TOTAL 2.</t>
  </si>
  <si>
    <t>ESTOQUE ITEM 3.</t>
  </si>
  <si>
    <t>3.1</t>
  </si>
  <si>
    <t>MATERIAL DE HIGIENIZAÇÃO E LIMPEZA</t>
  </si>
  <si>
    <t>3.2</t>
  </si>
  <si>
    <t>MATERIAL / GENEROS ALIMENTÍCIOS</t>
  </si>
  <si>
    <t>3.3</t>
  </si>
  <si>
    <t>MATERIAL DE EXPEDIENTE</t>
  </si>
  <si>
    <t>3.4</t>
  </si>
  <si>
    <t>COMBUSTÍVEL</t>
  </si>
  <si>
    <t>3.5</t>
  </si>
  <si>
    <t>GLP</t>
  </si>
  <si>
    <t>3.6 / 3.6.1</t>
  </si>
  <si>
    <t>PREDIAL E MOBILIÁRIO</t>
  </si>
  <si>
    <t>3.6 / 3.6.2</t>
  </si>
  <si>
    <t>EQUIPAMENTO MÉDICO-HOSPITALAR</t>
  </si>
  <si>
    <t>3.6 / 3.6.3</t>
  </si>
  <si>
    <t>EQUIPAMENTO DE INFORMÁTICA</t>
  </si>
  <si>
    <t>3.6 / 3.6.4</t>
  </si>
  <si>
    <t>MANUTENÇÃO DE VEÍCULOS</t>
  </si>
  <si>
    <t>3.6 / 3.6.5</t>
  </si>
  <si>
    <t>OUTRAS DESPESASA COM MATERIAL DE MANUTENÇÃO</t>
  </si>
  <si>
    <t>3.7</t>
  </si>
  <si>
    <t>TECIDOS, FARDAMENTOS E EPI</t>
  </si>
  <si>
    <t>3.8</t>
  </si>
  <si>
    <t>TOTAL 3.</t>
  </si>
  <si>
    <t>TOTAL GERAL (2 +3)</t>
  </si>
  <si>
    <t>Acompanhamento de Saldos Bancários</t>
  </si>
  <si>
    <t>SALDO DISPONÍVEL EM APLICAÇÕES TOTAIS</t>
  </si>
  <si>
    <t>APLICAÇÃO FINANCEIRA</t>
  </si>
  <si>
    <t>Saldo Inicial</t>
  </si>
  <si>
    <t>Resgate</t>
  </si>
  <si>
    <t>Aplicação</t>
  </si>
  <si>
    <t>Rendimento</t>
  </si>
  <si>
    <t>Tributos</t>
  </si>
  <si>
    <t>Saldo Final</t>
  </si>
  <si>
    <t>BANCO:                        
AG: 
CONTA:    
TIPO DE APLICAÇÃO:</t>
  </si>
  <si>
    <t>TOTAL DA APLICAÇÃO FINANCEIRA</t>
  </si>
  <si>
    <t>APLICAÇÃO FINANCEIRA DE PROVISÃO</t>
  </si>
  <si>
    <t>TOTAL DA APLICAÇÃO FINANCEIRA DE PROVISÃO</t>
  </si>
  <si>
    <t>_________________________________________________________</t>
  </si>
  <si>
    <t>Assinatura do responsável pela unidade</t>
  </si>
  <si>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</si>
  <si>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</si>
  <si>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</si>
  <si>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</si>
  <si>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</si>
  <si>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</si>
  <si>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</si>
  <si>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</si>
  <si>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</si>
  <si>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</si>
  <si>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</si>
  <si>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</si>
  <si>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</si>
  <si>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</si>
  <si>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</si>
  <si>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</si>
  <si>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</si>
  <si>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</si>
  <si>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</si>
  <si>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</si>
  <si>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</si>
  <si>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</si>
  <si>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</si>
  <si>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</si>
  <si>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</si>
  <si>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</si>
  <si>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</si>
  <si>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</si>
  <si>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Categoria de Despesa</t>
  </si>
  <si>
    <t>CNPF / CPF do Fornecedor / Prestador</t>
  </si>
  <si>
    <t>Nome do Fornecedor / Prestador</t>
  </si>
  <si>
    <t>Tipo (Bem ou Serviço)</t>
  </si>
  <si>
    <t>Possui NF</t>
  </si>
  <si>
    <t>Número da Nota Fiscal</t>
  </si>
  <si>
    <t>Data de Emissão da NF</t>
  </si>
  <si>
    <t>Chave de Acesso</t>
  </si>
  <si>
    <t>Código IBGE</t>
  </si>
  <si>
    <t>Valor</t>
  </si>
  <si>
    <t>Nota de Emprenho</t>
  </si>
  <si>
    <t>Data NE</t>
  </si>
  <si>
    <t>Valor Empenhado</t>
  </si>
  <si>
    <t>Número Ordem Bancária</t>
  </si>
  <si>
    <t>Data OB</t>
  </si>
  <si>
    <t>Valor Pago</t>
  </si>
  <si>
    <t>CPF / CNPJ Origem</t>
  </si>
  <si>
    <t>Nome Origem</t>
  </si>
  <si>
    <t>Descrição</t>
  </si>
  <si>
    <t>Data</t>
  </si>
  <si>
    <t>CNPJ do Fornecedor</t>
  </si>
  <si>
    <t>Nome do Fornecedor</t>
  </si>
  <si>
    <t>Objeto do Contrato</t>
  </si>
  <si>
    <t>Data de Assinatura</t>
  </si>
  <si>
    <t>Término Vigênica</t>
  </si>
  <si>
    <t>Valot Total</t>
  </si>
  <si>
    <t>Link para o contrato</t>
  </si>
  <si>
    <t>CNPJ do Forncedor</t>
  </si>
  <si>
    <t>Número do TA</t>
  </si>
  <si>
    <t>Térmo Vigência</t>
  </si>
  <si>
    <t>Valor Total</t>
  </si>
  <si>
    <t>Link para o aditivo</t>
  </si>
  <si>
    <t>CÁLCULO DO TURNOVER</t>
  </si>
  <si>
    <t>RESPONSÁVEL</t>
  </si>
  <si>
    <t>MÊS/ANO</t>
  </si>
  <si>
    <t>CAMPO</t>
  </si>
  <si>
    <t>DESCRIÇÃO DO CAMPO</t>
  </si>
  <si>
    <t>PREENCHIMENTO</t>
  </si>
  <si>
    <t>TURNOVER =</t>
  </si>
  <si>
    <t>(</t>
  </si>
  <si>
    <t>+</t>
  </si>
  <si>
    <t>)</t>
  </si>
  <si>
    <t>÷</t>
  </si>
  <si>
    <t>CLT Mês anterior</t>
  </si>
  <si>
    <t>x</t>
  </si>
  <si>
    <t>Resultado =</t>
  </si>
  <si>
    <t>CATEGORIA PROFISSIONAL</t>
  </si>
  <si>
    <t xml:space="preserve">RECURSOS HUMANOS </t>
  </si>
  <si>
    <t>TIPO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</si>
  <si>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</si>
  <si>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</si>
  <si>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</si>
  <si>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</si>
  <si>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</si>
  <si>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</si>
  <si>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</si>
  <si>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</si>
  <si>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</si>
  <si>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</si>
  <si>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</si>
  <si>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</si>
  <si>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QUANTIDADE</t>
  </si>
  <si>
    <t>1.1.1.1. Médicos</t>
  </si>
  <si>
    <t>CLT</t>
  </si>
  <si>
    <t>1.1.1.2. Outros profissionais de saúde
Incluir (1.1.2. Assistencia Odontológica)</t>
  </si>
  <si>
    <t>1.1.3. Administrativo</t>
  </si>
  <si>
    <t>SUBTOTAL 01 (CLT)</t>
  </si>
  <si>
    <t>6.1.1.1. Médicos</t>
  </si>
  <si>
    <t>PESSOA 
JURÍDICA</t>
  </si>
  <si>
    <t>6.1.1.2. Outros profissionais de saúde</t>
  </si>
  <si>
    <t>SUBTOTAL 02 (TERCEIRIZADOS)</t>
  </si>
  <si>
    <t>GERAL RH (CLT + TERCEIRIZADOS)</t>
  </si>
  <si>
    <t>FGTS 8%</t>
  </si>
  <si>
    <t>PIS 1%</t>
  </si>
  <si>
    <t>FÉRIAS (Resumo da Folha de Férias anexada)</t>
  </si>
  <si>
    <t>FOLHA 13º SALÁRIO (Resumo da folha anexada)</t>
  </si>
  <si>
    <t>RESCISÃO</t>
  </si>
  <si>
    <t>PIS/GUIA PAGA</t>
  </si>
  <si>
    <t>GUIA PAGA</t>
  </si>
  <si>
    <t>FGTS/GUIA PAGA</t>
  </si>
  <si>
    <t>SOMA DAS GUIAS PAGAS ( ATIVOS E JOVENS)</t>
  </si>
  <si>
    <t>PIS/FOLHA ATIVO</t>
  </si>
  <si>
    <t>1% SOB FOLHA DE ATIVOS</t>
  </si>
  <si>
    <t>FGTS/FOLHA ATIVO</t>
  </si>
  <si>
    <t>8% SOB FOLHA DE ATIVOS</t>
  </si>
  <si>
    <t>PIS/FOLHA JOVEM APRENDIZ</t>
  </si>
  <si>
    <t>1% SOB FOLHA DE JOVENS APRENDIZ</t>
  </si>
  <si>
    <t>FGTS/JOVEM APRENDIZ</t>
  </si>
  <si>
    <t>8% SOB FOLHA DE JOVENS APRENDIZ</t>
  </si>
  <si>
    <t>PIS/ FÉRIAS</t>
  </si>
  <si>
    <t>1% SOB FOLHA DE FÉRIAS</t>
  </si>
  <si>
    <t>FGTS/FÉRIAS</t>
  </si>
  <si>
    <t>8% SOB FOLHA DE FÉRIAS</t>
  </si>
  <si>
    <t>PIS/ 13º</t>
  </si>
  <si>
    <t>1% SOB. FOLHA 13º SALÁRIO</t>
  </si>
  <si>
    <t>FGTS/13º</t>
  </si>
  <si>
    <t>8% SOB FOLHA 13º SALÁRIO</t>
  </si>
  <si>
    <t>PIS/RESCISÃO</t>
  </si>
  <si>
    <t>1% CONFORME ITEM TRIB. DA FOLHA DEMITIDOS</t>
  </si>
  <si>
    <t>FGTS/RESCISÃO</t>
  </si>
  <si>
    <t>8% CONFORME ITEM TRIB. FOLHA DE DEMITIDOS</t>
  </si>
  <si>
    <t>BASES DA FOLHA</t>
  </si>
  <si>
    <t>TOTAL DE ORDENADOS (Somatório dos Médicos, Outros Profissionais, Assistência Odontológica e Administrativo)</t>
  </si>
  <si>
    <t>FOLHA DE FÉRIAS</t>
  </si>
  <si>
    <t>TOTAL DE VENCIMENTO DA FOLHA 13º SALÁRIO</t>
  </si>
  <si>
    <t>Deduções (Somatório dos eventos: )</t>
  </si>
  <si>
    <t>FOLHA DE ATIVOS (Conforme resumo de folha)</t>
  </si>
  <si>
    <t>FOLHA DO JOVEM APRENDIZ (Não está incluído na folha de Ativos e nem Geral. É uma folha separada)</t>
  </si>
  <si>
    <t>TOTAL DE VENCIMENTOS/FOLHA DE RESCISÃO</t>
  </si>
  <si>
    <t>TOTAL DE VENCIMENTOS (Somatório do total de Ativos, Jovem Aprendiz e Folha de Rescisão)</t>
  </si>
  <si>
    <t xml:space="preserve">COD. DO EVENTO </t>
  </si>
  <si>
    <t>DEDUÇÃO DOS ORDENADOS 
FOLHA ATIVO</t>
  </si>
  <si>
    <t>INFORMAÇÕES GRRF PARA FGTS RESCISÃO</t>
  </si>
  <si>
    <t>Nome</t>
  </si>
  <si>
    <t>Valor da GRRF</t>
  </si>
  <si>
    <t>DEDUÇÃO DOS ORDENADOS 
FOLHA DEMITIDOS</t>
  </si>
  <si>
    <t>INFORMAÇÕES ENCARGOS PARA PLANILHA FINANCEIRA</t>
  </si>
  <si>
    <t>1.2 FGTS</t>
  </si>
  <si>
    <t>FGTS DOS ATIVOS + FGTS DOS JOVENS</t>
  </si>
  <si>
    <t>1.3 PIS</t>
  </si>
  <si>
    <t>PIS DOS ATIVOS + PIS DOS JOVENS</t>
  </si>
  <si>
    <t>INFORMAÇÕES BENEFÍCIOS PARA PLANILHA FINANCEIRA</t>
  </si>
  <si>
    <t xml:space="preserve">1.4 BENEFÍCIOS </t>
  </si>
  <si>
    <t>Benefícios Pagos</t>
  </si>
  <si>
    <t>Vale Transporte</t>
  </si>
  <si>
    <t>Seguro de Vida</t>
  </si>
  <si>
    <t>Auxilios</t>
  </si>
  <si>
    <t>Plano de Saúde</t>
  </si>
  <si>
    <t>Alimentação (NF Refeição)</t>
  </si>
  <si>
    <t>Desconto Folha Geral Benefícios</t>
  </si>
  <si>
    <t xml:space="preserve">Vale Transporte </t>
  </si>
  <si>
    <t>Seguro de Vida Médicos</t>
  </si>
  <si>
    <t>Refeição</t>
  </si>
  <si>
    <t>GERÊNCIA CONTÁBIL FINANCEIRA - FUNDO MUNICIPAL DE SAÚDE</t>
  </si>
  <si>
    <t>ELETRÔNICO - E-MAIL</t>
  </si>
  <si>
    <t>PRESTAÇÃO DE CONTAS FÍSICA</t>
  </si>
  <si>
    <t>PCF
(formato excel)</t>
  </si>
  <si>
    <t xml:space="preserve">Planilha Contábil Financeiro </t>
  </si>
  <si>
    <t>Quant. de Pasta A a Z enviada</t>
  </si>
  <si>
    <t>Fundo Fixo</t>
  </si>
  <si>
    <t>ARQUIVOS FÍSICOS</t>
  </si>
  <si>
    <t>Planilha Contábil Financeiro 
(PDF, carimbo e assinatura)</t>
  </si>
  <si>
    <t>1 Conta Corrente (D e C)</t>
  </si>
  <si>
    <t>Demonstrativos
(Anexos II ao VIII, Categoria Profissional e Planilha de Conferência)</t>
  </si>
  <si>
    <t>2 Conta Corrente (D e C)</t>
  </si>
  <si>
    <t>Receitas Operacionais</t>
  </si>
  <si>
    <t>Saldo Final do Estoque</t>
  </si>
  <si>
    <t>Aplicação Financeira</t>
  </si>
  <si>
    <t xml:space="preserve">Certidões
(Certidão Municipal/Mercantil, Certidão FGTS, Certidão Trabalhista, Certidão de Regularidade Fiscal do Estado, Certidão de Débitos Fiscais Estado, Certidão Conjunta Dívida Ativa, Certidão Simplificada Junta Comercial, Cartão do CNPJ atualizado e Consulta ao Portal da Transparência - CEIS) 
</t>
  </si>
  <si>
    <t>Anexos II 
(preenchido conforme Resolução do TCE)</t>
  </si>
  <si>
    <t>Contratos e Termos Aditivos</t>
  </si>
  <si>
    <t>Anexos III
(preenchido conforme Resolução do TCE)</t>
  </si>
  <si>
    <t>Extrato CAGED</t>
  </si>
  <si>
    <t>Anexos IV
(preenchido conforme Resolução do TCE)</t>
  </si>
  <si>
    <t>Turnover</t>
  </si>
  <si>
    <t>Anexos V
(preenchido conforme Resolução do TCE)</t>
  </si>
  <si>
    <t>Memória de Cálculo da Folha de Pagamento</t>
  </si>
  <si>
    <t>Anexos VI
(preenchido conforme Resolução do TCE)</t>
  </si>
  <si>
    <t>Folhas Ativos / Jovem Aprendiz / 13º
 (completas)</t>
  </si>
  <si>
    <t>Anexos VII
(preenchido conforme Resolução do TCE)</t>
  </si>
  <si>
    <t>Impostos
(DARF, GPS, FGTS, PIS)</t>
  </si>
  <si>
    <t>Anexos VIII
(preenchido conforme Resolução do TCE)</t>
  </si>
  <si>
    <t>Benefícios 
(Nota fiscal, boleto, apólice, relação dos funcionários e comprovante de pagamento)</t>
  </si>
  <si>
    <t>Folha Demitidos / Jovem Aprendiz
(completas)</t>
  </si>
  <si>
    <t>Categoria Profissional</t>
  </si>
  <si>
    <t>GRRF
(duas folhas da GRRF e comprovante de pagamento)</t>
  </si>
  <si>
    <t>Cálculo Folha de Pagamento</t>
  </si>
  <si>
    <t>Termo Rescisório
(termo e comprovante de pagamento)</t>
  </si>
  <si>
    <t>PASTA</t>
  </si>
  <si>
    <t>Planilha Contábil Financeiro 
(formato PDF, carimbo e assinatura)</t>
  </si>
  <si>
    <t>Balancete Contábil Analítico 
(última folha)</t>
  </si>
  <si>
    <t>Anexos II ao VIII
(formato excel)</t>
  </si>
  <si>
    <t>Anexos II ao VIII
(formato CSV)</t>
  </si>
  <si>
    <t>Balancete Contábil Analítico 
(geral)</t>
  </si>
  <si>
    <t>Anexos II ao VIII
(formato ZIP)</t>
  </si>
  <si>
    <t>Memória de Cálculo Estoque
(planilha excel)</t>
  </si>
  <si>
    <t>Relatório de Saída
 (por grupo)</t>
  </si>
  <si>
    <t>Fluxo de Caixa</t>
  </si>
  <si>
    <t>Relatório de Entrada
 (por grupo)</t>
  </si>
  <si>
    <t>Conciliação Bancária</t>
  </si>
  <si>
    <t>Notas Fiscais</t>
  </si>
  <si>
    <t>Extratos Bancários em formato PDF
(Conta Corrente e Aplicação)</t>
  </si>
  <si>
    <t>Extratos Bancários em formato CSV
(Conta Corrente e Aplicação)</t>
  </si>
  <si>
    <t>Planilha Débito e Crédito em formato excel
(Extratos Bancários)</t>
  </si>
  <si>
    <t>Planilha Aplicação Financeira em formato excel
(Extratos Bancários)</t>
  </si>
  <si>
    <t>Extratos Bancários 
(Conta Corrente)</t>
  </si>
  <si>
    <t>Extratos Bancários 
(Aplicação)</t>
  </si>
  <si>
    <t>Impostos</t>
  </si>
  <si>
    <t>Termo de Responsabilidade do Fundo Fixo</t>
  </si>
  <si>
    <t>Memória de Cálculo Folha
(planilha excel)</t>
  </si>
  <si>
    <t>Planilha do Fundo Fixo</t>
  </si>
  <si>
    <t>Relatório Gerencial</t>
  </si>
  <si>
    <t>Prestação de Contas em formato PDF</t>
  </si>
  <si>
    <t>LEGENDA PARA PREENCHIMENTO COLUNAS "C" e "G"</t>
  </si>
  <si>
    <t>N / A: NÃO SE APLICA</t>
  </si>
  <si>
    <t>OK: QUANDO A UNIDADE ANEXAR NO DRIVE E NA PRESTAÇÃO DE CONTAS.</t>
  </si>
  <si>
    <t>F :  QUANDO FALTAR NO DRIVE OU NA PRESTAÇÃO DE CONTAS</t>
  </si>
  <si>
    <t>CONTA CORRENTE 
BANCO DO BRASIL 
AG: 5798 C/C 45000-3</t>
  </si>
  <si>
    <t>UPA EDUARDO CAMPOS - SOTAVE</t>
  </si>
  <si>
    <t>BANCO: BRASIL                       
AG: 5798-3
CONTA:   45003-0 
TIPO DE APLICAÇÃO: RF REF DI AGIL</t>
  </si>
  <si>
    <t>BANCO: BRASIL                       
AG: 5798-3
CONTA: 45003-0    
TIPO DE APLICAÇÃO: RF SIMPLES CNP JRF SIMPLES</t>
  </si>
  <si>
    <t>01476404000380</t>
  </si>
  <si>
    <t>LILIANE GOMES PASSOS FRANÇA</t>
  </si>
  <si>
    <t>PLANILHA DE CONFERÊNCIA
UPA EDUARDO CAMPOS - SOTAVE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</si>
  <si>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</si>
  <si>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</si>
  <si>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</si>
  <si>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</si>
  <si>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</si>
  <si>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</si>
  <si>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</si>
  <si>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</si>
  <si>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</si>
  <si>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 xml:space="preserve"> </t>
  </si>
  <si>
    <t>DIFERENÇA</t>
  </si>
  <si>
    <t>SALÁRIO FAMILIA</t>
  </si>
  <si>
    <t>AUXILIO CRECHE</t>
  </si>
  <si>
    <t>AUXILIO DOENÇA</t>
  </si>
  <si>
    <t>FALTAS E ATRASOS</t>
  </si>
  <si>
    <t>Unidade de Pronto Atendimento Eduardo Campos  UPA Sotave</t>
  </si>
  <si>
    <t>10783585000117</t>
  </si>
  <si>
    <t>ADVANCED CONTABILIDADE E APOIO ADM LTDA</t>
  </si>
  <si>
    <t>1 TERMO ADITIVO</t>
  </si>
  <si>
    <t>https://drive.google.com/file/d/1J3RhtvUZTT-UQw9opp4Rrs8hEPPIip2x/view?ts=5f19e1b0</t>
  </si>
  <si>
    <t>24261778000112</t>
  </si>
  <si>
    <t>CELARE CENTRO LAB DE ANALISES DO RECIFE LTDA</t>
  </si>
  <si>
    <t>https://drive.google.com/file/d/14jN0PtHx5FcPmmLVGzedo550UxhGZoKF</t>
  </si>
  <si>
    <t>ADVISERSIT SERVIÇOS DE INFORMÁTICA LTDA</t>
  </si>
  <si>
    <t>https://drive.google.com/open?id=19BOPK9PmEWv_hZTbMxod7-nSc_rZmJZ0</t>
  </si>
  <si>
    <t>11844663000109</t>
  </si>
  <si>
    <t>1 TELECOM</t>
  </si>
  <si>
    <t>https://drive.google.com/file/d/1AYD6OWqmYybSfw9yA6NDTyyPDkrw5rUU</t>
  </si>
  <si>
    <t>11389239000111</t>
  </si>
  <si>
    <t>JR XAVIER CAVALCANTI ME</t>
  </si>
  <si>
    <t>https://drive.google.com/file/d/1TfNoX4j9zVbr0QnFvMM6wu9EoHVB7-kh</t>
  </si>
  <si>
    <t>https://drive.google.com/file/d/1jc2a_aSAt8DQGQZppHWhCvLUivaxVgaj/view?ts=5f19e19b</t>
  </si>
  <si>
    <t>SODEXO PASS</t>
  </si>
  <si>
    <t>ALIMENTAÇÃO</t>
  </si>
  <si>
    <t>https://drive.google.com/file/d/1UVwPG4vTuNCe-VABNCf4amUUvnASoXT4</t>
  </si>
  <si>
    <t>INTERNET</t>
  </si>
  <si>
    <t>https://drive.google.com/file/d/1zEyj_jBmylR0tHDrheLVoqQrUbDhdall</t>
  </si>
  <si>
    <t>TELEMAR</t>
  </si>
  <si>
    <t>TELEFONIA</t>
  </si>
  <si>
    <t>27/11/2019</t>
  </si>
  <si>
    <t>https://drive.google.com/file/d/1BIVsNgjrTzV0e-zcKhHonea6HOuU1gOH</t>
  </si>
  <si>
    <t>09221661000111</t>
  </si>
  <si>
    <t>CLASSE A IMÓVEIS LTDA</t>
  </si>
  <si>
    <t>LOCAÇÃO IMÓVEL</t>
  </si>
  <si>
    <t>https://drive.google.com/open?id=1B-sAMdPILXb0tQOQid0_vqXY1WRVvw8R</t>
  </si>
  <si>
    <t>GUSMÃO LOCAÇÃO DE MAQ. E EQUIP. PARA ESCRITÓRIO - ME</t>
  </si>
  <si>
    <t>LOCAÇÃO IMPRESSORAS</t>
  </si>
  <si>
    <t>https://drive.google.com/open?id=1HhSdbSmBs70pIv9e4cFrzua_1B6JZPMo</t>
  </si>
  <si>
    <t>04752237000180</t>
  </si>
  <si>
    <t>ILAND COMERCIO E SERVICOS DE INFORMATICA ME</t>
  </si>
  <si>
    <t>ALUGUEL/LOCAÇÃO</t>
  </si>
  <si>
    <t>https://drive.google.com/file/d/1SeHzFEUQrQgnQNYeAt2X1NUOwoH599qD</t>
  </si>
  <si>
    <t>00331788002405</t>
  </si>
  <si>
    <t>AIR LIQUIDE BRASIL</t>
  </si>
  <si>
    <t>30/10/2017</t>
  </si>
  <si>
    <t>https://drive.google.com/file/d/1_s_sd83q3ZjaTtzKCyDUq2SgktfGkflH</t>
  </si>
  <si>
    <t>A &amp; J SERVIÇOS MÉDICOS</t>
  </si>
  <si>
    <t>PJ MÉDICO</t>
  </si>
  <si>
    <t>https://drive.google.com/file/d/1Eb6oHk6fY-i5UqmEwRb8p4J2gUBO57bg</t>
  </si>
  <si>
    <t>CENTER SIMPLE HEALTH ASSISTENCIA E SERVIÇOS MÉDICOS</t>
  </si>
  <si>
    <t>01/07/2019</t>
  </si>
  <si>
    <t>https://drive.google.com/file/d/1KzHfBLNa_TIRw01lThCCdPNvt8Z5DwIJ</t>
  </si>
  <si>
    <t>CLINICA ALTERNATIVA MEDICINA E GESTÃO EM SAÚDE</t>
  </si>
  <si>
    <t>https://drive.google.com/file/d/1sej-nPALHsSaZgRX5bv2v6T20SBmSAtQ</t>
  </si>
  <si>
    <t>DA SERVIÇOS MEDICOS AMBULATORIAIS</t>
  </si>
  <si>
    <t>https://drive.google.com/file/d/1p_eVicCz926-MsWEiuCG80sfEKX5HuFa</t>
  </si>
  <si>
    <t>ROCHA E DOMINGOS SERVIÇOS MEDICOS</t>
  </si>
  <si>
    <t>https://drive.google.com/file/d/1YTN1908Z2w0icimk9Ax_xdc8bWxX4nh-</t>
  </si>
  <si>
    <t>OBARA SERVIÇOS MEDICOS</t>
  </si>
  <si>
    <t>01/09/2019</t>
  </si>
  <si>
    <t>https://drive.google.com/file/d/15-wxDoYRw9Gl7Ev-35jlMbUFoI2SQwtB</t>
  </si>
  <si>
    <t>MAX DOCTOR CORPORATE ASSISTENCIA E SERVIÇOS MEDICOS</t>
  </si>
  <si>
    <t>01/01/2019</t>
  </si>
  <si>
    <t>https://drive.google.com/file/d/1eNbg8fwtvZEZ3ByHihMuvFgqdEN3HsKe</t>
  </si>
  <si>
    <t>J DE BARROS PEREIRA NETO SERVIÇOS MÉDICOS</t>
  </si>
  <si>
    <t>01/03/2019</t>
  </si>
  <si>
    <t>https://drive.google.com/file/d/1T8y9HihNglpJuGB2XWqnu9sYCnnWsRPB</t>
  </si>
  <si>
    <t>DOT SERVIÇOS MÉDICOS</t>
  </si>
  <si>
    <t>01/02/2019</t>
  </si>
  <si>
    <t>https://drive.google.com/file/d/1tpRXXVCAPPciFUSuyEvVSz6sdmNRUqWW</t>
  </si>
  <si>
    <t>Medicina e Seguro Ocupacional</t>
  </si>
  <si>
    <t>https://drive.google.com/file/d/1xEObsAMd1WycjOMiuD29rE92AvsHAoRv</t>
  </si>
  <si>
    <t>CINEC - CONSULTÓRIO INTEGRADO DE NUTRIÇÃO, ENDOSCOPIA</t>
  </si>
  <si>
    <t>https://drive.google.com/file/d/1SzH3wP-I2wrYWaZG6M6YEaYcFa-ftbYd</t>
  </si>
  <si>
    <t>LIFE MEDCINICA E TERAPIA</t>
  </si>
  <si>
    <t>01/11/2019</t>
  </si>
  <si>
    <t>https://drive.google.com/file/d/1Y1h0mIwxlhQYz5fZ_jqLpu0ELMIIePtB</t>
  </si>
  <si>
    <t>MIX ASSOCIATION MEDIC ASSISTENCIA E SERVIÇOS MÉDICOS</t>
  </si>
  <si>
    <t>01/05/2019</t>
  </si>
  <si>
    <t>https://drive.google.com/file/d/16do4CJpuCxgZWqClKC5mnnQ6d9lvJ4_b</t>
  </si>
  <si>
    <t>TOP MAISMED SERVIÇOS MÉDICOS</t>
  </si>
  <si>
    <t>https://drive.google.com/file/d/1t3wW56-9AUbQ7LmkXmfflwDkjs4E_HJj</t>
  </si>
  <si>
    <t>CELARE CENTRO LAB DE ANÁLISES DO RECIFE LTDA</t>
  </si>
  <si>
    <t>LABORATÓRIO</t>
  </si>
  <si>
    <t>https://drive.google.com/file/d/1VBk06H4VEQkxF5hgQTyvQD4KLB8Tnp5d</t>
  </si>
  <si>
    <t>BISTRÔ COMEDORIA EIRELI</t>
  </si>
  <si>
    <t>https://drive.google.com/file/d/18FaGhlrodYfmS6GUjqLuDxBi-yFwqIff</t>
  </si>
  <si>
    <t>T1 COMERCIO DE PEÇAS E ACESSORIOS EIRELLI</t>
  </si>
  <si>
    <t>LOCAÇÃO AMBULÂNCIA</t>
  </si>
  <si>
    <t>https://drive.google.com/file/d/1VsQpG2wAvjSYwjVV2WTt_DZNJ8k08tAC</t>
  </si>
  <si>
    <t>CLEAN HIGIENIZAÇÃO DE TEXTEIS EIRELI</t>
  </si>
  <si>
    <t>LAVANDERIA</t>
  </si>
  <si>
    <t>https://drive.google.com/open?id=1ifMUPscZ4h18WRd9TftGWMIj0uMKk1X1</t>
  </si>
  <si>
    <t>BRASCON GESTÃO AMBIENTAL LTDA</t>
  </si>
  <si>
    <t>COLETA RESÍDUO HOSPITALAR</t>
  </si>
  <si>
    <t>https://drive.google.com/file/d/1ci6EbY-nRjZzgrVU-huMBiGL4U70aH3b</t>
  </si>
  <si>
    <t xml:space="preserve">MV INFORMATICA NORDESTE LTDA </t>
  </si>
  <si>
    <t xml:space="preserve">SISTEMAS </t>
  </si>
  <si>
    <t>https://drive.google.com/file/d/18VwroqnweZrccF_l_7EKmV1mYR17aU4G</t>
  </si>
  <si>
    <t xml:space="preserve">SUPORTE EM  BANCOS DE DADOS </t>
  </si>
  <si>
    <t>https://drive.google.com/file/d/1KfVlxp_81rzyV_K_6BOUOF61KfQ8eLXv</t>
  </si>
  <si>
    <t>J. T. DE CARVALHO NETO - ME</t>
  </si>
  <si>
    <t xml:space="preserve">SUPORTE A REDE DE INFORMÁTICA </t>
  </si>
  <si>
    <t>https://drive.google.com/file/d/1wdxdhtVOp-UTf9ow3gsAurFYgCldJapj</t>
  </si>
  <si>
    <t>AUDITORIA EXTERNA</t>
  </si>
  <si>
    <t>https://drive.google.com/open?id=1m-4Lh40CRV2WzygJWRkj5kHNk_-mW3sM   https://drive.google.com/file/d/1p9v6gtu-BZqwncTmg29GhEsnRqbXXU8M/view?usp=sharing</t>
  </si>
  <si>
    <t>F P BANHOS DOS SANTOS ASSESSORIA</t>
  </si>
  <si>
    <t>ASSESSORIA JURÍDICA 3º SETOR</t>
  </si>
  <si>
    <t>https://drive.google.com/open?id=1LUuSOchquqxD8YeJfA3ai-DuSkYOYje0</t>
  </si>
  <si>
    <t>09467748000173</t>
  </si>
  <si>
    <t>AP CONSULTORIA E ASSESSORIA EMPRESARIAL LTDA</t>
  </si>
  <si>
    <t>ASSESSORIA FINANCEIRA</t>
  </si>
  <si>
    <t>https://drive.google.com/open?id=1N9EEoN6emPhfiUSEFUR3BXUimJRkJ31S</t>
  </si>
  <si>
    <t>GESTÃO DE SERVIÇOS</t>
  </si>
  <si>
    <t>AFT MULTISERVIÇOS LTDA.</t>
  </si>
  <si>
    <t>Processamento de Folha e Assessoria de RH</t>
  </si>
  <si>
    <t>https://drive.google.com/open?id=13mloGLQbyoAsI9tG633YodVJhHUyhizU</t>
  </si>
  <si>
    <t>Assessoria em Recursos Humanos</t>
  </si>
  <si>
    <t>https://drive.google.com/file/d/11YY_PyB_j61ycQ0EBnwcOhqGjxzGX3LC/view?usp=sharing    https://drive.google.com/file/d/1KaT_ZQF2dDVfAsRRuKDc_Ax5PdQyHi6Y/view?usp=sharing</t>
  </si>
  <si>
    <t>ASSESSORIA CONTÁBIL</t>
  </si>
  <si>
    <t>https://drive.google.com/open?id=12W_7Pvbr8B-NqFiSxZi_yxqqyJBporJF</t>
  </si>
  <si>
    <t>ASSESSORIA FISCAL</t>
  </si>
  <si>
    <t>https://drive.google.com/file/d/1S1fxeho1e6rsLN-YEU9w5dmIuei60led/view?usp=sharing</t>
  </si>
  <si>
    <t>SEVERINO SILVANO DA SILVA</t>
  </si>
  <si>
    <t>MANUTENÇÃO AR CONDICIONADO</t>
  </si>
  <si>
    <t>https://drive.google.com/file/d/1JRIgDuYSLQWPqmofHqDD5EcVOVAQxUWw</t>
  </si>
  <si>
    <t>DEDETIZAÇÃO</t>
  </si>
  <si>
    <t>https://drive.google.com/file/d/1zHPX0-EZ_-2eu-UG7ggz9T8sLI-229Tp</t>
  </si>
  <si>
    <t>TELIA DE ALBUQUERQUE PESSOA</t>
  </si>
  <si>
    <t>MANUTENÇÃO EQUIPAMENTOS ASSISTENCIAIS</t>
  </si>
  <si>
    <t>https://drive.google.com/file/d/1TdKpMDqTl-WBevQa5h9flXhZSJSmn9qk</t>
  </si>
  <si>
    <t>EMBRAESTER - EMPRESA BRASILEIRA DE ESTERILIZAÇÕES</t>
  </si>
  <si>
    <t>CME</t>
  </si>
  <si>
    <t>https://drive.google.com/file/d/1kmIEeL_HYNP5kEi_fKWK944MKLskLxkE</t>
  </si>
  <si>
    <t>ANTONIO MARQUES DOS SANTOS ME</t>
  </si>
  <si>
    <t>MANUTENÇÃO CORRETIVA E PREVENTIVA DA PROCESSADORA DE FILMES RAIO-X</t>
  </si>
  <si>
    <t>https://drive.google.com/file/d/1PW4a2c9TUNn_4NpeqHivLCyMcd5oSpXk</t>
  </si>
  <si>
    <t>TS ENGENHARIA ELÉTRICA LTDA - EPP</t>
  </si>
  <si>
    <t>MANUTENÇÃO DO GERADOR ENERGIA</t>
  </si>
  <si>
    <t>https://drive.google.com/open?id=1iXRZrAd9g__HeCQpsb1X9Rgxm8DK0TN9</t>
  </si>
  <si>
    <t>SOUSA PEREIRA SERVIÇOS MEDICOS  LTDA</t>
  </si>
  <si>
    <t>01/06/2020</t>
  </si>
  <si>
    <t>https://drive.google.com/file/d/1JExqe6hMKGgXK2WI_qnCuMHla-pkpqlk</t>
  </si>
  <si>
    <t>MARIANA NOGUEIRA BORGES DE MELO</t>
  </si>
  <si>
    <t>01/01/2020</t>
  </si>
  <si>
    <t>https://drive.google.com/file/d/1IU9S8ZVV0NC9Miea7rdRW2d6GeY1b3Xn</t>
  </si>
  <si>
    <t>FADE - UFPE</t>
  </si>
  <si>
    <t>REFERENTE AOS DOSÍMETROS DO RAIO X DA UNIDADE</t>
  </si>
  <si>
    <t>01/04/2018</t>
  </si>
  <si>
    <t>31/12/2020</t>
  </si>
  <si>
    <t>https://drive.google.com/file/d/14ZbIk4PMJF8swTVPBvBCCDWKYZBWyXh_</t>
  </si>
  <si>
    <t>33164021000100</t>
  </si>
  <si>
    <t>TOKIO MARINE SEGURADORA S.A.</t>
  </si>
  <si>
    <t xml:space="preserve">SEGURO DE VIDA </t>
  </si>
  <si>
    <t>https://drive.google.com/file/d/1Pyau06BCkfqhwX5W_nvDf5ehjFMSJ0Kq/view?usp=sharing</t>
  </si>
  <si>
    <t>37646454000144</t>
  </si>
  <si>
    <t>SOCORRO MACHADO SERVICOS MEDICOS AMBULATORIAIS LTDA</t>
  </si>
  <si>
    <t>01/07/2020</t>
  </si>
  <si>
    <t>0,00</t>
  </si>
  <si>
    <t>https://drive.google.com/file/d/1JXTTe1Zi-YmFzA24LTq1Rm-SERSgH1Hs</t>
  </si>
  <si>
    <t>37561510000148</t>
  </si>
  <si>
    <t>MKB SERVIÇOS MÉDICOS AMBULATORIAIS LTDA</t>
  </si>
  <si>
    <t>https://drive.google.com/file/d/1qjbJivbKv47xC-U6CjfwS9qBVp3xebPB/view?usp=sharing</t>
  </si>
  <si>
    <t>37601703000185</t>
  </si>
  <si>
    <t>MS CLINIC SERVIÇOS DE SAUDE LTDA</t>
  </si>
  <si>
    <t>https://drive.google.com/file/d/10IuKaeREGlYfYqxwxyfeDbFiO0FST-H8/view?usp=sharing</t>
  </si>
  <si>
    <t>2 TERMO ADITIVO</t>
  </si>
  <si>
    <t>https://drive.google.com/file/d/14ntPGYJ6pGwM3UAtMw3E918gmmU4z9zZ/view?usp=sharing</t>
  </si>
  <si>
    <t>https://drive.google.com/file/d/1_FD-VyAKIfcfA80nbcl7ttrm0pBeavh1/view?usp=sharing</t>
  </si>
  <si>
    <t>Unidade de Pronto Atendimento Eduardo Campos UPA Sotave</t>
  </si>
  <si>
    <t>25130763000188</t>
  </si>
  <si>
    <t>22401344000145</t>
  </si>
  <si>
    <t>480,00</t>
  </si>
  <si>
    <t>LT SERVIÇOS MÉDICOS AMBULATORIAIS LTDA</t>
  </si>
  <si>
    <t>ok</t>
  </si>
  <si>
    <t>N/A</t>
  </si>
  <si>
    <t>OK</t>
  </si>
  <si>
    <t>ALLIANCE MEDINFUSION LTDA</t>
  </si>
  <si>
    <t>LOCAÇÃO DE BOMBAS DE INFUSÃO</t>
  </si>
  <si>
    <t>06/01/2018</t>
  </si>
  <si>
    <t>https://drive.google.com/file/d/1rw-BDU7RszYBdmNB2GATy-uCpeBoxRWd/view?usp=sharing</t>
  </si>
  <si>
    <t>AP ENGENHARIA CLINICA LTDA</t>
  </si>
  <si>
    <t>https://drive.google.com/file/d/1-QADxXEYYC2j3CJt1Xtw6Eujh_PluyNK/view?usp=sharing</t>
  </si>
  <si>
    <t>02/11/2020</t>
  </si>
  <si>
    <t>https://drive.google.com/file/d/1DD3lJB9s1HIPp_Br2OLEctbypm46qgkL/view?usp=sharing</t>
  </si>
  <si>
    <t>14000,00</t>
  </si>
  <si>
    <t>TKS AUDITORIA E CONTABILIDADE S/S - EPP</t>
  </si>
  <si>
    <t>https://drive.google.com/open?id=1z5iERD74HUScDR_XvYS57oj8IIzNW1io                         https://drive.google.com/drive/folders/1BIgNxdtUAdNcrfn-nX6cHtBxe4Fb78K8?usp=sharing</t>
  </si>
  <si>
    <t>https://drive.google.com/file/d/1kLonOQqifZftGbjiIQN_sUGaHpreFqS3/view?usp=sharing</t>
  </si>
  <si>
    <t>01/11/2020</t>
  </si>
  <si>
    <t>https://drive.google.com/file/d/1yZa3eEtcPnlbMTMAKAvjTDbHKBWoUeIe/view?usp=sharing</t>
  </si>
  <si>
    <t>AP ENGENHARIA CLÍNICA LTDA</t>
  </si>
  <si>
    <t>MONITORAMENTO DE TECNOLOGIAS EM SAÚDE</t>
  </si>
  <si>
    <t>27400,00</t>
  </si>
  <si>
    <t>VIGILÂNCIA E AÇÕES PREVENTIVAS</t>
  </si>
  <si>
    <t>39900,00</t>
  </si>
  <si>
    <t>https://drive.google.com/file/d/1B2o72Ccl1MzVfKzRq-3GswI_zZbiGZs5/view?usp=sharing</t>
  </si>
  <si>
    <t>https://drive.google.com/file/d/1uSjmJ8ntLE-jvnCaCx19ZuMk5GJhWdWU/view?usp=sharing</t>
  </si>
  <si>
    <t>JUNHO/2021</t>
  </si>
  <si>
    <t xml:space="preserve">  </t>
  </si>
  <si>
    <t>JULHO/2021</t>
  </si>
  <si>
    <t>UPA EDUARDO CAMPOS - SOTAVE
PLANILHA DO FUNDO FIXO
JULHO/2021</t>
  </si>
  <si>
    <t>UPA EDUARDO CAMPOS - SOTAVE
PLANILHA DÉBITO E CRÉDITO
 MÊS JULHO/2021</t>
  </si>
  <si>
    <t>UPA EDUARDO CAMPOS - SOTAVE
JULHO/2021</t>
  </si>
  <si>
    <t>MR SERVIÇOS MÉDICOS AMBULATORIAIS LTDA</t>
  </si>
  <si>
    <t>40222451000198</t>
  </si>
  <si>
    <t>Percentual de turnover do mês de JULHO/2021</t>
  </si>
  <si>
    <t xml:space="preserve">ABEL JOSE DOS SANTOS          </t>
  </si>
  <si>
    <t>3222-05</t>
  </si>
  <si>
    <t>07/2021</t>
  </si>
  <si>
    <t>05340146405</t>
  </si>
  <si>
    <t xml:space="preserve">ADNA QUEREN HUAPUQUE RAMOS DA SILVA  </t>
  </si>
  <si>
    <t>5152-10</t>
  </si>
  <si>
    <t>ADRIANO VALENCIO XAVIER SANTOS</t>
  </si>
  <si>
    <t>3911-15</t>
  </si>
  <si>
    <t>08382555403</t>
  </si>
  <si>
    <t>ALEXANDRE FRANÇA CAMPELO FILHO</t>
  </si>
  <si>
    <t>2524-05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</si>
  <si>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</si>
  <si>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</si>
  <si>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</si>
  <si>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</si>
  <si>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</si>
  <si>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</si>
  <si>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</si>
  <si>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 xml:space="preserve">ALMIR VALENCIO DOS SANTOS     </t>
  </si>
  <si>
    <t>08178509458</t>
  </si>
  <si>
    <t xml:space="preserve">ANA MARIA FRANCISCA          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</si>
  <si>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</si>
  <si>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</si>
  <si>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</si>
  <si>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</si>
  <si>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</si>
  <si>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</si>
  <si>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2235-05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</si>
  <si>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</si>
  <si>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</si>
  <si>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</si>
  <si>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</si>
  <si>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</si>
  <si>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</si>
  <si>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</si>
  <si>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</si>
  <si>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</si>
  <si>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>5142-25</t>
  </si>
  <si>
    <t xml:space="preserve">ANTONIO MADSON SILVA BEZERRA  </t>
  </si>
  <si>
    <t>Auxílio Creche/DOENÇA</t>
  </si>
  <si>
    <t xml:space="preserve">BENILSON SANTOS DA SILVA      </t>
  </si>
  <si>
    <t>4221-05</t>
  </si>
  <si>
    <t>01937921417</t>
  </si>
  <si>
    <t xml:space="preserve">BETANIA MARIA GOMES           </t>
  </si>
  <si>
    <t>02119434441</t>
  </si>
  <si>
    <t>BRUNO LEONARDO SILVA MOREIRA</t>
  </si>
  <si>
    <t>7823-20</t>
  </si>
  <si>
    <t>10796672458</t>
  </si>
  <si>
    <t>CAMILA GOMES DE MORAIS SILVA</t>
  </si>
  <si>
    <t>2232-08</t>
  </si>
  <si>
    <t>04974949497</t>
  </si>
  <si>
    <t>CAMILA REGINA GOMES OLIVEIRA</t>
  </si>
  <si>
    <t>2525-45</t>
  </si>
  <si>
    <t>08901021471</t>
  </si>
  <si>
    <t>CAMILA SANTOS DA SILVA ALMEIDA</t>
  </si>
  <si>
    <t>Auxilio Creche/DOENÇA</t>
  </si>
  <si>
    <t xml:space="preserve">CARLOS JOSE MOURA DA SILVA    </t>
  </si>
  <si>
    <t>CICERO SOBRINHO OLIVEIRA FILHO</t>
  </si>
  <si>
    <t>2234-05</t>
  </si>
  <si>
    <t>02587642442</t>
  </si>
  <si>
    <t>CLAUDETE CRUZ DUARTE ALENCAR</t>
  </si>
  <si>
    <t>CLAUDIA CICERA MONTEIRO MORAIS</t>
  </si>
  <si>
    <t>2516-05</t>
  </si>
  <si>
    <t>CLAUDIA REJANE OLIVEIRA SILVA LIMA</t>
  </si>
  <si>
    <t>AUXÍLIO DOENÇA</t>
  </si>
  <si>
    <t>CLEIDSON CHARLES BARBOSA SANTO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</si>
  <si>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</si>
  <si>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</si>
  <si>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</si>
  <si>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</si>
  <si>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</si>
  <si>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07767421406</t>
  </si>
  <si>
    <t xml:space="preserve">DANILO RIBEIRO DE BARROS      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</si>
  <si>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</si>
  <si>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</si>
  <si>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</si>
  <si>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</si>
  <si>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</si>
  <si>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</si>
  <si>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</si>
  <si>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Auxílio Creche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</si>
  <si>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</si>
  <si>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</si>
  <si>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</si>
  <si>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</si>
  <si>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</si>
  <si>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</si>
  <si>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</si>
  <si>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02839751488</t>
  </si>
  <si>
    <t xml:space="preserve">ELENILDO DA SILVA BEZERRA     </t>
  </si>
  <si>
    <t>4101-05</t>
  </si>
  <si>
    <t>09607793455</t>
  </si>
  <si>
    <t xml:space="preserve">ELVIS DOS SANTOS SILVA        </t>
  </si>
  <si>
    <t>09630838486</t>
  </si>
  <si>
    <t xml:space="preserve">EMILIANA PRISCILA DE OLIVEIRA </t>
  </si>
  <si>
    <t>07218074456</t>
  </si>
  <si>
    <t xml:space="preserve">EVELLIN PRISCILLA OLIVEIRA DA SILVA   </t>
  </si>
  <si>
    <t>Auxilio Creche</t>
  </si>
  <si>
    <t>13600688480</t>
  </si>
  <si>
    <t>EZEQUIEL CORREIA DE ARAUJO JUNIOR</t>
  </si>
  <si>
    <t>03984331436</t>
  </si>
  <si>
    <t>FABIANA MARIA DA SILVA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</si>
  <si>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</si>
  <si>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</si>
  <si>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</si>
  <si>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</si>
  <si>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</si>
  <si>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07190729488</t>
  </si>
  <si>
    <t>FELIPE TRAJANO DE OLIVEIRA</t>
  </si>
  <si>
    <t>03482060460</t>
  </si>
  <si>
    <t xml:space="preserve">FRANCILMAR LINS PAES          </t>
  </si>
  <si>
    <t>FRANCISCO ASSIS OLIVEIRA SANTOS</t>
  </si>
  <si>
    <t>06657901470</t>
  </si>
  <si>
    <t>GABRIELA FARIAS TEIXEIRA SANTOS</t>
  </si>
  <si>
    <t xml:space="preserve"> 10274174421</t>
  </si>
  <si>
    <t>GILVAN JOSÉ DA SILVA BORGES</t>
  </si>
  <si>
    <t>07388997474</t>
  </si>
  <si>
    <t xml:space="preserve">GIRLLENE CRISTINA BARBOSA DA SILVA     </t>
  </si>
  <si>
    <t>08625628486</t>
  </si>
  <si>
    <t>GRECY KALLY FERNANDES DA  SILVA BASTOS</t>
  </si>
  <si>
    <t>4110-10</t>
  </si>
  <si>
    <t>00810359421</t>
  </si>
  <si>
    <t xml:space="preserve">HEIZY VIEIRA LIMA             </t>
  </si>
  <si>
    <t>61087300487</t>
  </si>
  <si>
    <t>IVANILDA SANTOS SILVA BARRETO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</si>
  <si>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</si>
  <si>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</si>
  <si>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</si>
  <si>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</si>
  <si>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</si>
  <si>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</si>
  <si>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</si>
  <si>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</si>
  <si>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</si>
  <si>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</si>
  <si>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</si>
  <si>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</si>
  <si>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</si>
  <si>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</si>
  <si>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</si>
  <si>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</si>
  <si>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</si>
  <si>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</si>
  <si>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</si>
  <si>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</si>
  <si>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</si>
  <si>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</si>
  <si>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</si>
  <si>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</si>
  <si>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</si>
  <si>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</si>
  <si>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</si>
  <si>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</si>
  <si>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</si>
  <si>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</si>
  <si>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</si>
  <si>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07596616429</t>
  </si>
  <si>
    <t>JULIANA ANTONIA DA SILVA</t>
  </si>
  <si>
    <t>06315436439</t>
  </si>
  <si>
    <t xml:space="preserve">JULLIANE TRYCIA DA SILVA      </t>
  </si>
  <si>
    <t>09727215416</t>
  </si>
  <si>
    <t xml:space="preserve">KATHELLEN KAROLYNNE M.SILVA   </t>
  </si>
  <si>
    <t>3516-05</t>
  </si>
  <si>
    <t xml:space="preserve">LAIS CAMILA ARAUJO LIRA OLIVEIRA </t>
  </si>
  <si>
    <t>LARISSA SOUSA RANGEL</t>
  </si>
  <si>
    <t>04603393466</t>
  </si>
  <si>
    <t xml:space="preserve">LEANDRO DE OLIVEIRA PEREIRA   </t>
  </si>
  <si>
    <t>70811055485</t>
  </si>
  <si>
    <t>LEIDJANE DA SILVA DOMINGOS</t>
  </si>
  <si>
    <t xml:space="preserve">LEONARDO INACIO DE MEDEIROS   </t>
  </si>
  <si>
    <t xml:space="preserve">LEONARDO JOSE DA SILVA        </t>
  </si>
  <si>
    <t xml:space="preserve">LILIANE GOMES PASSOS FRANCA   </t>
  </si>
  <si>
    <t>1231-05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</si>
  <si>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</si>
  <si>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</si>
  <si>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</si>
  <si>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</si>
  <si>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</si>
  <si>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</si>
  <si>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</si>
  <si>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</si>
  <si>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</si>
  <si>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 xml:space="preserve">MARIA DA CONCEICAO BARBOSA MACIEL </t>
  </si>
  <si>
    <t xml:space="preserve">MARIA VALDENICE DAS NEVES     </t>
  </si>
  <si>
    <t xml:space="preserve">MIRIAM ALVES DA SILVA         </t>
  </si>
  <si>
    <t xml:space="preserve">MOURACIA TORRES DANTAS FIGUEIROA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</si>
  <si>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</si>
  <si>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</si>
  <si>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</si>
  <si>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</si>
  <si>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</si>
  <si>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</si>
  <si>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3224-15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</si>
  <si>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</si>
  <si>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</si>
  <si>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</si>
  <si>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</si>
  <si>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</si>
  <si>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</si>
  <si>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</si>
  <si>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</si>
  <si>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12150006421</t>
  </si>
  <si>
    <t>RAFAELA MARTINS DOS SANTOS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</si>
  <si>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</si>
  <si>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</si>
  <si>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</si>
  <si>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</si>
  <si>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</si>
  <si>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08930960405</t>
  </si>
  <si>
    <t>RAQUEL ELIAS DE ARAUJO</t>
  </si>
  <si>
    <t>03828368476</t>
  </si>
  <si>
    <t>REINALDO LUIZ DA SILVA</t>
  </si>
  <si>
    <t>50945378491</t>
  </si>
  <si>
    <t>RILDO PEREIRA DE MENDONCA</t>
  </si>
  <si>
    <t xml:space="preserve">RILZO KELLES SANTOS BENEDITO  </t>
  </si>
  <si>
    <t>01196453438</t>
  </si>
  <si>
    <t xml:space="preserve">RITA CASSIA ALVES SANTOS VIEIRA    </t>
  </si>
  <si>
    <t>ROGER GUILHERME XIMENES FELIPE</t>
  </si>
  <si>
    <t>04532109450</t>
  </si>
  <si>
    <t xml:space="preserve">RONALDO COSME LIMA MADUREIRA  </t>
  </si>
  <si>
    <t>04498061462</t>
  </si>
  <si>
    <t>ROSANGELA DA SILVA RICHENI</t>
  </si>
  <si>
    <t>03672267406</t>
  </si>
  <si>
    <t xml:space="preserve">ROSILEIDE GALVAO LIMA NASCIMENTO </t>
  </si>
  <si>
    <t>08625595456</t>
  </si>
  <si>
    <t>SALOMAO FERNANDES DA SILVA JUNIOR</t>
  </si>
  <si>
    <t>50732811449</t>
  </si>
  <si>
    <t xml:space="preserve">SANDRA CRISTINA GOMES DE LIMA </t>
  </si>
  <si>
    <t xml:space="preserve">SERGIO ALVES ARAUJO FILHO     </t>
  </si>
  <si>
    <t>2124-05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</si>
  <si>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</si>
  <si>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</si>
  <si>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</si>
  <si>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</si>
  <si>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</si>
  <si>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</si>
  <si>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</si>
  <si>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</si>
  <si>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</si>
  <si>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</si>
  <si>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10593808460</t>
  </si>
  <si>
    <t>THACYANE PEREIRA DORNELAS</t>
  </si>
  <si>
    <t>09794893420</t>
  </si>
  <si>
    <t xml:space="preserve">THAIS CAROLINE NUNES DA SILVA </t>
  </si>
  <si>
    <t>09421567498</t>
  </si>
  <si>
    <t>THAISA PEREIRA DORNELAS</t>
  </si>
  <si>
    <t>09083019446</t>
  </si>
  <si>
    <t xml:space="preserve">THAMIRIS MORAES DE MACEDO     </t>
  </si>
  <si>
    <t xml:space="preserve">Auxílio Creche </t>
  </si>
  <si>
    <t>06440151444</t>
  </si>
  <si>
    <t xml:space="preserve">THIAGO LINS DA SILVA         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</si>
  <si>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</si>
  <si>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</si>
  <si>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</si>
  <si>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</si>
  <si>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</si>
  <si>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</si>
  <si>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>12007624443</t>
  </si>
  <si>
    <t>VITÓRIA LARISSA SILVA PACHECO</t>
  </si>
  <si>
    <t>70243973497</t>
  </si>
  <si>
    <t>WALERIA WALLESKA DA SILVA COUTINHO</t>
  </si>
  <si>
    <t xml:space="preserve">ZILANDIA RODRIGUES DE FRANCA  </t>
  </si>
  <si>
    <t>IVANILDA SANTOS DA SILVA BARRETO</t>
  </si>
  <si>
    <t>VITORIA LARISSA SILVA PACHECO</t>
  </si>
  <si>
    <t>UPA EDUARDO CAMPOS - SOTAVE
SALDO DE PROVISÃO - JULHO/2021</t>
  </si>
  <si>
    <t>EQUIPE 99</t>
  </si>
  <si>
    <t>DA UNIDADE À  SECRETARIA</t>
  </si>
  <si>
    <t>DA SECRETARIA À UNIDADE</t>
  </si>
  <si>
    <t>UBER</t>
  </si>
  <si>
    <t>IDA/VOLTA - DA UNIDADE AO DEN (DOSIMETROS)</t>
  </si>
  <si>
    <t>IDA/VOLTA -DA UNIDADE AOS FORNECEDORES</t>
  </si>
  <si>
    <t>DA NEW MED À UNIDADE</t>
  </si>
  <si>
    <t>IDA/VOLTA- DA UNIDADE À ULTRAMEGA</t>
  </si>
  <si>
    <t>20/072021</t>
  </si>
  <si>
    <t>IDA/VOLTA- DA UNIDADE AO COMPLEXO</t>
  </si>
  <si>
    <t>FERREIRA COSTA CIA LTDA</t>
  </si>
  <si>
    <t>COMPRA DE MATERIAIS DE MANUTENÇÃO</t>
  </si>
  <si>
    <t xml:space="preserve">DA UNIDADE AO CARTÓRIO </t>
  </si>
  <si>
    <t>DO CARTÓRIO À 2° SERVENTIA NOTARIAL</t>
  </si>
  <si>
    <t>AV CENTRAL MAGAZINE LTDA ME</t>
  </si>
  <si>
    <t>COMPRA DE UTENSÍLIO</t>
  </si>
  <si>
    <t>DA 2° SERVENTIA NOTARIAL À UNIDADE</t>
  </si>
  <si>
    <t>DA UNIDADE À 2° SERVENTIA NOTARIAL</t>
  </si>
  <si>
    <t>QUALIMAX DO BRASIL</t>
  </si>
  <si>
    <t>COMPRA DE MATERIAIS DE LIMPEZA</t>
  </si>
  <si>
    <t>COMPRA MATERIAL DE NUTRIÇÃO</t>
  </si>
  <si>
    <t>COMPRA DE MATERIAL DE LIMPEZA</t>
  </si>
  <si>
    <t>TRADE CENTER PONTEZINHA LTDA</t>
  </si>
  <si>
    <t>COMPRA MATERIAL MÉDICO HOSPITALAR</t>
  </si>
  <si>
    <t>COMPRA MATERIAL DE LIMPEZA</t>
  </si>
  <si>
    <t>COMPRA MATERIAIS DE MANUTENÇÃO</t>
  </si>
  <si>
    <t>ATACADO DOS PESENTES LTDA</t>
  </si>
  <si>
    <t>5.5</t>
  </si>
  <si>
    <t>3.6.1</t>
  </si>
  <si>
    <t>ANO 2 0 2 1 - Competência mês de JULHO/2021</t>
  </si>
  <si>
    <t>DIAS QUE ANTECEDEM AUX DOENÇA</t>
  </si>
  <si>
    <t>3.12</t>
  </si>
  <si>
    <t>24326435000199</t>
  </si>
  <si>
    <t>B</t>
  </si>
  <si>
    <t>S</t>
  </si>
  <si>
    <t>12198</t>
  </si>
  <si>
    <t>02/07/2021</t>
  </si>
  <si>
    <t>26210724326435000199550010000121981142267540</t>
  </si>
  <si>
    <t>12307</t>
  </si>
  <si>
    <t>09/07/2021</t>
  </si>
  <si>
    <t>26210724326435000199550010000123071143429451</t>
  </si>
  <si>
    <t>12308</t>
  </si>
  <si>
    <t>26210724326435000199550010000123081143434037</t>
  </si>
  <si>
    <t>12306</t>
  </si>
  <si>
    <t>26210724326435000199550010000123061143412578</t>
  </si>
  <si>
    <t>799,45</t>
  </si>
  <si>
    <t>234</t>
  </si>
  <si>
    <t>26210725130763000188550010000002341000052440</t>
  </si>
  <si>
    <t xml:space="preserve">AIR LIQUIDE DO BRASIL </t>
  </si>
  <si>
    <t>142500</t>
  </si>
  <si>
    <t>14/07/2021</t>
  </si>
  <si>
    <t>26210700331788002405552000001425001257312273</t>
  </si>
  <si>
    <t>621,06</t>
  </si>
  <si>
    <t>142439</t>
  </si>
  <si>
    <t>13/07/2021</t>
  </si>
  <si>
    <t>26210700331788002405552000001424391176449960</t>
  </si>
  <si>
    <t>641,11</t>
  </si>
  <si>
    <t>142356</t>
  </si>
  <si>
    <t>11/07/2021</t>
  </si>
  <si>
    <t>26210700331788002405552000001423561945721529</t>
  </si>
  <si>
    <t>142326</t>
  </si>
  <si>
    <t>26210700331788002405552000001423261716754071</t>
  </si>
  <si>
    <t>39564889000175</t>
  </si>
  <si>
    <t>IMPACTO COMÉRCIO E SERVIÇOS LTDA</t>
  </si>
  <si>
    <t>23</t>
  </si>
  <si>
    <t>26210739564889000175550010000000231007140767</t>
  </si>
  <si>
    <t>09007162/000126</t>
  </si>
  <si>
    <t>MAUES LOBATO COMERCIO E REP. LTDA</t>
  </si>
  <si>
    <t>81051</t>
  </si>
  <si>
    <t>26210709007162000126550010000810511890452488</t>
  </si>
  <si>
    <t>568,00</t>
  </si>
  <si>
    <t>81050</t>
  </si>
  <si>
    <t>26210709007162000126550010000810501929010114</t>
  </si>
  <si>
    <t>81053</t>
  </si>
  <si>
    <t>26210709007162000126550010000810531139034951</t>
  </si>
  <si>
    <t>08014460000180</t>
  </si>
  <si>
    <t xml:space="preserve">VANPEL MATERIAL DE ESCRITORIO </t>
  </si>
  <si>
    <t>37836</t>
  </si>
  <si>
    <t>17/07/2021</t>
  </si>
  <si>
    <t>26210708014460000180550010000378361001190291</t>
  </si>
  <si>
    <t>21596736000144</t>
  </si>
  <si>
    <t xml:space="preserve">ULTRAMEGA DISTRIBUIDORA HOSPITALAR </t>
  </si>
  <si>
    <t>130984</t>
  </si>
  <si>
    <t>08/07/2021</t>
  </si>
  <si>
    <t>26210721596736000144550010001309841001344692</t>
  </si>
  <si>
    <t>130497</t>
  </si>
  <si>
    <t>01/07/2021</t>
  </si>
  <si>
    <t>26210721596736000144550010001304971001339320</t>
  </si>
  <si>
    <t>130513</t>
  </si>
  <si>
    <t>26210721596736000144550010001305131001339482</t>
  </si>
  <si>
    <t>06313389000101</t>
  </si>
  <si>
    <t xml:space="preserve">DENTAL SORRISO LTDA </t>
  </si>
  <si>
    <t>233383</t>
  </si>
  <si>
    <t>12/07/2021</t>
  </si>
  <si>
    <t>26210706313389000101550010002333831518005125</t>
  </si>
  <si>
    <t>241,95</t>
  </si>
  <si>
    <t>10859287000163</t>
  </si>
  <si>
    <t xml:space="preserve">NEWMED COMERCIO E SERVI~ÇOS DE EQUIPAMENTO HOSPITALAR </t>
  </si>
  <si>
    <t>4917</t>
  </si>
  <si>
    <t>20/07/2021</t>
  </si>
  <si>
    <t>26210710859287000163550010000049171234719116</t>
  </si>
  <si>
    <t>540,00</t>
  </si>
  <si>
    <t>29447408000198</t>
  </si>
  <si>
    <t xml:space="preserve">LF DOS SANTOS GRAFICA </t>
  </si>
  <si>
    <t>845</t>
  </si>
  <si>
    <t>05/07/2021</t>
  </si>
  <si>
    <t>26210729447408000198550010000008451006000901</t>
  </si>
  <si>
    <t>90,00</t>
  </si>
  <si>
    <t>844</t>
  </si>
  <si>
    <t>26210729447408000198550010000008441001000604</t>
  </si>
  <si>
    <t xml:space="preserve">ALLIANCE MEDINFUSION </t>
  </si>
  <si>
    <t>12119</t>
  </si>
  <si>
    <t>06/07/2021</t>
  </si>
  <si>
    <t>26210722401344000145550010000121191748630589</t>
  </si>
  <si>
    <t>21381761000100</t>
  </si>
  <si>
    <t>SIX  DISTRIBUIDORA HOSPITALAR LTDA</t>
  </si>
  <si>
    <t>41028</t>
  </si>
  <si>
    <t>26210721381761000100550010000410281422831170</t>
  </si>
  <si>
    <t>41030</t>
  </si>
  <si>
    <t>26210721381761000100550010000410301625527180</t>
  </si>
  <si>
    <t>30848237000198</t>
  </si>
  <si>
    <t xml:space="preserve">PH COMERCIO DE PRODUTOS MEDICOS HOSPITALARES </t>
  </si>
  <si>
    <t>6955</t>
  </si>
  <si>
    <t>26210730848237000198550010000069551965307860</t>
  </si>
  <si>
    <t>7016</t>
  </si>
  <si>
    <t>26210730848237000198550010000070161163248494</t>
  </si>
  <si>
    <t>409,80</t>
  </si>
  <si>
    <t>6951</t>
  </si>
  <si>
    <t>26210730848237000198550010000069511755985064</t>
  </si>
  <si>
    <t>341,50</t>
  </si>
  <si>
    <t>7006</t>
  </si>
  <si>
    <t>07/07/2021</t>
  </si>
  <si>
    <t>26210730848237000198550010000070061841052291</t>
  </si>
  <si>
    <t>142253</t>
  </si>
  <si>
    <t>26210700331788002405552000001422531157526120</t>
  </si>
  <si>
    <t>142032</t>
  </si>
  <si>
    <t>03/07/2021</t>
  </si>
  <si>
    <t>26210700331788002405552000001420321934788858</t>
  </si>
  <si>
    <t>141969</t>
  </si>
  <si>
    <t>26210700331788002405552000001419691059057987</t>
  </si>
  <si>
    <t>601,30</t>
  </si>
  <si>
    <t>141968</t>
  </si>
  <si>
    <t>26210700331788002405552000001419681257312277</t>
  </si>
  <si>
    <t>141745</t>
  </si>
  <si>
    <t>29/06/2021</t>
  </si>
  <si>
    <t>26210600331788002405552000001417451139131141</t>
  </si>
  <si>
    <t>40,09</t>
  </si>
  <si>
    <t>141544</t>
  </si>
  <si>
    <t>24/06/2021</t>
  </si>
  <si>
    <t>26210600331788002405552000001415441793415090</t>
  </si>
  <si>
    <t>142123</t>
  </si>
  <si>
    <t>26210700331788002405552000001421231254676129</t>
  </si>
  <si>
    <t>141577</t>
  </si>
  <si>
    <t>25/06/2021</t>
  </si>
  <si>
    <t>26210600331788002405552000001415771838390858</t>
  </si>
  <si>
    <t>141626</t>
  </si>
  <si>
    <t>26/06/2021</t>
  </si>
  <si>
    <t>26210600331788002405552000001416261337008361</t>
  </si>
  <si>
    <t>141643</t>
  </si>
  <si>
    <t>28/06/2021</t>
  </si>
  <si>
    <t>26210600331788002405552000001416431986642259</t>
  </si>
  <si>
    <t>141824</t>
  </si>
  <si>
    <t>30/06/2021</t>
  </si>
  <si>
    <t>2621060033178800240552000001418241545783719</t>
  </si>
  <si>
    <t>141843</t>
  </si>
  <si>
    <t>26210700331788002405552000001418431383881973</t>
  </si>
  <si>
    <t>3.14</t>
  </si>
  <si>
    <t>30645960000170</t>
  </si>
  <si>
    <t xml:space="preserve">BISTRO COMEDORIA EIRELI </t>
  </si>
  <si>
    <t>147</t>
  </si>
  <si>
    <t>04/08/2021</t>
  </si>
  <si>
    <t>26210830645960000170550010000001471909007005</t>
  </si>
  <si>
    <t>148</t>
  </si>
  <si>
    <t>26210830645960000170550010000001481909007002</t>
  </si>
  <si>
    <t>5.10</t>
  </si>
  <si>
    <t>11863530000180</t>
  </si>
  <si>
    <t>BRASCON GESTAO AMBIENTAL LTDA</t>
  </si>
  <si>
    <t>N</t>
  </si>
  <si>
    <t>5.3</t>
  </si>
  <si>
    <t>19533734000164</t>
  </si>
  <si>
    <t xml:space="preserve">ALEXSANDRA DE GUSMÃO NERES - ME </t>
  </si>
  <si>
    <t>11080</t>
  </si>
  <si>
    <t>03/08/2021</t>
  </si>
  <si>
    <t>5.16</t>
  </si>
  <si>
    <t>33010290000103</t>
  </si>
  <si>
    <t>ROCHA E DOMINGOS MEDICOS LTDA</t>
  </si>
  <si>
    <t>60</t>
  </si>
  <si>
    <t>UXUSQFGP</t>
  </si>
  <si>
    <t>MKB SERVIÇOS MEDICOS AMBULATORIAIS LTDA</t>
  </si>
  <si>
    <t>27</t>
  </si>
  <si>
    <t>B28HGQC5</t>
  </si>
  <si>
    <t>34153050000120</t>
  </si>
  <si>
    <t>CENTER SIMPLE HEALTH ASSISTENCIA E SERVIÇOS MEDICOS</t>
  </si>
  <si>
    <t>102</t>
  </si>
  <si>
    <t>33374970000106</t>
  </si>
  <si>
    <t>MIX ASSOCIATION MEDIC ASSISTENCIA E SERVICOS MEDICOS LTDA</t>
  </si>
  <si>
    <t>214</t>
  </si>
  <si>
    <t>5.17</t>
  </si>
  <si>
    <t xml:space="preserve">ILAND COMERCIO E SERVIÇOS DE INFORMÁTICA LTDA ME </t>
  </si>
  <si>
    <t>6498</t>
  </si>
  <si>
    <t>01/08/2021</t>
  </si>
  <si>
    <t>27837083000124</t>
  </si>
  <si>
    <t>CLEAN HIGIENIZACAO DE TEXTEIS EIRELI - ME</t>
  </si>
  <si>
    <t>1370</t>
  </si>
  <si>
    <t>BMEC50134</t>
  </si>
  <si>
    <t>41029459000103</t>
  </si>
  <si>
    <t>LT SERVICOS MEDICOS AMBULATORIAIS LTDA</t>
  </si>
  <si>
    <t>18</t>
  </si>
  <si>
    <t>AIHFQIAG</t>
  </si>
  <si>
    <t xml:space="preserve">SOCORRO MACHADO SERVICOS MEDICOS AMBULATORIAIS </t>
  </si>
  <si>
    <t>16</t>
  </si>
  <si>
    <t>RBSIGREP</t>
  </si>
  <si>
    <t>33018758000106</t>
  </si>
  <si>
    <t xml:space="preserve">DA SERVICO MEDICOS AMBULATORIAIS EIREILI </t>
  </si>
  <si>
    <t>69</t>
  </si>
  <si>
    <t>NPHD43011</t>
  </si>
  <si>
    <t>20153710000169</t>
  </si>
  <si>
    <t>TS GRUPOS GERADORES LTDA</t>
  </si>
  <si>
    <t>176</t>
  </si>
  <si>
    <t>02/08/2021</t>
  </si>
  <si>
    <t>6XU74TVDP</t>
  </si>
  <si>
    <t>300,00</t>
  </si>
  <si>
    <t>12836422000180</t>
  </si>
  <si>
    <t>SEVERINO SILVANO DASILVA</t>
  </si>
  <si>
    <t>181</t>
  </si>
  <si>
    <t>BDBI36045</t>
  </si>
  <si>
    <t>32754834000189</t>
  </si>
  <si>
    <t>J DE BARROS PEREIRA NETO SERVICOS MEDICOS</t>
  </si>
  <si>
    <t>58</t>
  </si>
  <si>
    <t>05/08/2021</t>
  </si>
  <si>
    <t>6DRD178G</t>
  </si>
  <si>
    <t>34293461000111</t>
  </si>
  <si>
    <t>TOP MAIS MED SERVIÇOS MEDICOS LTDA</t>
  </si>
  <si>
    <t>81</t>
  </si>
  <si>
    <t>PW3IY4NA</t>
  </si>
  <si>
    <t>37095416000140</t>
  </si>
  <si>
    <t>SOUSA PEREIRA SERVIÇOS MÉDICOS LTDA</t>
  </si>
  <si>
    <t>19</t>
  </si>
  <si>
    <t>VYTJ1FMK</t>
  </si>
  <si>
    <t>5.18</t>
  </si>
  <si>
    <t>33000118001493</t>
  </si>
  <si>
    <t>TELEMAR NORTE LESTE S/A</t>
  </si>
  <si>
    <t>227159</t>
  </si>
  <si>
    <t>15/07/2021</t>
  </si>
  <si>
    <t>5,46</t>
  </si>
  <si>
    <t>227153</t>
  </si>
  <si>
    <t>57,12</t>
  </si>
  <si>
    <t>35636116000104</t>
  </si>
  <si>
    <t xml:space="preserve">PEQUENO SERVIÇOS MEDICOS AMBULATORIAIS EIRELI </t>
  </si>
  <si>
    <t>25</t>
  </si>
  <si>
    <t>EU2NMSFU</t>
  </si>
  <si>
    <t>28856931000105</t>
  </si>
  <si>
    <t xml:space="preserve">A &amp; J SERVIÇOS MEDICOS LTDA ME </t>
  </si>
  <si>
    <t>HRU37788</t>
  </si>
  <si>
    <t>32519491000178</t>
  </si>
  <si>
    <t>DOT SERVIÇOS MÉDICOS LTDA</t>
  </si>
  <si>
    <t>117</t>
  </si>
  <si>
    <t>LVBHVDKA</t>
  </si>
  <si>
    <t>19968162000146</t>
  </si>
  <si>
    <t>CENTRO MEDICO ESPECIALIZADO ALTERNATIVAMED LTDA</t>
  </si>
  <si>
    <t>1966</t>
  </si>
  <si>
    <t>FIXIFGXXH</t>
  </si>
  <si>
    <t>11251195000169</t>
  </si>
  <si>
    <t xml:space="preserve">POSTO FIJI COMERCIO DE COMBUSTIVEIS </t>
  </si>
  <si>
    <t>3291</t>
  </si>
  <si>
    <t>30/07/2021</t>
  </si>
  <si>
    <t>26210711251195000169550120000032911000626580</t>
  </si>
  <si>
    <t>5.2</t>
  </si>
  <si>
    <t>343136000189</t>
  </si>
  <si>
    <t>EMBRAESTER - EMPRESA BRASILEIRA DE ESTERILAZACOES EIREL</t>
  </si>
  <si>
    <t>9141</t>
  </si>
  <si>
    <t>EC1EBCZG</t>
  </si>
  <si>
    <t>4.3</t>
  </si>
  <si>
    <t>11.239132000197</t>
  </si>
  <si>
    <t xml:space="preserve">ANTONIO MARQUES DOS SANTOS ME </t>
  </si>
  <si>
    <t>1359</t>
  </si>
  <si>
    <t>CNWC49308</t>
  </si>
  <si>
    <t>500,00</t>
  </si>
  <si>
    <t>10835932000108</t>
  </si>
  <si>
    <t>COMPANHIA ENERGETICA DE PERNAMBUCO</t>
  </si>
  <si>
    <t>166674745</t>
  </si>
  <si>
    <t>CELARE CENTRO LABORATORIAL DE ANALISE DO RECIFE LTDA M</t>
  </si>
  <si>
    <t>304</t>
  </si>
  <si>
    <t>1MEJKYX6</t>
  </si>
  <si>
    <t>10891998000115</t>
  </si>
  <si>
    <t>ADVISERSIT SERVICOS EM INFORMATICA LTDA</t>
  </si>
  <si>
    <t>515</t>
  </si>
  <si>
    <t>WMCK51706</t>
  </si>
  <si>
    <t>820,00</t>
  </si>
  <si>
    <t>166385653</t>
  </si>
  <si>
    <t>27/07/2021</t>
  </si>
  <si>
    <t>30,92</t>
  </si>
  <si>
    <t>5.13</t>
  </si>
  <si>
    <t>09769035000164</t>
  </si>
  <si>
    <t>COMPANHIA PERNAMBUCANA DE SANEAMENTO</t>
  </si>
  <si>
    <t>105049158</t>
  </si>
  <si>
    <t>UM TELECOM</t>
  </si>
  <si>
    <t>86691</t>
  </si>
  <si>
    <t>21/07/2021</t>
  </si>
  <si>
    <t>190,00</t>
  </si>
  <si>
    <t>72065</t>
  </si>
  <si>
    <t>310,00</t>
  </si>
  <si>
    <t>11</t>
  </si>
  <si>
    <t>5.99</t>
  </si>
  <si>
    <t>12386107000107</t>
  </si>
  <si>
    <t>J.T. DE CARVALHO NETO</t>
  </si>
  <si>
    <t>106</t>
  </si>
  <si>
    <t>KC1XPHSP</t>
  </si>
  <si>
    <t>998,00</t>
  </si>
  <si>
    <t>143183</t>
  </si>
  <si>
    <t>26210700331788002405552000001431831925430686</t>
  </si>
  <si>
    <t>142887</t>
  </si>
  <si>
    <t>23/07/2021</t>
  </si>
  <si>
    <t>26210700331788002405552000001428871600349696</t>
  </si>
  <si>
    <t>20,05</t>
  </si>
  <si>
    <t>142885</t>
  </si>
  <si>
    <t>26210700331788002405552000001428851157526127</t>
  </si>
  <si>
    <t>142965</t>
  </si>
  <si>
    <t>26/07/2021</t>
  </si>
  <si>
    <t>26210700331788002405552000001429651600349694</t>
  </si>
  <si>
    <t>142851</t>
  </si>
  <si>
    <t>22/07/2021</t>
  </si>
  <si>
    <t>26210700331788002405552000001428511176449967</t>
  </si>
  <si>
    <t>5.1</t>
  </si>
  <si>
    <t>07</t>
  </si>
  <si>
    <t>06/08/2021</t>
  </si>
  <si>
    <t>JR XAVIER CAVALCANTI</t>
  </si>
  <si>
    <t>6246</t>
  </si>
  <si>
    <t>WOSA79670</t>
  </si>
  <si>
    <t>92306527000780</t>
  </si>
  <si>
    <t>MV INFORMATICA NORDESTE LTDA</t>
  </si>
  <si>
    <t>26295</t>
  </si>
  <si>
    <t>MI2CWBGF</t>
  </si>
  <si>
    <t>42403</t>
  </si>
  <si>
    <t>6030</t>
  </si>
  <si>
    <t>10/08/2021</t>
  </si>
  <si>
    <t>QCQJ49872</t>
  </si>
  <si>
    <t xml:space="preserve">AP Consultoria e Assessoria Empresarial Ltda </t>
  </si>
  <si>
    <t>LT1QOP2HF</t>
  </si>
  <si>
    <t>KR2UPTE7D</t>
  </si>
  <si>
    <t>QIJQ8MOGW</t>
  </si>
  <si>
    <t xml:space="preserve">Advanced Contabilidade e Apoio Adm Ltda ME </t>
  </si>
  <si>
    <t>NRNCNEJLJ</t>
  </si>
  <si>
    <t>CYLXGMQ2X</t>
  </si>
  <si>
    <t>29495965000184</t>
  </si>
  <si>
    <t xml:space="preserve">F B Banhos dos Santos Assessoria </t>
  </si>
  <si>
    <t>5465F-40BB0</t>
  </si>
  <si>
    <t>3538709</t>
  </si>
  <si>
    <t>19641242000192</t>
  </si>
  <si>
    <t>AFTY TERCEIRIZACAO E SERVICOS LTDA</t>
  </si>
  <si>
    <t>GFF5VEHX4</t>
  </si>
  <si>
    <t>00915-03</t>
  </si>
  <si>
    <t>50208</t>
  </si>
  <si>
    <t>00916-03</t>
  </si>
  <si>
    <t>50209</t>
  </si>
  <si>
    <t>https://drive.google.com/file/d/1bQTIhMSDskB8R9Iq3J6vx7WlejpDsdVU/view?usp=sharing</t>
  </si>
  <si>
    <t>10400,00</t>
  </si>
  <si>
    <t>5799,75</t>
  </si>
  <si>
    <t>3483,17</t>
  </si>
  <si>
    <t>6360,00</t>
  </si>
  <si>
    <t>2444,72</t>
  </si>
  <si>
    <t>26891,31</t>
  </si>
  <si>
    <t>2858,00</t>
  </si>
  <si>
    <t>6711,70</t>
  </si>
  <si>
    <t>1079,96</t>
  </si>
  <si>
    <t>4260,00</t>
  </si>
  <si>
    <t>5980,92</t>
  </si>
  <si>
    <t>15120,69</t>
  </si>
  <si>
    <t>1080,00</t>
  </si>
  <si>
    <t>1250,00</t>
  </si>
  <si>
    <t>1789,20</t>
  </si>
  <si>
    <t>5101,79</t>
  </si>
  <si>
    <t>4379,95</t>
  </si>
  <si>
    <t>1604,08</t>
  </si>
  <si>
    <t>2504,84</t>
  </si>
  <si>
    <t>1322,58</t>
  </si>
  <si>
    <t>2445,00</t>
  </si>
  <si>
    <t>1823,66</t>
  </si>
  <si>
    <t>1903,83</t>
  </si>
  <si>
    <t>1843,43</t>
  </si>
  <si>
    <t>3273,04</t>
  </si>
  <si>
    <t>22326,56</t>
  </si>
  <si>
    <t>2418,00</t>
  </si>
  <si>
    <t>1500,00</t>
  </si>
  <si>
    <t>27531,84</t>
  </si>
  <si>
    <t>10807,92</t>
  </si>
  <si>
    <t>9648,00</t>
  </si>
  <si>
    <t>2599,92</t>
  </si>
  <si>
    <t>3289,51</t>
  </si>
  <si>
    <t>3000,00</t>
  </si>
  <si>
    <t>7643,76</t>
  </si>
  <si>
    <t>10303,92</t>
  </si>
  <si>
    <t>21175,68</t>
  </si>
  <si>
    <t>1600,00</t>
  </si>
  <si>
    <t>41287,68</t>
  </si>
  <si>
    <t>41163,60</t>
  </si>
  <si>
    <t>29475,84</t>
  </si>
  <si>
    <t>4512,00</t>
  </si>
  <si>
    <t>5136,00</t>
  </si>
  <si>
    <t>21331,68</t>
  </si>
  <si>
    <t>1650,58</t>
  </si>
  <si>
    <t>4385,07</t>
  </si>
  <si>
    <t>6607,38</t>
  </si>
  <si>
    <t>16958,45</t>
  </si>
  <si>
    <t>20284,86</t>
  </si>
  <si>
    <t>2428,56</t>
  </si>
  <si>
    <t>2544,94</t>
  </si>
  <si>
    <t>1863,75</t>
  </si>
  <si>
    <t>1222,36</t>
  </si>
  <si>
    <t>1823,65</t>
  </si>
  <si>
    <t>12092,90</t>
  </si>
  <si>
    <t>1036,29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</si>
</sst>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43" formatCode="_-* #,##0.00_-;\-* #,##0.00_-;_-* &quot;-&quot;??_-;_-@_-"/>
    <numFmt numFmtId="164" formatCode="&quot;R$&quot;\ #,##0.00;\-&quot;R$&quot;\ #,##0.00"/>
    <numFmt numFmtId="165" formatCode="_-&quot;R$&quot;\ * #,##0_-;\-&quot;R$&quot;\ * #,##0_-;_-&quot;R$&quot;\ * &quot;-&quot;_-;_-@_-"/>
    <numFmt numFmtId="166" formatCode="_-&quot;R$&quot;\ * #,##0.00_-;\-&quot;R$&quot;\ * #,##0.00_-;_-&quot;R$&quot;\ * &quot;-&quot;??_-;_-@_-"/>
    <numFmt numFmtId="167" formatCode="0000.00"/>
    <numFmt numFmtId="168" formatCode="_(* #,##0.00_);_(* \(#,##0.00\);_(* &quot;-&quot;??_);_(@_)"/>
    <numFmt numFmtId="169" formatCode="_(&quot;R$ &quot;* #,##0.00_);_(&quot;R$ &quot;* \(#,##0.00\);_(&quot;R$ &quot;* &quot;-&quot;??_);_(@_)"/>
    <numFmt numFmtId="170" formatCode="[$-416]General"/>
    <numFmt numFmtId="171" formatCode="_(* #,##0.00_);_(* \(#,##0.00\);_(* \-??_);_(@_)"/>
    <numFmt numFmtId="172" formatCode="_-&quot;R$ &quot;* #,##0.00_-;&quot;-R$ &quot;* #,##0.00_-;_-&quot;R$ &quot;* \-??_-;_-@_-"/>
    <numFmt numFmtId="173" formatCode="[$R$-416]\ #,##0.00;[Red]\-[$R$-416]\ #,##0.00"/>
    <numFmt numFmtId="174" formatCode="mm/yy"/>
    <numFmt numFmtId="175" formatCode="_-&quot;R$&quot;* #,##0.00_-;&quot;-R$&quot;* #,##0.00_-;_-&quot;R$&quot;* \-??_-;_-@_-"/>
    <numFmt numFmtId="176" formatCode="00000"/>
    <numFmt numFmtId="177" formatCode="00000.00"/>
    <numFmt numFmtId="178" formatCode="_-* #,###.##000_-;\-* #,###.##000_-;_-* &quot;-&quot;??_-;_-@_-"/>
    <numFmt numFmtId="179" formatCode="0.00;[Red]0.00"/>
    <numFmt numFmtId="180" formatCode="0.00_ ;\-0.00\ "/>
  </numFmts>
  <fonts count="16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5"/>
      <color theme="0"/>
      <name val="Arial"/>
      <family val="2"/>
    </font>
    <font>
      <b/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0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color theme="0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</font>
    <font>
      <b/>
      <sz val="10"/>
      <name val="Arial"/>
      <family val="2"/>
    </font>
    <font>
      <sz val="16"/>
      <color indexed="63"/>
      <name val="Calibri"/>
      <family val="2"/>
    </font>
    <font>
      <b/>
      <sz val="16"/>
      <color indexed="63"/>
      <name val="Calibri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sz val="16"/>
      <name val="Calibri"/>
      <family val="2"/>
    </font>
    <font>
      <b/>
      <sz val="10"/>
      <color rgb="FFFF0000"/>
      <name val="Arial"/>
      <family val="2"/>
    </font>
    <font>
      <sz val="8"/>
      <color rgb="FF000080"/>
      <name val="Arial"/>
      <family val="2"/>
    </font>
    <font>
      <b/>
      <sz val="7"/>
      <name val="Arial"/>
      <family val="2"/>
    </font>
    <font>
      <b/>
      <sz val="12"/>
      <color indexed="63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indexed="63"/>
      <name val="Arial"/>
      <family val="2"/>
    </font>
    <font>
      <b/>
      <sz val="12"/>
      <color indexed="63"/>
      <name val="Arial"/>
      <family val="2"/>
    </font>
    <font>
      <b/>
      <sz val="16"/>
      <color indexed="63"/>
      <name val="Arial"/>
      <family val="2"/>
    </font>
    <font>
      <b/>
      <sz val="16"/>
      <color indexed="63"/>
      <name val="Calibri"/>
      <family val="2"/>
    </font>
    <font>
      <b/>
      <sz val="14"/>
      <color indexed="63"/>
      <name val="Calibri"/>
      <family val="2"/>
    </font>
    <font>
      <b/>
      <sz val="14"/>
      <color theme="3" tint="0.39994506668294322"/>
      <name val="Calibri"/>
      <family val="2"/>
    </font>
    <font>
      <sz val="14"/>
      <color indexed="63"/>
      <name val="Calibri"/>
      <family val="2"/>
    </font>
    <font>
      <b/>
      <u/>
      <sz val="16"/>
      <color indexed="63"/>
      <name val="Calibri"/>
      <family val="2"/>
    </font>
    <font>
      <b/>
      <i/>
      <u/>
      <sz val="16"/>
      <color indexed="63"/>
      <name val="Calibri"/>
      <family val="2"/>
    </font>
    <font>
      <u/>
      <sz val="16"/>
      <color indexed="63"/>
      <name val="Calibri"/>
      <family val="2"/>
    </font>
    <font>
      <b/>
      <sz val="12"/>
      <name val="Calibri"/>
      <family val="2"/>
      <scheme val="minor"/>
    </font>
    <font>
      <b/>
      <sz val="11"/>
      <color theme="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9"/>
      <color indexed="63"/>
      <name val="Calibri"/>
      <family val="2"/>
    </font>
    <font>
      <sz val="12"/>
      <color indexed="8"/>
      <name val="Calibri"/>
      <family val="2"/>
      <scheme val="minor"/>
    </font>
    <font>
      <sz val="11"/>
      <color indexed="63"/>
      <name val="Calibri"/>
      <family val="2"/>
    </font>
    <font>
      <sz val="12"/>
      <color rgb="FF000000"/>
      <name val="Calibri"/>
      <family val="2"/>
      <scheme val="minor"/>
    </font>
    <font>
      <sz val="12"/>
      <color rgb="FF000000"/>
      <name val="Cali8BRI"/>
      <charset val="134"/>
    </font>
    <font>
      <b/>
      <sz val="11"/>
      <name val="Arial"/>
      <family val="2"/>
    </font>
    <font>
      <b/>
      <sz val="13"/>
      <name val="Arial"/>
      <family val="2"/>
    </font>
    <font>
      <b/>
      <sz val="13"/>
      <color theme="0"/>
      <name val="Calibri"/>
      <family val="2"/>
    </font>
    <font>
      <b/>
      <sz val="11"/>
      <color indexed="59"/>
      <name val="Arial"/>
      <family val="2"/>
    </font>
    <font>
      <b/>
      <sz val="11"/>
      <color indexed="59"/>
      <name val="Calibri"/>
      <family val="2"/>
    </font>
    <font>
      <sz val="10"/>
      <color indexed="59"/>
      <name val="Calibri"/>
      <family val="2"/>
    </font>
    <font>
      <sz val="11"/>
      <color indexed="59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9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8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theme="0"/>
      <name val="Arial"/>
      <family val="2"/>
    </font>
    <font>
      <sz val="12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0000"/>
      <name val="Arial"/>
      <family val="2"/>
    </font>
    <font>
      <b/>
      <i/>
      <sz val="14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theme="0"/>
      <name val="Calibri"/>
      <family val="2"/>
    </font>
    <font>
      <b/>
      <sz val="10"/>
      <color rgb="FF000000"/>
      <name val="Calibri"/>
      <family val="2"/>
    </font>
    <font>
      <b/>
      <sz val="14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FF0000"/>
      <name val="Calibri"/>
      <family val="2"/>
    </font>
    <font>
      <b/>
      <sz val="13"/>
      <color theme="3"/>
      <name val="Calibri"/>
      <family val="2"/>
      <scheme val="minor"/>
    </font>
    <font>
      <sz val="11"/>
      <color indexed="9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1"/>
    </font>
    <font>
      <b/>
      <sz val="18"/>
      <color theme="3"/>
      <name val="Cambria"/>
      <family val="1"/>
      <scheme val="maj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56"/>
      <name val="Calibri"/>
      <family val="2"/>
    </font>
    <font>
      <sz val="11"/>
      <color indexed="52"/>
      <name val="Calibri"/>
      <family val="2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3"/>
      <color indexed="56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1"/>
    </font>
    <font>
      <b/>
      <sz val="18"/>
      <color theme="0"/>
      <name val="Calibri"/>
      <family val="2"/>
    </font>
    <font>
      <sz val="10"/>
      <name val="Arial"/>
      <family val="2"/>
    </font>
    <font>
      <b/>
      <sz val="11"/>
      <name val="Arial"/>
      <family val="2"/>
      <charset val="1"/>
    </font>
    <font>
      <sz val="10"/>
      <color indexed="59"/>
      <name val="Calibri"/>
      <family val="2"/>
      <charset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  <charset val="1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charset val="1"/>
    </font>
    <font>
      <b/>
      <sz val="15"/>
      <color theme="0"/>
      <name val="Arial"/>
      <family val="2"/>
      <charset val="1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  <charset val="1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2"/>
      <color theme="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63"/>
      <name val="Calibri"/>
      <family val="2"/>
    </font>
    <font>
      <sz val="12"/>
      <color indexed="63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indexed="8"/>
      <name val="Calibri"/>
      <charset val="134"/>
      <scheme val="minor"/>
    </font>
    <font>
      <sz val="11"/>
      <name val="Arial"/>
      <charset val="134"/>
    </font>
    <font>
      <sz val="12"/>
      <color rgb="FF333333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0"/>
      <name val="Calibri"/>
      <charset val="134"/>
      <scheme val="minor"/>
    </font>
    <font>
      <b/>
      <sz val="11"/>
      <color theme="0"/>
      <name val="Calibri"/>
      <charset val="134"/>
    </font>
    <font>
      <sz val="11"/>
      <color rgb="FF222222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theme="2" tint="-0.89996032593768116"/>
      <name val="Calibri"/>
      <charset val="134"/>
      <scheme val="minor"/>
    </font>
    <font>
      <sz val="10"/>
      <color rgb="FF333333"/>
      <name val="Calibri"/>
      <family val="2"/>
      <scheme val="minor"/>
    </font>
    <font>
      <sz val="8"/>
      <name val="Calibri"/>
      <charset val="134"/>
      <scheme val="minor"/>
    </font>
  </fonts>
  <fills count="93">
    <fill>
      <patternFill patternType="none"/>
    </fill>
    <fill>
      <patternFill patternType="gray125"/>
    </fill>
    <fill>
      <patternFill patternType="solid">
        <fgColor theme="3"/>
        <bgColor rgb="FF8EB4E3"/>
      </patternFill>
    </fill>
    <fill>
      <patternFill patternType="solid">
        <fgColor rgb="FFFFFF00"/>
        <bgColor rgb="FFFFFF00"/>
      </patternFill>
    </fill>
    <fill>
      <patternFill patternType="solid">
        <fgColor theme="3"/>
        <bgColor rgb="FF33CCCC"/>
      </patternFill>
    </fill>
    <fill>
      <patternFill patternType="solid">
        <fgColor theme="4" tint="0.59999389629810485"/>
        <bgColor rgb="FFC0C0C0"/>
      </patternFill>
    </fill>
    <fill>
      <patternFill patternType="solid">
        <fgColor theme="4" tint="0.59999389629810485"/>
        <bgColor rgb="FF33CCCC"/>
      </patternFill>
    </fill>
    <fill>
      <patternFill patternType="solid">
        <fgColor theme="3"/>
        <bgColor rgb="FF83CAFF"/>
      </patternFill>
    </fill>
    <fill>
      <patternFill patternType="solid">
        <fgColor theme="3" tint="0.39994506668294322"/>
        <bgColor rgb="FFC0C0C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22"/>
      </patternFill>
    </fill>
    <fill>
      <patternFill patternType="solid">
        <fgColor theme="3"/>
        <bgColor indexed="31"/>
      </patternFill>
    </fill>
    <fill>
      <patternFill patternType="solid">
        <fgColor rgb="FFFFFF00"/>
        <bgColor indexed="45"/>
      </patternFill>
    </fill>
    <fill>
      <patternFill patternType="solid">
        <fgColor theme="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3"/>
        <bgColor indexed="45"/>
      </patternFill>
    </fill>
    <fill>
      <patternFill patternType="solid">
        <fgColor rgb="FFFFFF00"/>
        <bgColor indexed="22"/>
      </patternFill>
    </fill>
    <fill>
      <patternFill patternType="solid">
        <fgColor theme="3" tint="0.59999389629810485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3"/>
        <bgColor rgb="FF808080"/>
      </patternFill>
    </fill>
    <fill>
      <patternFill patternType="solid">
        <fgColor theme="3" tint="0.59999389629810485"/>
        <bgColor rgb="FFD7E4BD"/>
      </patternFill>
    </fill>
    <fill>
      <patternFill patternType="solid">
        <fgColor rgb="FF8EB4E3"/>
        <bgColor rgb="FF9999FF"/>
      </patternFill>
    </fill>
    <fill>
      <patternFill patternType="solid">
        <fgColor rgb="FFFFFF00"/>
        <bgColor rgb="FFC3D69B"/>
      </patternFill>
    </fill>
    <fill>
      <patternFill patternType="solid">
        <fgColor rgb="FFFFFF00"/>
        <bgColor rgb="FF8EB4E3"/>
      </patternFill>
    </fill>
    <fill>
      <patternFill patternType="solid">
        <fgColor theme="0"/>
        <bgColor indexed="64"/>
      </patternFill>
    </fill>
    <fill>
      <patternFill patternType="solid">
        <fgColor theme="3"/>
        <bgColor rgb="FF9999FF"/>
      </patternFill>
    </fill>
    <fill>
      <patternFill patternType="solid">
        <fgColor theme="3"/>
        <bgColor indexed="23"/>
      </patternFill>
    </fill>
    <fill>
      <patternFill patternType="solid">
        <fgColor theme="3"/>
        <bgColor indexed="44"/>
      </patternFill>
    </fill>
    <fill>
      <patternFill patternType="solid">
        <fgColor theme="3" tint="0.59999389629810485"/>
        <bgColor indexed="4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rgb="FFB9CDE5"/>
      </patternFill>
    </fill>
    <fill>
      <patternFill patternType="solid">
        <fgColor theme="3"/>
        <bgColor rgb="FF95B3D7"/>
      </patternFill>
    </fill>
    <fill>
      <patternFill patternType="solid">
        <fgColor rgb="FF8EB4E3"/>
        <bgColor rgb="FF95B3D7"/>
      </patternFill>
    </fill>
    <fill>
      <patternFill patternType="solid">
        <fgColor rgb="FF95B3D7"/>
        <bgColor rgb="FF8EB4E3"/>
      </patternFill>
    </fill>
    <fill>
      <patternFill patternType="solid">
        <fgColor rgb="FFB9CDE5"/>
        <bgColor rgb="FFC5D9E6"/>
      </patternFill>
    </fill>
    <fill>
      <patternFill patternType="solid">
        <fgColor rgb="FFDCE6F2"/>
        <bgColor rgb="FFC6D9F1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01">
    <xf numFmtId="0" fontId="0" fillId="0" borderId="0"/>
    <xf numFmtId="0" fontId="99" fillId="44" borderId="0" applyNumberFormat="0" applyBorder="0" applyAlignment="0" applyProtection="0"/>
    <xf numFmtId="0" fontId="130" fillId="46" borderId="0" applyNumberFormat="0" applyBorder="0" applyAlignment="0" applyProtection="0"/>
    <xf numFmtId="43" fontId="130" fillId="0" borderId="0" applyFont="0" applyFill="0" applyBorder="0" applyAlignment="0" applyProtection="0"/>
    <xf numFmtId="0" fontId="130" fillId="48" borderId="0" applyNumberFormat="0" applyBorder="0" applyAlignment="0" applyProtection="0"/>
    <xf numFmtId="0" fontId="130" fillId="9" borderId="0" applyNumberFormat="0" applyBorder="0" applyAlignment="0" applyProtection="0"/>
    <xf numFmtId="0" fontId="101" fillId="52" borderId="24" applyNumberFormat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30" fillId="46" borderId="0" applyNumberFormat="0" applyBorder="0" applyAlignment="0" applyProtection="0"/>
    <xf numFmtId="166" fontId="130" fillId="0" borderId="0" applyFont="0" applyFill="0" applyBorder="0" applyAlignment="0" applyProtection="0"/>
    <xf numFmtId="0" fontId="130" fillId="40" borderId="22" applyNumberFormat="0" applyFont="0" applyAlignment="0" applyProtection="0"/>
    <xf numFmtId="0" fontId="130" fillId="0" borderId="0"/>
    <xf numFmtId="0" fontId="54" fillId="0" borderId="0" applyNumberFormat="0" applyFill="0" applyBorder="0" applyAlignment="0" applyProtection="0"/>
    <xf numFmtId="0" fontId="99" fillId="61" borderId="0" applyNumberFormat="0" applyBorder="0" applyAlignment="0" applyProtection="0"/>
    <xf numFmtId="0" fontId="80" fillId="49" borderId="23" applyNumberFormat="0" applyAlignment="0" applyProtection="0"/>
    <xf numFmtId="0" fontId="130" fillId="0" borderId="0"/>
    <xf numFmtId="0" fontId="130" fillId="55" borderId="0" applyNumberFormat="0" applyBorder="0" applyAlignment="0" applyProtection="0"/>
    <xf numFmtId="166" fontId="53" fillId="0" borderId="0" applyFont="0" applyFill="0" applyBorder="0" applyAlignment="0" applyProtection="0"/>
    <xf numFmtId="0" fontId="130" fillId="48" borderId="0" applyNumberFormat="0" applyBorder="0" applyAlignment="0" applyProtection="0"/>
    <xf numFmtId="0" fontId="130" fillId="48" borderId="0" applyNumberFormat="0" applyBorder="0" applyAlignment="0" applyProtection="0"/>
    <xf numFmtId="0" fontId="130" fillId="41" borderId="0" applyNumberFormat="0" applyBorder="0" applyAlignment="0" applyProtection="0"/>
    <xf numFmtId="0" fontId="130" fillId="0" borderId="0"/>
    <xf numFmtId="0" fontId="130" fillId="53" borderId="0" applyNumberFormat="0" applyBorder="0" applyAlignment="0" applyProtection="0"/>
    <xf numFmtId="0" fontId="72" fillId="60" borderId="0" applyNumberFormat="0" applyBorder="0" applyAlignment="0" applyProtection="0"/>
    <xf numFmtId="0" fontId="104" fillId="0" borderId="0" applyNumberFormat="0" applyFill="0" applyBorder="0" applyAlignment="0" applyProtection="0"/>
    <xf numFmtId="0" fontId="130" fillId="41" borderId="0" applyNumberFormat="0" applyBorder="0" applyAlignment="0" applyProtection="0"/>
    <xf numFmtId="0" fontId="130" fillId="51" borderId="0" applyNumberFormat="0" applyBorder="0" applyAlignment="0" applyProtection="0"/>
    <xf numFmtId="0" fontId="130" fillId="47" borderId="0" applyNumberFormat="0" applyBorder="0" applyAlignment="0" applyProtection="0"/>
    <xf numFmtId="0" fontId="130" fillId="0" borderId="0"/>
    <xf numFmtId="0" fontId="130" fillId="53" borderId="0" applyNumberFormat="0" applyBorder="0" applyAlignment="0" applyProtection="0"/>
    <xf numFmtId="0" fontId="130" fillId="55" borderId="0" applyNumberFormat="0" applyBorder="0" applyAlignment="0" applyProtection="0"/>
    <xf numFmtId="0" fontId="8" fillId="42" borderId="0" applyNumberFormat="0" applyBorder="0" applyAlignment="0" applyProtection="0"/>
    <xf numFmtId="0" fontId="130" fillId="15" borderId="0" applyNumberFormat="0" applyBorder="0" applyAlignment="0" applyProtection="0"/>
    <xf numFmtId="0" fontId="130" fillId="53" borderId="0" applyNumberFormat="0" applyBorder="0" applyAlignment="0" applyProtection="0"/>
    <xf numFmtId="0" fontId="130" fillId="55" borderId="0" applyNumberFormat="0" applyBorder="0" applyAlignment="0" applyProtection="0"/>
    <xf numFmtId="0" fontId="130" fillId="53" borderId="0" applyNumberFormat="0" applyBorder="0" applyAlignment="0" applyProtection="0"/>
    <xf numFmtId="0" fontId="108" fillId="0" borderId="0" applyNumberFormat="0" applyFill="0" applyBorder="0" applyAlignment="0" applyProtection="0"/>
    <xf numFmtId="0" fontId="130" fillId="48" borderId="0" applyNumberFormat="0" applyBorder="0" applyAlignment="0" applyProtection="0"/>
    <xf numFmtId="0" fontId="130" fillId="53" borderId="0" applyNumberFormat="0" applyBorder="0" applyAlignment="0" applyProtection="0"/>
    <xf numFmtId="0" fontId="107" fillId="0" borderId="0" applyNumberFormat="0" applyFill="0" applyBorder="0" applyAlignment="0" applyProtection="0"/>
    <xf numFmtId="0" fontId="130" fillId="48" borderId="0" applyNumberFormat="0" applyBorder="0" applyAlignment="0" applyProtection="0"/>
    <xf numFmtId="0" fontId="130" fillId="48" borderId="0" applyNumberFormat="0" applyBorder="0" applyAlignment="0" applyProtection="0"/>
    <xf numFmtId="0" fontId="130" fillId="41" borderId="0" applyNumberFormat="0" applyBorder="0" applyAlignment="0" applyProtection="0"/>
    <xf numFmtId="0" fontId="130" fillId="48" borderId="0" applyNumberFormat="0" applyBorder="0" applyAlignment="0" applyProtection="0"/>
    <xf numFmtId="0" fontId="130" fillId="48" borderId="0" applyNumberFormat="0" applyBorder="0" applyAlignment="0" applyProtection="0"/>
    <xf numFmtId="0" fontId="8" fillId="72" borderId="0" applyNumberFormat="0" applyBorder="0" applyAlignment="0" applyProtection="0"/>
    <xf numFmtId="0" fontId="130" fillId="15" borderId="0" applyNumberFormat="0" applyBorder="0" applyAlignment="0" applyProtection="0"/>
    <xf numFmtId="0" fontId="130" fillId="51" borderId="0" applyNumberFormat="0" applyBorder="0" applyAlignment="0" applyProtection="0"/>
    <xf numFmtId="0" fontId="100" fillId="0" borderId="0" applyNumberFormat="0" applyFill="0" applyBorder="0" applyAlignment="0" applyProtection="0"/>
    <xf numFmtId="0" fontId="130" fillId="48" borderId="0" applyNumberFormat="0" applyBorder="0" applyAlignment="0" applyProtection="0"/>
    <xf numFmtId="0" fontId="130" fillId="46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0" applyNumberFormat="0" applyFill="0" applyBorder="0" applyAlignment="0" applyProtection="0"/>
    <xf numFmtId="0" fontId="130" fillId="48" borderId="0" applyNumberFormat="0" applyBorder="0" applyAlignment="0" applyProtection="0"/>
    <xf numFmtId="0" fontId="130" fillId="48" borderId="0" applyNumberFormat="0" applyBorder="0" applyAlignment="0" applyProtection="0"/>
    <xf numFmtId="0" fontId="130" fillId="48" borderId="0" applyNumberFormat="0" applyBorder="0" applyAlignment="0" applyProtection="0"/>
    <xf numFmtId="0" fontId="130" fillId="48" borderId="0" applyNumberFormat="0" applyBorder="0" applyAlignment="0" applyProtection="0"/>
    <xf numFmtId="0" fontId="130" fillId="48" borderId="0" applyNumberFormat="0" applyBorder="0" applyAlignment="0" applyProtection="0"/>
    <xf numFmtId="0" fontId="130" fillId="48" borderId="0" applyNumberFormat="0" applyBorder="0" applyAlignment="0" applyProtection="0"/>
    <xf numFmtId="0" fontId="130" fillId="48" borderId="0" applyNumberFormat="0" applyBorder="0" applyAlignment="0" applyProtection="0"/>
    <xf numFmtId="0" fontId="130" fillId="48" borderId="0" applyNumberFormat="0" applyBorder="0" applyAlignment="0" applyProtection="0"/>
    <xf numFmtId="0" fontId="130" fillId="15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48" borderId="0" applyNumberFormat="0" applyBorder="0" applyAlignment="0" applyProtection="0"/>
    <xf numFmtId="0" fontId="130" fillId="48" borderId="0" applyNumberFormat="0" applyBorder="0" applyAlignment="0" applyProtection="0"/>
    <xf numFmtId="166" fontId="109" fillId="0" borderId="0" applyFont="0" applyFill="0" applyBorder="0" applyAlignment="0" applyProtection="0"/>
    <xf numFmtId="0" fontId="130" fillId="48" borderId="0" applyNumberFormat="0" applyBorder="0" applyAlignment="0" applyProtection="0"/>
    <xf numFmtId="0" fontId="130" fillId="48" borderId="0" applyNumberFormat="0" applyBorder="0" applyAlignment="0" applyProtection="0"/>
    <xf numFmtId="0" fontId="130" fillId="48" borderId="0" applyNumberFormat="0" applyBorder="0" applyAlignment="0" applyProtection="0"/>
    <xf numFmtId="0" fontId="130" fillId="48" borderId="0" applyNumberFormat="0" applyBorder="0" applyAlignment="0" applyProtection="0"/>
    <xf numFmtId="0" fontId="130" fillId="48" borderId="0" applyNumberFormat="0" applyBorder="0" applyAlignment="0" applyProtection="0"/>
    <xf numFmtId="0" fontId="130" fillId="41" borderId="0" applyNumberFormat="0" applyBorder="0" applyAlignment="0" applyProtection="0"/>
    <xf numFmtId="0" fontId="130" fillId="46" borderId="0" applyNumberFormat="0" applyBorder="0" applyAlignment="0" applyProtection="0"/>
    <xf numFmtId="0" fontId="130" fillId="48" borderId="0" applyNumberFormat="0" applyBorder="0" applyAlignment="0" applyProtection="0"/>
    <xf numFmtId="0" fontId="130" fillId="41" borderId="0" applyNumberFormat="0" applyBorder="0" applyAlignment="0" applyProtection="0"/>
    <xf numFmtId="0" fontId="130" fillId="48" borderId="0" applyNumberFormat="0" applyBorder="0" applyAlignment="0" applyProtection="0"/>
    <xf numFmtId="0" fontId="130" fillId="41" borderId="0" applyNumberFormat="0" applyBorder="0" applyAlignment="0" applyProtection="0"/>
    <xf numFmtId="0" fontId="130" fillId="62" borderId="0" applyNumberFormat="0" applyBorder="0" applyAlignment="0" applyProtection="0"/>
    <xf numFmtId="0" fontId="130" fillId="48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130" fillId="41" borderId="0" applyNumberFormat="0" applyBorder="0" applyAlignment="0" applyProtection="0"/>
    <xf numFmtId="0" fontId="130" fillId="48" borderId="0" applyNumberFormat="0" applyBorder="0" applyAlignment="0" applyProtection="0"/>
    <xf numFmtId="0" fontId="130" fillId="41" borderId="0" applyNumberFormat="0" applyBorder="0" applyAlignment="0" applyProtection="0"/>
    <xf numFmtId="0" fontId="130" fillId="48" borderId="0" applyNumberFormat="0" applyBorder="0" applyAlignment="0" applyProtection="0"/>
    <xf numFmtId="0" fontId="130" fillId="41" borderId="0" applyNumberFormat="0" applyBorder="0" applyAlignment="0" applyProtection="0"/>
    <xf numFmtId="0" fontId="130" fillId="48" borderId="0" applyNumberFormat="0" applyBorder="0" applyAlignment="0" applyProtection="0"/>
    <xf numFmtId="0" fontId="130" fillId="48" borderId="0" applyNumberFormat="0" applyBorder="0" applyAlignment="0" applyProtection="0"/>
    <xf numFmtId="0" fontId="130" fillId="0" borderId="0"/>
    <xf numFmtId="0" fontId="130" fillId="41" borderId="0" applyNumberFormat="0" applyBorder="0" applyAlignment="0" applyProtection="0"/>
    <xf numFmtId="0" fontId="130" fillId="62" borderId="0" applyNumberFormat="0" applyBorder="0" applyAlignment="0" applyProtection="0"/>
    <xf numFmtId="0" fontId="130" fillId="0" borderId="0"/>
    <xf numFmtId="0" fontId="130" fillId="0" borderId="0"/>
    <xf numFmtId="0" fontId="130" fillId="62" borderId="0" applyNumberFormat="0" applyBorder="0" applyAlignment="0" applyProtection="0"/>
    <xf numFmtId="0" fontId="99" fillId="74" borderId="0" applyNumberFormat="0" applyBorder="0" applyAlignment="0" applyProtection="0"/>
    <xf numFmtId="0" fontId="130" fillId="39" borderId="0" applyNumberFormat="0" applyBorder="0" applyAlignment="0" applyProtection="0"/>
    <xf numFmtId="0" fontId="130" fillId="51" borderId="0" applyNumberFormat="0" applyBorder="0" applyAlignment="0" applyProtection="0"/>
    <xf numFmtId="0" fontId="130" fillId="55" borderId="0" applyNumberFormat="0" applyBorder="0" applyAlignment="0" applyProtection="0"/>
    <xf numFmtId="0" fontId="130" fillId="47" borderId="0" applyNumberFormat="0" applyBorder="0" applyAlignment="0" applyProtection="0"/>
    <xf numFmtId="0" fontId="130" fillId="62" borderId="0" applyNumberFormat="0" applyBorder="0" applyAlignment="0" applyProtection="0"/>
    <xf numFmtId="0" fontId="130" fillId="62" borderId="0" applyNumberFormat="0" applyBorder="0" applyAlignment="0" applyProtection="0"/>
    <xf numFmtId="0" fontId="130" fillId="62" borderId="0" applyNumberFormat="0" applyBorder="0" applyAlignment="0" applyProtection="0"/>
    <xf numFmtId="0" fontId="130" fillId="62" borderId="0" applyNumberFormat="0" applyBorder="0" applyAlignment="0" applyProtection="0"/>
    <xf numFmtId="0" fontId="130" fillId="62" borderId="0" applyNumberFormat="0" applyBorder="0" applyAlignment="0" applyProtection="0"/>
    <xf numFmtId="0" fontId="130" fillId="62" borderId="0" applyNumberFormat="0" applyBorder="0" applyAlignment="0" applyProtection="0"/>
    <xf numFmtId="0" fontId="130" fillId="62" borderId="0" applyNumberFormat="0" applyBorder="0" applyAlignment="0" applyProtection="0"/>
    <xf numFmtId="0" fontId="130" fillId="62" borderId="0" applyNumberFormat="0" applyBorder="0" applyAlignment="0" applyProtection="0"/>
    <xf numFmtId="0" fontId="130" fillId="62" borderId="0" applyNumberFormat="0" applyBorder="0" applyAlignment="0" applyProtection="0"/>
    <xf numFmtId="0" fontId="8" fillId="75" borderId="0" applyNumberFormat="0" applyBorder="0" applyAlignment="0" applyProtection="0"/>
    <xf numFmtId="0" fontId="130" fillId="62" borderId="0" applyNumberFormat="0" applyBorder="0" applyAlignment="0" applyProtection="0"/>
    <xf numFmtId="0" fontId="130" fillId="62" borderId="0" applyNumberFormat="0" applyBorder="0" applyAlignment="0" applyProtection="0"/>
    <xf numFmtId="0" fontId="130" fillId="62" borderId="0" applyNumberFormat="0" applyBorder="0" applyAlignment="0" applyProtection="0"/>
    <xf numFmtId="0" fontId="130" fillId="0" borderId="0"/>
    <xf numFmtId="0" fontId="130" fillId="0" borderId="0"/>
    <xf numFmtId="0" fontId="130" fillId="54" borderId="0" applyNumberFormat="0" applyBorder="0" applyAlignment="0" applyProtection="0"/>
    <xf numFmtId="0" fontId="130" fillId="54" borderId="0" applyNumberFormat="0" applyBorder="0" applyAlignment="0" applyProtection="0"/>
    <xf numFmtId="0" fontId="130" fillId="9" borderId="0" applyNumberFormat="0" applyBorder="0" applyAlignment="0" applyProtection="0"/>
    <xf numFmtId="0" fontId="130" fillId="62" borderId="0" applyNumberFormat="0" applyBorder="0" applyAlignment="0" applyProtection="0"/>
    <xf numFmtId="168" fontId="53" fillId="0" borderId="0" applyFont="0" applyFill="0" applyBorder="0" applyAlignment="0" applyProtection="0"/>
    <xf numFmtId="0" fontId="130" fillId="0" borderId="0"/>
    <xf numFmtId="0" fontId="130" fillId="62" borderId="0" applyNumberFormat="0" applyBorder="0" applyAlignment="0" applyProtection="0"/>
    <xf numFmtId="0" fontId="130" fillId="0" borderId="0"/>
    <xf numFmtId="0" fontId="130" fillId="0" borderId="0"/>
    <xf numFmtId="0" fontId="130" fillId="46" borderId="0" applyNumberFormat="0" applyBorder="0" applyAlignment="0" applyProtection="0"/>
    <xf numFmtId="0" fontId="130" fillId="62" borderId="0" applyNumberFormat="0" applyBorder="0" applyAlignment="0" applyProtection="0"/>
    <xf numFmtId="0" fontId="130" fillId="62" borderId="0" applyNumberFormat="0" applyBorder="0" applyAlignment="0" applyProtection="0"/>
    <xf numFmtId="0" fontId="130" fillId="0" borderId="0"/>
    <xf numFmtId="0" fontId="130" fillId="0" borderId="0"/>
    <xf numFmtId="0" fontId="130" fillId="62" borderId="0" applyNumberFormat="0" applyBorder="0" applyAlignment="0" applyProtection="0"/>
    <xf numFmtId="0" fontId="130" fillId="0" borderId="0"/>
    <xf numFmtId="0" fontId="130" fillId="0" borderId="0"/>
    <xf numFmtId="0" fontId="130" fillId="39" borderId="0" applyNumberFormat="0" applyBorder="0" applyAlignment="0" applyProtection="0"/>
    <xf numFmtId="0" fontId="130" fillId="62" borderId="0" applyNumberFormat="0" applyBorder="0" applyAlignment="0" applyProtection="0"/>
    <xf numFmtId="0" fontId="130" fillId="62" borderId="0" applyNumberFormat="0" applyBorder="0" applyAlignment="0" applyProtection="0"/>
    <xf numFmtId="0" fontId="130" fillId="0" borderId="0"/>
    <xf numFmtId="0" fontId="130" fillId="0" borderId="0"/>
    <xf numFmtId="0" fontId="130" fillId="39" borderId="0" applyNumberFormat="0" applyBorder="0" applyAlignment="0" applyProtection="0"/>
    <xf numFmtId="0" fontId="130" fillId="62" borderId="0" applyNumberFormat="0" applyBorder="0" applyAlignment="0" applyProtection="0"/>
    <xf numFmtId="0" fontId="130" fillId="0" borderId="0"/>
    <xf numFmtId="0" fontId="130" fillId="0" borderId="0"/>
    <xf numFmtId="0" fontId="130" fillId="51" borderId="0" applyNumberFormat="0" applyBorder="0" applyAlignment="0" applyProtection="0"/>
    <xf numFmtId="0" fontId="130" fillId="39" borderId="0" applyNumberFormat="0" applyBorder="0" applyAlignment="0" applyProtection="0"/>
    <xf numFmtId="0" fontId="130" fillId="62" borderId="0" applyNumberFormat="0" applyBorder="0" applyAlignment="0" applyProtection="0"/>
    <xf numFmtId="0" fontId="130" fillId="55" borderId="0" applyNumberFormat="0" applyBorder="0" applyAlignment="0" applyProtection="0"/>
    <xf numFmtId="0" fontId="130" fillId="47" borderId="0" applyNumberFormat="0" applyBorder="0" applyAlignment="0" applyProtection="0"/>
    <xf numFmtId="0" fontId="130" fillId="54" borderId="0" applyNumberFormat="0" applyBorder="0" applyAlignment="0" applyProtection="0"/>
    <xf numFmtId="0" fontId="130" fillId="39" borderId="0" applyNumberFormat="0" applyBorder="0" applyAlignment="0" applyProtection="0"/>
    <xf numFmtId="0" fontId="130" fillId="15" borderId="0" applyNumberFormat="0" applyBorder="0" applyAlignment="0" applyProtection="0"/>
    <xf numFmtId="0" fontId="130" fillId="62" borderId="0" applyNumberFormat="0" applyBorder="0" applyAlignment="0" applyProtection="0"/>
    <xf numFmtId="0" fontId="130" fillId="39" borderId="0" applyNumberFormat="0" applyBorder="0" applyAlignment="0" applyProtection="0"/>
    <xf numFmtId="0" fontId="130" fillId="62" borderId="0" applyNumberFormat="0" applyBorder="0" applyAlignment="0" applyProtection="0"/>
    <xf numFmtId="0" fontId="130" fillId="0" borderId="0"/>
    <xf numFmtId="0" fontId="130" fillId="39" borderId="0" applyNumberFormat="0" applyBorder="0" applyAlignment="0" applyProtection="0"/>
    <xf numFmtId="0" fontId="130" fillId="55" borderId="0" applyNumberFormat="0" applyBorder="0" applyAlignment="0" applyProtection="0"/>
    <xf numFmtId="0" fontId="130" fillId="62" borderId="0" applyNumberFormat="0" applyBorder="0" applyAlignment="0" applyProtection="0"/>
    <xf numFmtId="0" fontId="130" fillId="39" borderId="0" applyNumberFormat="0" applyBorder="0" applyAlignment="0" applyProtection="0"/>
    <xf numFmtId="0" fontId="130" fillId="62" borderId="0" applyNumberFormat="0" applyBorder="0" applyAlignment="0" applyProtection="0"/>
    <xf numFmtId="0" fontId="130" fillId="39" borderId="0" applyNumberFormat="0" applyBorder="0" applyAlignment="0" applyProtection="0"/>
    <xf numFmtId="0" fontId="130" fillId="53" borderId="0" applyNumberFormat="0" applyBorder="0" applyAlignment="0" applyProtection="0"/>
    <xf numFmtId="0" fontId="130" fillId="62" borderId="0" applyNumberFormat="0" applyBorder="0" applyAlignment="0" applyProtection="0"/>
    <xf numFmtId="0" fontId="130" fillId="47" borderId="0" applyNumberFormat="0" applyBorder="0" applyAlignment="0" applyProtection="0"/>
    <xf numFmtId="0" fontId="130" fillId="0" borderId="0"/>
    <xf numFmtId="0" fontId="130" fillId="47" borderId="0" applyNumberFormat="0" applyBorder="0" applyAlignment="0" applyProtection="0"/>
    <xf numFmtId="0" fontId="130" fillId="41" borderId="0" applyNumberFormat="0" applyBorder="0" applyAlignment="0" applyProtection="0"/>
    <xf numFmtId="0" fontId="130" fillId="51" borderId="0" applyNumberFormat="0" applyBorder="0" applyAlignment="0" applyProtection="0"/>
    <xf numFmtId="0" fontId="130" fillId="47" borderId="0" applyNumberFormat="0" applyBorder="0" applyAlignment="0" applyProtection="0"/>
    <xf numFmtId="0" fontId="130" fillId="0" borderId="0"/>
    <xf numFmtId="0" fontId="130" fillId="55" borderId="0" applyNumberFormat="0" applyBorder="0" applyAlignment="0" applyProtection="0"/>
    <xf numFmtId="0" fontId="130" fillId="47" borderId="0" applyNumberFormat="0" applyBorder="0" applyAlignment="0" applyProtection="0"/>
    <xf numFmtId="0" fontId="130" fillId="47" borderId="0" applyNumberFormat="0" applyBorder="0" applyAlignment="0" applyProtection="0"/>
    <xf numFmtId="0" fontId="130" fillId="47" borderId="0" applyNumberFormat="0" applyBorder="0" applyAlignment="0" applyProtection="0"/>
    <xf numFmtId="0" fontId="130" fillId="40" borderId="22" applyNumberFormat="0" applyFont="0" applyAlignment="0" applyProtection="0"/>
    <xf numFmtId="0" fontId="130" fillId="47" borderId="0" applyNumberFormat="0" applyBorder="0" applyAlignment="0" applyProtection="0"/>
    <xf numFmtId="0" fontId="130" fillId="47" borderId="0" applyNumberFormat="0" applyBorder="0" applyAlignment="0" applyProtection="0"/>
    <xf numFmtId="0" fontId="130" fillId="47" borderId="0" applyNumberFormat="0" applyBorder="0" applyAlignment="0" applyProtection="0"/>
    <xf numFmtId="0" fontId="130" fillId="47" borderId="0" applyNumberFormat="0" applyBorder="0" applyAlignment="0" applyProtection="0"/>
    <xf numFmtId="0" fontId="130" fillId="47" borderId="0" applyNumberFormat="0" applyBorder="0" applyAlignment="0" applyProtection="0"/>
    <xf numFmtId="0" fontId="8" fillId="76" borderId="0" applyNumberFormat="0" applyBorder="0" applyAlignment="0" applyProtection="0"/>
    <xf numFmtId="0" fontId="130" fillId="47" borderId="0" applyNumberFormat="0" applyBorder="0" applyAlignment="0" applyProtection="0"/>
    <xf numFmtId="0" fontId="130" fillId="47" borderId="0" applyNumberFormat="0" applyBorder="0" applyAlignment="0" applyProtection="0"/>
    <xf numFmtId="0" fontId="130" fillId="47" borderId="0" applyNumberFormat="0" applyBorder="0" applyAlignment="0" applyProtection="0"/>
    <xf numFmtId="41" fontId="109" fillId="0" borderId="0" applyFont="0" applyFill="0" applyBorder="0" applyAlignment="0" applyProtection="0"/>
    <xf numFmtId="0" fontId="130" fillId="47" borderId="0" applyNumberFormat="0" applyBorder="0" applyAlignment="0" applyProtection="0"/>
    <xf numFmtId="0" fontId="130" fillId="47" borderId="0" applyNumberFormat="0" applyBorder="0" applyAlignment="0" applyProtection="0"/>
    <xf numFmtId="0" fontId="130" fillId="41" borderId="0" applyNumberFormat="0" applyBorder="0" applyAlignment="0" applyProtection="0"/>
    <xf numFmtId="0" fontId="130" fillId="41" borderId="0" applyNumberFormat="0" applyBorder="0" applyAlignment="0" applyProtection="0"/>
    <xf numFmtId="0" fontId="130" fillId="47" borderId="0" applyNumberFormat="0" applyBorder="0" applyAlignment="0" applyProtection="0"/>
    <xf numFmtId="0" fontId="130" fillId="47" borderId="0" applyNumberFormat="0" applyBorder="0" applyAlignment="0" applyProtection="0"/>
    <xf numFmtId="0" fontId="130" fillId="47" borderId="0" applyNumberFormat="0" applyBorder="0" applyAlignment="0" applyProtection="0"/>
    <xf numFmtId="0" fontId="130" fillId="47" borderId="0" applyNumberFormat="0" applyBorder="0" applyAlignment="0" applyProtection="0"/>
    <xf numFmtId="0" fontId="130" fillId="51" borderId="0" applyNumberFormat="0" applyBorder="0" applyAlignment="0" applyProtection="0"/>
    <xf numFmtId="0" fontId="130" fillId="47" borderId="0" applyNumberFormat="0" applyBorder="0" applyAlignment="0" applyProtection="0"/>
    <xf numFmtId="0" fontId="130" fillId="51" borderId="0" applyNumberFormat="0" applyBorder="0" applyAlignment="0" applyProtection="0"/>
    <xf numFmtId="0" fontId="130" fillId="47" borderId="0" applyNumberFormat="0" applyBorder="0" applyAlignment="0" applyProtection="0"/>
    <xf numFmtId="0" fontId="130" fillId="51" borderId="0" applyNumberFormat="0" applyBorder="0" applyAlignment="0" applyProtection="0"/>
    <xf numFmtId="0" fontId="130" fillId="55" borderId="0" applyNumberFormat="0" applyBorder="0" applyAlignment="0" applyProtection="0"/>
    <xf numFmtId="0" fontId="130" fillId="47" borderId="0" applyNumberFormat="0" applyBorder="0" applyAlignment="0" applyProtection="0"/>
    <xf numFmtId="43" fontId="130" fillId="0" borderId="0" applyFont="0" applyFill="0" applyBorder="0" applyAlignment="0" applyProtection="0"/>
    <xf numFmtId="0" fontId="130" fillId="51" borderId="0" applyNumberFormat="0" applyBorder="0" applyAlignment="0" applyProtection="0"/>
    <xf numFmtId="0" fontId="130" fillId="47" borderId="0" applyNumberFormat="0" applyBorder="0" applyAlignment="0" applyProtection="0"/>
    <xf numFmtId="0" fontId="130" fillId="39" borderId="0" applyNumberFormat="0" applyBorder="0" applyAlignment="0" applyProtection="0"/>
    <xf numFmtId="0" fontId="130" fillId="39" borderId="0" applyNumberFormat="0" applyBorder="0" applyAlignment="0" applyProtection="0"/>
    <xf numFmtId="0" fontId="130" fillId="51" borderId="0" applyNumberFormat="0" applyBorder="0" applyAlignment="0" applyProtection="0"/>
    <xf numFmtId="0" fontId="130" fillId="55" borderId="0" applyNumberFormat="0" applyBorder="0" applyAlignment="0" applyProtection="0"/>
    <xf numFmtId="0" fontId="130" fillId="47" borderId="0" applyNumberFormat="0" applyBorder="0" applyAlignment="0" applyProtection="0"/>
    <xf numFmtId="0" fontId="130" fillId="15" borderId="0" applyNumberFormat="0" applyBorder="0" applyAlignment="0" applyProtection="0"/>
    <xf numFmtId="0" fontId="130" fillId="0" borderId="0"/>
    <xf numFmtId="0" fontId="130" fillId="15" borderId="0" applyNumberFormat="0" applyBorder="0" applyAlignment="0" applyProtection="0"/>
    <xf numFmtId="0" fontId="130" fillId="15" borderId="0" applyNumberFormat="0" applyBorder="0" applyAlignment="0" applyProtection="0"/>
    <xf numFmtId="0" fontId="130" fillId="0" borderId="0"/>
    <xf numFmtId="0" fontId="130" fillId="55" borderId="0" applyNumberFormat="0" applyBorder="0" applyAlignment="0" applyProtection="0"/>
    <xf numFmtId="0" fontId="130" fillId="15" borderId="0" applyNumberFormat="0" applyBorder="0" applyAlignment="0" applyProtection="0"/>
    <xf numFmtId="0" fontId="130" fillId="0" borderId="0"/>
    <xf numFmtId="0" fontId="130" fillId="15" borderId="0" applyNumberFormat="0" applyBorder="0" applyAlignment="0" applyProtection="0"/>
    <xf numFmtId="0" fontId="72" fillId="45" borderId="0" applyNumberFormat="0" applyBorder="0" applyAlignment="0" applyProtection="0"/>
    <xf numFmtId="0" fontId="130" fillId="0" borderId="0"/>
    <xf numFmtId="0" fontId="130" fillId="15" borderId="0" applyNumberFormat="0" applyBorder="0" applyAlignment="0" applyProtection="0"/>
    <xf numFmtId="0" fontId="99" fillId="77" borderId="0" applyNumberFormat="0" applyBorder="0" applyAlignment="0" applyProtection="0"/>
    <xf numFmtId="0" fontId="130" fillId="0" borderId="0"/>
    <xf numFmtId="0" fontId="130" fillId="15" borderId="0" applyNumberFormat="0" applyBorder="0" applyAlignment="0" applyProtection="0"/>
    <xf numFmtId="0" fontId="130" fillId="15" borderId="0" applyNumberFormat="0" applyBorder="0" applyAlignment="0" applyProtection="0"/>
    <xf numFmtId="0" fontId="117" fillId="67" borderId="0" applyNumberFormat="0" applyBorder="0" applyAlignment="0" applyProtection="0"/>
    <xf numFmtId="0" fontId="130" fillId="0" borderId="0"/>
    <xf numFmtId="0" fontId="130" fillId="15" borderId="0" applyNumberFormat="0" applyBorder="0" applyAlignment="0" applyProtection="0"/>
    <xf numFmtId="0" fontId="130" fillId="15" borderId="0" applyNumberFormat="0" applyBorder="0" applyAlignment="0" applyProtection="0"/>
    <xf numFmtId="0" fontId="114" fillId="78" borderId="0" applyNumberFormat="0" applyBorder="0" applyAlignment="0" applyProtection="0"/>
    <xf numFmtId="0" fontId="130" fillId="0" borderId="0"/>
    <xf numFmtId="0" fontId="130" fillId="15" borderId="0" applyNumberFormat="0" applyBorder="0" applyAlignment="0" applyProtection="0"/>
    <xf numFmtId="0" fontId="8" fillId="84" borderId="0" applyNumberFormat="0" applyBorder="0" applyAlignment="0" applyProtection="0"/>
    <xf numFmtId="0" fontId="130" fillId="0" borderId="0"/>
    <xf numFmtId="0" fontId="130" fillId="15" borderId="0" applyNumberFormat="0" applyBorder="0" applyAlignment="0" applyProtection="0"/>
    <xf numFmtId="0" fontId="130" fillId="0" borderId="0"/>
    <xf numFmtId="0" fontId="130" fillId="15" borderId="0" applyNumberFormat="0" applyBorder="0" applyAlignment="0" applyProtection="0"/>
    <xf numFmtId="0" fontId="130" fillId="53" borderId="0" applyNumberFormat="0" applyBorder="0" applyAlignment="0" applyProtection="0"/>
    <xf numFmtId="0" fontId="130" fillId="15" borderId="0" applyNumberFormat="0" applyBorder="0" applyAlignment="0" applyProtection="0"/>
    <xf numFmtId="0" fontId="130" fillId="15" borderId="0" applyNumberFormat="0" applyBorder="0" applyAlignment="0" applyProtection="0"/>
    <xf numFmtId="0" fontId="130" fillId="15" borderId="0" applyNumberFormat="0" applyBorder="0" applyAlignment="0" applyProtection="0"/>
    <xf numFmtId="0" fontId="130" fillId="15" borderId="0" applyNumberFormat="0" applyBorder="0" applyAlignment="0" applyProtection="0"/>
    <xf numFmtId="0" fontId="130" fillId="15" borderId="0" applyNumberFormat="0" applyBorder="0" applyAlignment="0" applyProtection="0"/>
    <xf numFmtId="0" fontId="130" fillId="54" borderId="0" applyNumberFormat="0" applyBorder="0" applyAlignment="0" applyProtection="0"/>
    <xf numFmtId="0" fontId="130" fillId="15" borderId="0" applyNumberFormat="0" applyBorder="0" applyAlignment="0" applyProtection="0"/>
    <xf numFmtId="0" fontId="130" fillId="54" borderId="0" applyNumberFormat="0" applyBorder="0" applyAlignment="0" applyProtection="0"/>
    <xf numFmtId="0" fontId="130" fillId="15" borderId="0" applyNumberFormat="0" applyBorder="0" applyAlignment="0" applyProtection="0"/>
    <xf numFmtId="0" fontId="130" fillId="54" borderId="0" applyNumberFormat="0" applyBorder="0" applyAlignment="0" applyProtection="0"/>
    <xf numFmtId="0" fontId="130" fillId="15" borderId="0" applyNumberFormat="0" applyBorder="0" applyAlignment="0" applyProtection="0"/>
    <xf numFmtId="0" fontId="130" fillId="54" borderId="0" applyNumberFormat="0" applyBorder="0" applyAlignment="0" applyProtection="0"/>
    <xf numFmtId="0" fontId="130" fillId="15" borderId="0" applyNumberFormat="0" applyBorder="0" applyAlignment="0" applyProtection="0"/>
    <xf numFmtId="0" fontId="130" fillId="54" borderId="0" applyNumberFormat="0" applyBorder="0" applyAlignment="0" applyProtection="0"/>
    <xf numFmtId="0" fontId="130" fillId="15" borderId="0" applyNumberFormat="0" applyBorder="0" applyAlignment="0" applyProtection="0"/>
    <xf numFmtId="0" fontId="130" fillId="54" borderId="0" applyNumberFormat="0" applyBorder="0" applyAlignment="0" applyProtection="0"/>
    <xf numFmtId="0" fontId="130" fillId="15" borderId="0" applyNumberFormat="0" applyBorder="0" applyAlignment="0" applyProtection="0"/>
    <xf numFmtId="0" fontId="130" fillId="54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15" borderId="0" applyNumberFormat="0" applyBorder="0" applyAlignment="0" applyProtection="0"/>
    <xf numFmtId="0" fontId="130" fillId="51" borderId="0" applyNumberFormat="0" applyBorder="0" applyAlignment="0" applyProtection="0"/>
    <xf numFmtId="0" fontId="130" fillId="55" borderId="0" applyNumberFormat="0" applyBorder="0" applyAlignment="0" applyProtection="0"/>
    <xf numFmtId="0" fontId="130" fillId="51" borderId="0" applyNumberFormat="0" applyBorder="0" applyAlignment="0" applyProtection="0"/>
    <xf numFmtId="0" fontId="130" fillId="55" borderId="0" applyNumberFormat="0" applyBorder="0" applyAlignment="0" applyProtection="0"/>
    <xf numFmtId="0" fontId="130" fillId="51" borderId="0" applyNumberFormat="0" applyBorder="0" applyAlignment="0" applyProtection="0"/>
    <xf numFmtId="0" fontId="130" fillId="55" borderId="0" applyNumberFormat="0" applyBorder="0" applyAlignment="0" applyProtection="0"/>
    <xf numFmtId="0" fontId="130" fillId="55" borderId="0" applyNumberFormat="0" applyBorder="0" applyAlignment="0" applyProtection="0"/>
    <xf numFmtId="0" fontId="130" fillId="51" borderId="0" applyNumberFormat="0" applyBorder="0" applyAlignment="0" applyProtection="0"/>
    <xf numFmtId="0" fontId="130" fillId="55" borderId="0" applyNumberFormat="0" applyBorder="0" applyAlignment="0" applyProtection="0"/>
    <xf numFmtId="0" fontId="130" fillId="55" borderId="0" applyNumberFormat="0" applyBorder="0" applyAlignment="0" applyProtection="0"/>
    <xf numFmtId="0" fontId="130" fillId="0" borderId="0"/>
    <xf numFmtId="0" fontId="130" fillId="55" borderId="0" applyNumberFormat="0" applyBorder="0" applyAlignment="0" applyProtection="0"/>
    <xf numFmtId="0" fontId="130" fillId="0" borderId="0"/>
    <xf numFmtId="0" fontId="130" fillId="55" borderId="0" applyNumberFormat="0" applyBorder="0" applyAlignment="0" applyProtection="0"/>
    <xf numFmtId="0" fontId="130" fillId="0" borderId="0"/>
    <xf numFmtId="0" fontId="130" fillId="55" borderId="0" applyNumberFormat="0" applyBorder="0" applyAlignment="0" applyProtection="0"/>
    <xf numFmtId="0" fontId="130" fillId="0" borderId="0"/>
    <xf numFmtId="0" fontId="130" fillId="55" borderId="0" applyNumberFormat="0" applyBorder="0" applyAlignment="0" applyProtection="0"/>
    <xf numFmtId="0" fontId="130" fillId="0" borderId="0"/>
    <xf numFmtId="0" fontId="130" fillId="51" borderId="0" applyNumberFormat="0" applyBorder="0" applyAlignment="0" applyProtection="0"/>
    <xf numFmtId="0" fontId="8" fillId="80" borderId="0" applyNumberFormat="0" applyBorder="0" applyAlignment="0" applyProtection="0"/>
    <xf numFmtId="0" fontId="130" fillId="55" borderId="0" applyNumberFormat="0" applyBorder="0" applyAlignment="0" applyProtection="0"/>
    <xf numFmtId="0" fontId="130" fillId="0" borderId="0"/>
    <xf numFmtId="0" fontId="130" fillId="55" borderId="0" applyNumberFormat="0" applyBorder="0" applyAlignment="0" applyProtection="0"/>
    <xf numFmtId="0" fontId="130" fillId="0" borderId="0"/>
    <xf numFmtId="0" fontId="130" fillId="55" borderId="0" applyNumberFormat="0" applyBorder="0" applyAlignment="0" applyProtection="0"/>
    <xf numFmtId="0" fontId="130" fillId="0" borderId="0"/>
    <xf numFmtId="0" fontId="130" fillId="55" borderId="0" applyNumberFormat="0" applyBorder="0" applyAlignment="0" applyProtection="0"/>
    <xf numFmtId="0" fontId="130" fillId="0" borderId="0"/>
    <xf numFmtId="0" fontId="130" fillId="55" borderId="0" applyNumberFormat="0" applyBorder="0" applyAlignment="0" applyProtection="0"/>
    <xf numFmtId="0" fontId="130" fillId="0" borderId="0"/>
    <xf numFmtId="0" fontId="130" fillId="55" borderId="0" applyNumberFormat="0" applyBorder="0" applyAlignment="0" applyProtection="0"/>
    <xf numFmtId="0" fontId="130" fillId="0" borderId="0"/>
    <xf numFmtId="0" fontId="130" fillId="55" borderId="0" applyNumberFormat="0" applyBorder="0" applyAlignment="0" applyProtection="0"/>
    <xf numFmtId="0" fontId="130" fillId="55" borderId="0" applyNumberFormat="0" applyBorder="0" applyAlignment="0" applyProtection="0"/>
    <xf numFmtId="0" fontId="130" fillId="54" borderId="0" applyNumberFormat="0" applyBorder="0" applyAlignment="0" applyProtection="0"/>
    <xf numFmtId="0" fontId="8" fillId="81" borderId="0" applyNumberFormat="0" applyBorder="0" applyAlignment="0" applyProtection="0"/>
    <xf numFmtId="0" fontId="130" fillId="9" borderId="0" applyNumberFormat="0" applyBorder="0" applyAlignment="0" applyProtection="0"/>
    <xf numFmtId="0" fontId="130" fillId="55" borderId="0" applyNumberFormat="0" applyBorder="0" applyAlignment="0" applyProtection="0"/>
    <xf numFmtId="0" fontId="130" fillId="39" borderId="0" applyNumberFormat="0" applyBorder="0" applyAlignment="0" applyProtection="0"/>
    <xf numFmtId="0" fontId="130" fillId="53" borderId="0" applyNumberFormat="0" applyBorder="0" applyAlignment="0" applyProtection="0"/>
    <xf numFmtId="0" fontId="130" fillId="53" borderId="0" applyNumberFormat="0" applyBorder="0" applyAlignment="0" applyProtection="0"/>
    <xf numFmtId="0" fontId="130" fillId="53" borderId="0" applyNumberFormat="0" applyBorder="0" applyAlignment="0" applyProtection="0"/>
    <xf numFmtId="0" fontId="130" fillId="53" borderId="0" applyNumberFormat="0" applyBorder="0" applyAlignment="0" applyProtection="0"/>
    <xf numFmtId="0" fontId="130" fillId="53" borderId="0" applyNumberFormat="0" applyBorder="0" applyAlignment="0" applyProtection="0"/>
    <xf numFmtId="0" fontId="130" fillId="53" borderId="0" applyNumberFormat="0" applyBorder="0" applyAlignment="0" applyProtection="0"/>
    <xf numFmtId="0" fontId="130" fillId="53" borderId="0" applyNumberFormat="0" applyBorder="0" applyAlignment="0" applyProtection="0"/>
    <xf numFmtId="0" fontId="130" fillId="53" borderId="0" applyNumberFormat="0" applyBorder="0" applyAlignment="0" applyProtection="0"/>
    <xf numFmtId="0" fontId="130" fillId="53" borderId="0" applyNumberFormat="0" applyBorder="0" applyAlignment="0" applyProtection="0"/>
    <xf numFmtId="0" fontId="130" fillId="53" borderId="0" applyNumberFormat="0" applyBorder="0" applyAlignment="0" applyProtection="0"/>
    <xf numFmtId="0" fontId="8" fillId="86" borderId="0" applyNumberFormat="0" applyBorder="0" applyAlignment="0" applyProtection="0"/>
    <xf numFmtId="0" fontId="130" fillId="53" borderId="0" applyNumberFormat="0" applyBorder="0" applyAlignment="0" applyProtection="0"/>
    <xf numFmtId="0" fontId="130" fillId="53" borderId="0" applyNumberFormat="0" applyBorder="0" applyAlignment="0" applyProtection="0"/>
    <xf numFmtId="0" fontId="130" fillId="53" borderId="0" applyNumberFormat="0" applyBorder="0" applyAlignment="0" applyProtection="0"/>
    <xf numFmtId="0" fontId="130" fillId="53" borderId="0" applyNumberFormat="0" applyBorder="0" applyAlignment="0" applyProtection="0"/>
    <xf numFmtId="0" fontId="130" fillId="53" borderId="0" applyNumberFormat="0" applyBorder="0" applyAlignment="0" applyProtection="0"/>
    <xf numFmtId="0" fontId="130" fillId="54" borderId="0" applyNumberFormat="0" applyBorder="0" applyAlignment="0" applyProtection="0"/>
    <xf numFmtId="0" fontId="130" fillId="53" borderId="0" applyNumberFormat="0" applyBorder="0" applyAlignment="0" applyProtection="0"/>
    <xf numFmtId="0" fontId="130" fillId="46" borderId="0" applyNumberFormat="0" applyBorder="0" applyAlignment="0" applyProtection="0"/>
    <xf numFmtId="0" fontId="130" fillId="53" borderId="0" applyNumberFormat="0" applyBorder="0" applyAlignment="0" applyProtection="0"/>
    <xf numFmtId="0" fontId="130" fillId="53" borderId="0" applyNumberFormat="0" applyBorder="0" applyAlignment="0" applyProtection="0"/>
    <xf numFmtId="0" fontId="130" fillId="53" borderId="0" applyNumberFormat="0" applyBorder="0" applyAlignment="0" applyProtection="0"/>
    <xf numFmtId="0" fontId="130" fillId="53" borderId="0" applyNumberFormat="0" applyBorder="0" applyAlignment="0" applyProtection="0"/>
    <xf numFmtId="0" fontId="130" fillId="40" borderId="22" applyNumberFormat="0" applyFont="0" applyAlignment="0" applyProtection="0"/>
    <xf numFmtId="0" fontId="130" fillId="53" borderId="0" applyNumberFormat="0" applyBorder="0" applyAlignment="0" applyProtection="0"/>
    <xf numFmtId="0" fontId="130" fillId="53" borderId="0" applyNumberFormat="0" applyBorder="0" applyAlignment="0" applyProtection="0"/>
    <xf numFmtId="0" fontId="130" fillId="40" borderId="22" applyNumberFormat="0" applyFont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15" fillId="58" borderId="32" applyNumberFormat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8" fillId="80" borderId="0" applyNumberFormat="0" applyBorder="0" applyAlignment="0" applyProtection="0"/>
    <xf numFmtId="0" fontId="130" fillId="9" borderId="0" applyNumberFormat="0" applyBorder="0" applyAlignment="0" applyProtection="0"/>
    <xf numFmtId="0" fontId="111" fillId="66" borderId="0" applyNumberFormat="0" applyBorder="0" applyAlignment="0" applyProtection="0"/>
    <xf numFmtId="0" fontId="130" fillId="54" borderId="0" applyNumberFormat="0" applyBorder="0" applyAlignment="0" applyProtection="0"/>
    <xf numFmtId="0" fontId="130" fillId="46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54" borderId="0" applyNumberFormat="0" applyBorder="0" applyAlignment="0" applyProtection="0"/>
    <xf numFmtId="0" fontId="130" fillId="54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72" fillId="68" borderId="0" applyNumberFormat="0" applyBorder="0" applyAlignment="0" applyProtection="0"/>
    <xf numFmtId="0" fontId="130" fillId="54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99" fillId="73" borderId="0" applyNumberFormat="0" applyBorder="0" applyAlignment="0" applyProtection="0"/>
    <xf numFmtId="0" fontId="130" fillId="54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8" fillId="77" borderId="0" applyNumberFormat="0" applyBorder="0" applyAlignment="0" applyProtection="0"/>
    <xf numFmtId="0" fontId="130" fillId="41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130" fillId="51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72" fillId="69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99" fillId="79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130" fillId="46" borderId="0" applyNumberFormat="0" applyBorder="0" applyAlignment="0" applyProtection="0"/>
    <xf numFmtId="0" fontId="130" fillId="41" borderId="0" applyNumberFormat="0" applyBorder="0" applyAlignment="0" applyProtection="0"/>
    <xf numFmtId="0" fontId="130" fillId="41" borderId="0" applyNumberFormat="0" applyBorder="0" applyAlignment="0" applyProtection="0"/>
    <xf numFmtId="0" fontId="130" fillId="41" borderId="0" applyNumberFormat="0" applyBorder="0" applyAlignment="0" applyProtection="0"/>
    <xf numFmtId="0" fontId="130" fillId="41" borderId="0" applyNumberFormat="0" applyBorder="0" applyAlignment="0" applyProtection="0"/>
    <xf numFmtId="0" fontId="130" fillId="41" borderId="0" applyNumberFormat="0" applyBorder="0" applyAlignment="0" applyProtection="0"/>
    <xf numFmtId="0" fontId="130" fillId="41" borderId="0" applyNumberFormat="0" applyBorder="0" applyAlignment="0" applyProtection="0"/>
    <xf numFmtId="0" fontId="130" fillId="41" borderId="0" applyNumberFormat="0" applyBorder="0" applyAlignment="0" applyProtection="0"/>
    <xf numFmtId="0" fontId="130" fillId="41" borderId="0" applyNumberFormat="0" applyBorder="0" applyAlignment="0" applyProtection="0"/>
    <xf numFmtId="0" fontId="8" fillId="73" borderId="0" applyNumberFormat="0" applyBorder="0" applyAlignment="0" applyProtection="0"/>
    <xf numFmtId="0" fontId="130" fillId="41" borderId="0" applyNumberFormat="0" applyBorder="0" applyAlignment="0" applyProtection="0"/>
    <xf numFmtId="0" fontId="122" fillId="0" borderId="0" applyNumberFormat="0" applyFill="0" applyBorder="0" applyAlignment="0" applyProtection="0"/>
    <xf numFmtId="0" fontId="130" fillId="0" borderId="0"/>
    <xf numFmtId="0" fontId="130" fillId="41" borderId="0" applyNumberFormat="0" applyBorder="0" applyAlignment="0" applyProtection="0"/>
    <xf numFmtId="0" fontId="72" fillId="70" borderId="0" applyNumberFormat="0" applyBorder="0" applyAlignment="0" applyProtection="0"/>
    <xf numFmtId="0" fontId="130" fillId="41" borderId="0" applyNumberFormat="0" applyBorder="0" applyAlignment="0" applyProtection="0"/>
    <xf numFmtId="0" fontId="130" fillId="40" borderId="22" applyNumberFormat="0" applyFont="0" applyAlignment="0" applyProtection="0"/>
    <xf numFmtId="0" fontId="130" fillId="41" borderId="0" applyNumberFormat="0" applyBorder="0" applyAlignment="0" applyProtection="0"/>
    <xf numFmtId="0" fontId="99" fillId="87" borderId="0" applyNumberFormat="0" applyBorder="0" applyAlignment="0" applyProtection="0"/>
    <xf numFmtId="0" fontId="130" fillId="41" borderId="0" applyNumberFormat="0" applyBorder="0" applyAlignment="0" applyProtection="0"/>
    <xf numFmtId="0" fontId="130" fillId="41" borderId="0" applyNumberFormat="0" applyBorder="0" applyAlignment="0" applyProtection="0"/>
    <xf numFmtId="0" fontId="130" fillId="41" borderId="0" applyNumberFormat="0" applyBorder="0" applyAlignment="0" applyProtection="0"/>
    <xf numFmtId="0" fontId="130" fillId="39" borderId="0" applyNumberFormat="0" applyBorder="0" applyAlignment="0" applyProtection="0"/>
    <xf numFmtId="0" fontId="72" fillId="63" borderId="0" applyNumberFormat="0" applyBorder="0" applyAlignment="0" applyProtection="0"/>
    <xf numFmtId="0" fontId="130" fillId="39" borderId="0" applyNumberFormat="0" applyBorder="0" applyAlignment="0" applyProtection="0"/>
    <xf numFmtId="0" fontId="130" fillId="0" borderId="0"/>
    <xf numFmtId="0" fontId="130" fillId="0" borderId="0"/>
    <xf numFmtId="0" fontId="130" fillId="39" borderId="0" applyNumberFormat="0" applyBorder="0" applyAlignment="0" applyProtection="0"/>
    <xf numFmtId="0" fontId="99" fillId="83" borderId="0" applyNumberFormat="0" applyBorder="0" applyAlignment="0" applyProtection="0"/>
    <xf numFmtId="0" fontId="130" fillId="39" borderId="0" applyNumberFormat="0" applyBorder="0" applyAlignment="0" applyProtection="0"/>
    <xf numFmtId="0" fontId="130" fillId="39" borderId="0" applyNumberFormat="0" applyBorder="0" applyAlignment="0" applyProtection="0"/>
    <xf numFmtId="0" fontId="130" fillId="39" borderId="0" applyNumberFormat="0" applyBorder="0" applyAlignment="0" applyProtection="0"/>
    <xf numFmtId="0" fontId="130" fillId="39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0" fontId="130" fillId="39" borderId="0" applyNumberFormat="0" applyBorder="0" applyAlignment="0" applyProtection="0"/>
    <xf numFmtId="0" fontId="8" fillId="84" borderId="0" applyNumberFormat="0" applyBorder="0" applyAlignment="0" applyProtection="0"/>
    <xf numFmtId="43" fontId="130" fillId="0" borderId="0" applyFont="0" applyFill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0" fontId="130" fillId="39" borderId="0" applyNumberFormat="0" applyBorder="0" applyAlignment="0" applyProtection="0"/>
    <xf numFmtId="0" fontId="72" fillId="71" borderId="0" applyNumberFormat="0" applyBorder="0" applyAlignment="0" applyProtection="0"/>
    <xf numFmtId="0" fontId="130" fillId="39" borderId="0" applyNumberFormat="0" applyBorder="0" applyAlignment="0" applyProtection="0"/>
    <xf numFmtId="0" fontId="130" fillId="39" borderId="0" applyNumberFormat="0" applyBorder="0" applyAlignment="0" applyProtection="0"/>
    <xf numFmtId="0" fontId="130" fillId="39" borderId="0" applyNumberFormat="0" applyBorder="0" applyAlignment="0" applyProtection="0"/>
    <xf numFmtId="0" fontId="130" fillId="39" borderId="0" applyNumberFormat="0" applyBorder="0" applyAlignment="0" applyProtection="0"/>
    <xf numFmtId="0" fontId="130" fillId="39" borderId="0" applyNumberFormat="0" applyBorder="0" applyAlignment="0" applyProtection="0"/>
    <xf numFmtId="0" fontId="130" fillId="39" borderId="0" applyNumberFormat="0" applyBorder="0" applyAlignment="0" applyProtection="0"/>
    <xf numFmtId="0" fontId="130" fillId="51" borderId="0" applyNumberFormat="0" applyBorder="0" applyAlignment="0" applyProtection="0"/>
    <xf numFmtId="0" fontId="72" fillId="38" borderId="0" applyNumberFormat="0" applyBorder="0" applyAlignment="0" applyProtection="0"/>
    <xf numFmtId="0" fontId="130" fillId="51" borderId="0" applyNumberFormat="0" applyBorder="0" applyAlignment="0" applyProtection="0"/>
    <xf numFmtId="0" fontId="99" fillId="85" borderId="0" applyNumberFormat="0" applyBorder="0" applyAlignment="0" applyProtection="0"/>
    <xf numFmtId="0" fontId="130" fillId="51" borderId="0" applyNumberFormat="0" applyBorder="0" applyAlignment="0" applyProtection="0"/>
    <xf numFmtId="0" fontId="130" fillId="51" borderId="0" applyNumberFormat="0" applyBorder="0" applyAlignment="0" applyProtection="0"/>
    <xf numFmtId="0" fontId="102" fillId="52" borderId="25" applyNumberFormat="0" applyAlignment="0" applyProtection="0"/>
    <xf numFmtId="0" fontId="130" fillId="51" borderId="0" applyNumberFormat="0" applyBorder="0" applyAlignment="0" applyProtection="0"/>
    <xf numFmtId="0" fontId="130" fillId="51" borderId="0" applyNumberFormat="0" applyBorder="0" applyAlignment="0" applyProtection="0"/>
    <xf numFmtId="0" fontId="130" fillId="0" borderId="0"/>
    <xf numFmtId="0" fontId="105" fillId="58" borderId="27" applyNumberFormat="0" applyAlignment="0" applyProtection="0"/>
    <xf numFmtId="0" fontId="130" fillId="51" borderId="0" applyNumberFormat="0" applyBorder="0" applyAlignment="0" applyProtection="0"/>
    <xf numFmtId="0" fontId="130" fillId="51" borderId="0" applyNumberFormat="0" applyBorder="0" applyAlignment="0" applyProtection="0"/>
    <xf numFmtId="0" fontId="130" fillId="51" borderId="0" applyNumberFormat="0" applyBorder="0" applyAlignment="0" applyProtection="0"/>
    <xf numFmtId="0" fontId="130" fillId="51" borderId="0" applyNumberFormat="0" applyBorder="0" applyAlignment="0" applyProtection="0"/>
    <xf numFmtId="0" fontId="130" fillId="51" borderId="0" applyNumberFormat="0" applyBorder="0" applyAlignment="0" applyProtection="0"/>
    <xf numFmtId="0" fontId="130" fillId="51" borderId="0" applyNumberFormat="0" applyBorder="0" applyAlignment="0" applyProtection="0"/>
    <xf numFmtId="0" fontId="130" fillId="51" borderId="0" applyNumberFormat="0" applyBorder="0" applyAlignment="0" applyProtection="0"/>
    <xf numFmtId="0" fontId="130" fillId="54" borderId="0" applyNumberFormat="0" applyBorder="0" applyAlignment="0" applyProtection="0"/>
    <xf numFmtId="0" fontId="130" fillId="54" borderId="0" applyNumberFormat="0" applyBorder="0" applyAlignment="0" applyProtection="0"/>
    <xf numFmtId="0" fontId="130" fillId="54" borderId="0" applyNumberFormat="0" applyBorder="0" applyAlignment="0" applyProtection="0"/>
    <xf numFmtId="0" fontId="130" fillId="54" borderId="0" applyNumberFormat="0" applyBorder="0" applyAlignment="0" applyProtection="0"/>
    <xf numFmtId="0" fontId="130" fillId="54" borderId="0" applyNumberFormat="0" applyBorder="0" applyAlignment="0" applyProtection="0"/>
    <xf numFmtId="0" fontId="130" fillId="54" borderId="0" applyNumberFormat="0" applyBorder="0" applyAlignment="0" applyProtection="0"/>
    <xf numFmtId="0" fontId="130" fillId="54" borderId="0" applyNumberFormat="0" applyBorder="0" applyAlignment="0" applyProtection="0"/>
    <xf numFmtId="0" fontId="130" fillId="54" borderId="0" applyNumberFormat="0" applyBorder="0" applyAlignment="0" applyProtection="0"/>
    <xf numFmtId="0" fontId="130" fillId="54" borderId="0" applyNumberFormat="0" applyBorder="0" applyAlignment="0" applyProtection="0"/>
    <xf numFmtId="0" fontId="130" fillId="54" borderId="0" applyNumberFormat="0" applyBorder="0" applyAlignment="0" applyProtection="0"/>
    <xf numFmtId="0" fontId="130" fillId="54" borderId="0" applyNumberFormat="0" applyBorder="0" applyAlignment="0" applyProtection="0"/>
    <xf numFmtId="0" fontId="130" fillId="54" borderId="0" applyNumberFormat="0" applyBorder="0" applyAlignment="0" applyProtection="0"/>
    <xf numFmtId="0" fontId="116" fillId="76" borderId="0" applyNumberFormat="0" applyBorder="0" applyAlignment="0" applyProtection="0"/>
    <xf numFmtId="0" fontId="106" fillId="59" borderId="28" applyNumberFormat="0" applyAlignment="0" applyProtection="0"/>
    <xf numFmtId="43" fontId="130" fillId="0" borderId="0" applyFont="0" applyFill="0" applyBorder="0" applyAlignment="0" applyProtection="0"/>
    <xf numFmtId="0" fontId="118" fillId="0" borderId="26" applyNumberFormat="0" applyFill="0" applyAlignment="0" applyProtection="0"/>
    <xf numFmtId="0" fontId="53" fillId="0" borderId="0"/>
    <xf numFmtId="0" fontId="120" fillId="0" borderId="35" applyNumberFormat="0" applyFill="0" applyAlignment="0" applyProtection="0"/>
    <xf numFmtId="0" fontId="72" fillId="56" borderId="0" applyNumberFormat="0" applyBorder="0" applyAlignment="0" applyProtection="0"/>
    <xf numFmtId="0" fontId="99" fillId="82" borderId="0" applyNumberFormat="0" applyBorder="0" applyAlignment="0" applyProtection="0"/>
    <xf numFmtId="0" fontId="123" fillId="75" borderId="0" applyNumberFormat="0" applyBorder="0" applyAlignment="0" applyProtection="0"/>
    <xf numFmtId="0" fontId="72" fillId="43" borderId="0" applyNumberFormat="0" applyBorder="0" applyAlignment="0" applyProtection="0"/>
    <xf numFmtId="0" fontId="72" fillId="50" borderId="0" applyNumberFormat="0" applyBorder="0" applyAlignment="0" applyProtection="0"/>
    <xf numFmtId="0" fontId="99" fillId="79" borderId="0" applyNumberFormat="0" applyBorder="0" applyAlignment="0" applyProtection="0"/>
    <xf numFmtId="0" fontId="72" fillId="64" borderId="0" applyNumberFormat="0" applyBorder="0" applyAlignment="0" applyProtection="0"/>
    <xf numFmtId="0" fontId="99" fillId="87" borderId="0" applyNumberFormat="0" applyBorder="0" applyAlignment="0" applyProtection="0"/>
    <xf numFmtId="0" fontId="121" fillId="65" borderId="24" applyNumberFormat="0" applyAlignment="0" applyProtection="0"/>
    <xf numFmtId="0" fontId="124" fillId="86" borderId="32" applyNumberFormat="0" applyAlignment="0" applyProtection="0"/>
    <xf numFmtId="170" fontId="8" fillId="0" borderId="0" applyBorder="0" applyProtection="0"/>
    <xf numFmtId="0" fontId="125" fillId="0" borderId="0"/>
    <xf numFmtId="0" fontId="126" fillId="57" borderId="0" applyNumberFormat="0" applyBorder="0" applyAlignment="0" applyProtection="0"/>
    <xf numFmtId="0" fontId="130" fillId="0" borderId="0"/>
    <xf numFmtId="0" fontId="130" fillId="40" borderId="22" applyNumberFormat="0" applyFont="0" applyAlignment="0" applyProtection="0"/>
    <xf numFmtId="165" fontId="10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30" fillId="0" borderId="0"/>
    <xf numFmtId="0" fontId="12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8" fillId="0" borderId="0"/>
    <xf numFmtId="0" fontId="53" fillId="0" borderId="0"/>
    <xf numFmtId="0" fontId="130" fillId="0" borderId="0"/>
    <xf numFmtId="0" fontId="130" fillId="0" borderId="0"/>
    <xf numFmtId="0" fontId="130" fillId="0" borderId="0"/>
    <xf numFmtId="0" fontId="74" fillId="0" borderId="0"/>
    <xf numFmtId="0" fontId="130" fillId="0" borderId="0"/>
    <xf numFmtId="0" fontId="130" fillId="0" borderId="0"/>
    <xf numFmtId="0" fontId="53" fillId="0" borderId="0"/>
    <xf numFmtId="0" fontId="5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40" borderId="22" applyNumberFormat="0" applyFont="0" applyAlignment="0" applyProtection="0"/>
    <xf numFmtId="168" fontId="130" fillId="0" borderId="0" applyFont="0" applyFill="0" applyBorder="0" applyAlignment="0" applyProtection="0"/>
    <xf numFmtId="0" fontId="130" fillId="0" borderId="0"/>
    <xf numFmtId="0" fontId="130" fillId="40" borderId="22" applyNumberFormat="0" applyFont="0" applyAlignment="0" applyProtection="0"/>
    <xf numFmtId="168" fontId="130" fillId="0" borderId="0" applyFont="0" applyFill="0" applyBorder="0" applyAlignment="0" applyProtection="0"/>
    <xf numFmtId="0" fontId="130" fillId="0" borderId="0"/>
    <xf numFmtId="0" fontId="130" fillId="40" borderId="22" applyNumberFormat="0" applyFont="0" applyAlignment="0" applyProtection="0"/>
    <xf numFmtId="168" fontId="130" fillId="0" borderId="0" applyFont="0" applyFill="0" applyBorder="0" applyAlignment="0" applyProtection="0"/>
    <xf numFmtId="0" fontId="130" fillId="0" borderId="0"/>
    <xf numFmtId="0" fontId="130" fillId="40" borderId="22" applyNumberFormat="0" applyFont="0" applyAlignment="0" applyProtection="0"/>
    <xf numFmtId="0" fontId="53" fillId="0" borderId="0"/>
    <xf numFmtId="0" fontId="130" fillId="0" borderId="0"/>
    <xf numFmtId="0" fontId="8" fillId="0" borderId="0"/>
    <xf numFmtId="0" fontId="130" fillId="40" borderId="22" applyNumberFormat="0" applyFont="0" applyAlignment="0" applyProtection="0"/>
    <xf numFmtId="0" fontId="130" fillId="40" borderId="22" applyNumberFormat="0" applyFont="0" applyAlignment="0" applyProtection="0"/>
    <xf numFmtId="0" fontId="130" fillId="40" borderId="22" applyNumberFormat="0" applyFont="0" applyAlignment="0" applyProtection="0"/>
    <xf numFmtId="0" fontId="130" fillId="40" borderId="22" applyNumberFormat="0" applyFont="0" applyAlignment="0" applyProtection="0"/>
    <xf numFmtId="0" fontId="128" fillId="0" borderId="0" applyBorder="0" applyProtection="0"/>
    <xf numFmtId="0" fontId="130" fillId="40" borderId="22" applyNumberFormat="0" applyFont="0" applyAlignment="0" applyProtection="0"/>
    <xf numFmtId="0" fontId="130" fillId="40" borderId="22" applyNumberFormat="0" applyFont="0" applyAlignment="0" applyProtection="0"/>
    <xf numFmtId="0" fontId="130" fillId="40" borderId="22" applyNumberFormat="0" applyFont="0" applyAlignment="0" applyProtection="0"/>
    <xf numFmtId="0" fontId="130" fillId="40" borderId="22" applyNumberFormat="0" applyFont="0" applyAlignment="0" applyProtection="0"/>
    <xf numFmtId="0" fontId="130" fillId="40" borderId="22" applyNumberFormat="0" applyFont="0" applyAlignment="0" applyProtection="0"/>
    <xf numFmtId="0" fontId="130" fillId="40" borderId="22" applyNumberFormat="0" applyFont="0" applyAlignment="0" applyProtection="0"/>
    <xf numFmtId="0" fontId="130" fillId="40" borderId="22" applyNumberFormat="0" applyFont="0" applyAlignment="0" applyProtection="0"/>
    <xf numFmtId="0" fontId="130" fillId="40" borderId="22" applyNumberFormat="0" applyFont="0" applyAlignment="0" applyProtection="0"/>
    <xf numFmtId="0" fontId="8" fillId="88" borderId="38" applyNumberFormat="0" applyFont="0" applyAlignment="0" applyProtection="0"/>
    <xf numFmtId="0" fontId="130" fillId="40" borderId="22" applyNumberFormat="0" applyFont="0" applyAlignment="0" applyProtection="0"/>
    <xf numFmtId="0" fontId="130" fillId="40" borderId="22" applyNumberFormat="0" applyFont="0" applyAlignment="0" applyProtection="0"/>
    <xf numFmtId="0" fontId="130" fillId="40" borderId="22" applyNumberFormat="0" applyFont="0" applyAlignment="0" applyProtection="0"/>
    <xf numFmtId="0" fontId="130" fillId="40" borderId="22" applyNumberFormat="0" applyFont="0" applyAlignment="0" applyProtection="0"/>
    <xf numFmtId="0" fontId="130" fillId="40" borderId="22" applyNumberFormat="0" applyFont="0" applyAlignment="0" applyProtection="0"/>
    <xf numFmtId="0" fontId="130" fillId="40" borderId="22" applyNumberFormat="0" applyFont="0" applyAlignment="0" applyProtection="0"/>
    <xf numFmtId="0" fontId="130" fillId="40" borderId="22" applyNumberFormat="0" applyFont="0" applyAlignment="0" applyProtection="0"/>
    <xf numFmtId="0" fontId="130" fillId="40" borderId="22" applyNumberFormat="0" applyFont="0" applyAlignment="0" applyProtection="0"/>
    <xf numFmtId="0" fontId="130" fillId="40" borderId="22" applyNumberFormat="0" applyFont="0" applyAlignment="0" applyProtection="0"/>
    <xf numFmtId="0" fontId="130" fillId="40" borderId="22" applyNumberFormat="0" applyFont="0" applyAlignment="0" applyProtection="0"/>
    <xf numFmtId="0" fontId="130" fillId="40" borderId="22" applyNumberFormat="0" applyFont="0" applyAlignment="0" applyProtection="0"/>
    <xf numFmtId="9" fontId="109" fillId="0" borderId="0" applyFont="0" applyFill="0" applyBorder="0" applyAlignment="0" applyProtection="0"/>
    <xf numFmtId="170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0" fontId="100" fillId="0" borderId="36" applyNumberFormat="0" applyFill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0" fontId="112" fillId="0" borderId="31" applyNumberFormat="0" applyFill="0" applyAlignment="0" applyProtection="0"/>
    <xf numFmtId="168" fontId="130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03" fillId="0" borderId="33" applyNumberFormat="0" applyFill="0" applyAlignment="0" applyProtection="0"/>
    <xf numFmtId="0" fontId="119" fillId="0" borderId="34" applyNumberFormat="0" applyFill="0" applyAlignment="0" applyProtection="0"/>
    <xf numFmtId="0" fontId="98" fillId="0" borderId="30" applyNumberFormat="0" applyFill="0" applyAlignment="0" applyProtection="0"/>
    <xf numFmtId="0" fontId="129" fillId="0" borderId="39" applyNumberFormat="0" applyFill="0" applyAlignment="0" applyProtection="0"/>
    <xf numFmtId="0" fontId="112" fillId="0" borderId="0" applyNumberFormat="0" applyFill="0" applyBorder="0" applyAlignment="0" applyProtection="0"/>
    <xf numFmtId="0" fontId="84" fillId="0" borderId="29" applyNumberFormat="0" applyFill="0" applyAlignment="0" applyProtection="0"/>
    <xf numFmtId="0" fontId="127" fillId="0" borderId="37" applyNumberFormat="0" applyFill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53" fillId="0" borderId="0" applyBorder="0" applyAlignment="0" applyProtection="0"/>
    <xf numFmtId="168" fontId="53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168" fontId="53" fillId="0" borderId="0" applyFont="0" applyFill="0" applyBorder="0" applyAlignment="0" applyProtection="0"/>
    <xf numFmtId="43" fontId="130" fillId="0" borderId="0" applyFont="0" applyFill="0" applyBorder="0" applyAlignment="0" applyProtection="0"/>
    <xf numFmtId="171" fontId="125" fillId="0" borderId="0" applyBorder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34" fillId="0" borderId="0"/>
    <xf numFmtId="171" fontId="145" fillId="0" borderId="0" applyBorder="0" applyProtection="0"/>
    <xf numFmtId="168" fontId="134" fillId="0" borderId="0" applyFont="0" applyFill="0" applyBorder="0" applyAlignment="0" applyProtection="0"/>
    <xf numFmtId="0" fontId="134" fillId="0" borderId="0"/>
    <xf numFmtId="0" fontId="4" fillId="0" borderId="0"/>
    <xf numFmtId="0" fontId="4" fillId="0" borderId="0"/>
    <xf numFmtId="0" fontId="4" fillId="0" borderId="0"/>
  </cellStyleXfs>
  <cellXfs count="752">
    <xf numFmtId="0" fontId="0" fillId="0" borderId="0" xfId="0"/>
    <xf numFmtId="0" fontId="0" fillId="0" borderId="0" xfId="0" applyProtection="1">
      <protection locked="0"/>
    </xf>
    <xf numFmtId="0" fontId="8" fillId="0" borderId="0" xfId="528" applyAlignment="1" applyProtection="1">
      <alignment vertical="center"/>
      <protection locked="0"/>
    </xf>
    <xf numFmtId="171" fontId="10" fillId="0" borderId="0" xfId="503" applyNumberFormat="1" applyFont="1" applyBorder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5" fillId="7" borderId="1" xfId="0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center"/>
    </xf>
    <xf numFmtId="0" fontId="14" fillId="8" borderId="1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Protection="1">
      <protection locked="0"/>
    </xf>
    <xf numFmtId="0" fontId="19" fillId="0" borderId="0" xfId="528" applyFont="1" applyAlignment="1" applyProtection="1">
      <alignment vertical="center"/>
      <protection locked="0"/>
    </xf>
    <xf numFmtId="0" fontId="22" fillId="0" borderId="0" xfId="0" applyFont="1" applyBorder="1" applyProtection="1"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center"/>
      <protection locked="0"/>
    </xf>
    <xf numFmtId="43" fontId="23" fillId="11" borderId="1" xfId="3" applyFont="1" applyFill="1" applyBorder="1" applyAlignment="1" applyProtection="1">
      <alignment vertical="center" wrapText="1"/>
      <protection locked="0"/>
    </xf>
    <xf numFmtId="166" fontId="23" fillId="11" borderId="1" xfId="10" applyFont="1" applyFill="1" applyBorder="1" applyAlignment="1" applyProtection="1">
      <alignment vertical="center"/>
      <protection locked="0"/>
    </xf>
    <xf numFmtId="166" fontId="24" fillId="12" borderId="1" xfId="10" applyFont="1" applyFill="1" applyBorder="1" applyAlignment="1" applyProtection="1"/>
    <xf numFmtId="0" fontId="24" fillId="0" borderId="0" xfId="0" applyFont="1" applyBorder="1" applyProtection="1">
      <protection locked="0"/>
    </xf>
    <xf numFmtId="43" fontId="23" fillId="11" borderId="1" xfId="3" applyFont="1" applyFill="1" applyBorder="1" applyAlignment="1" applyProtection="1">
      <alignment wrapText="1"/>
      <protection locked="0"/>
    </xf>
    <xf numFmtId="166" fontId="23" fillId="11" borderId="1" xfId="10" applyFont="1" applyFill="1" applyBorder="1" applyAlignment="1" applyProtection="1">
      <protection locked="0"/>
    </xf>
    <xf numFmtId="166" fontId="22" fillId="0" borderId="0" xfId="10" applyFont="1" applyBorder="1" applyAlignment="1" applyProtection="1">
      <protection locked="0"/>
    </xf>
    <xf numFmtId="0" fontId="21" fillId="0" borderId="0" xfId="0" applyFont="1" applyBorder="1" applyProtection="1"/>
    <xf numFmtId="0" fontId="22" fillId="0" borderId="0" xfId="0" applyFont="1" applyBorder="1" applyProtection="1"/>
    <xf numFmtId="166" fontId="22" fillId="0" borderId="1" xfId="10" applyFont="1" applyBorder="1" applyAlignment="1" applyProtection="1">
      <protection locked="0"/>
    </xf>
    <xf numFmtId="166" fontId="22" fillId="0" borderId="1" xfId="10" applyFont="1" applyFill="1" applyBorder="1" applyAlignment="1" applyProtection="1"/>
    <xf numFmtId="166" fontId="24" fillId="12" borderId="7" xfId="10" applyFont="1" applyFill="1" applyBorder="1" applyAlignment="1" applyProtection="1"/>
    <xf numFmtId="0" fontId="24" fillId="0" borderId="0" xfId="0" applyFont="1" applyBorder="1" applyAlignment="1" applyProtection="1"/>
    <xf numFmtId="0" fontId="22" fillId="0" borderId="0" xfId="0" applyFont="1" applyBorder="1" applyAlignment="1" applyProtection="1"/>
    <xf numFmtId="166" fontId="22" fillId="14" borderId="1" xfId="10" applyFont="1" applyFill="1" applyBorder="1" applyAlignment="1" applyProtection="1"/>
    <xf numFmtId="172" fontId="22" fillId="15" borderId="1" xfId="0" applyNumberFormat="1" applyFont="1" applyFill="1" applyBorder="1" applyProtection="1"/>
    <xf numFmtId="166" fontId="22" fillId="15" borderId="1" xfId="10" applyFont="1" applyFill="1" applyBorder="1" applyAlignment="1" applyProtection="1"/>
    <xf numFmtId="0" fontId="26" fillId="0" borderId="0" xfId="0" applyFont="1" applyFill="1" applyBorder="1" applyAlignment="1" applyProtection="1">
      <alignment horizontal="center"/>
      <protection locked="0"/>
    </xf>
    <xf numFmtId="166" fontId="21" fillId="0" borderId="1" xfId="10" applyFont="1" applyFill="1" applyBorder="1" applyAlignment="1" applyProtection="1">
      <protection locked="0"/>
    </xf>
    <xf numFmtId="172" fontId="21" fillId="16" borderId="1" xfId="0" applyNumberFormat="1" applyFont="1" applyFill="1" applyBorder="1" applyProtection="1"/>
    <xf numFmtId="0" fontId="20" fillId="13" borderId="1" xfId="0" applyFont="1" applyFill="1" applyBorder="1" applyAlignment="1" applyProtection="1">
      <alignment horizontal="center" vertical="center"/>
    </xf>
    <xf numFmtId="166" fontId="20" fillId="13" borderId="1" xfId="10" applyFont="1" applyFill="1" applyBorder="1" applyAlignment="1" applyProtection="1">
      <alignment vertical="center"/>
    </xf>
    <xf numFmtId="0" fontId="22" fillId="0" borderId="1" xfId="0" applyFont="1" applyBorder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43" fontId="22" fillId="0" borderId="1" xfId="3" applyFont="1" applyFill="1" applyBorder="1" applyAlignment="1" applyProtection="1">
      <alignment horizontal="right"/>
      <protection locked="0"/>
    </xf>
    <xf numFmtId="166" fontId="23" fillId="13" borderId="1" xfId="10" applyFont="1" applyFill="1" applyBorder="1" applyAlignment="1" applyProtection="1">
      <alignment horizontal="center"/>
    </xf>
    <xf numFmtId="0" fontId="23" fillId="13" borderId="1" xfId="0" applyFont="1" applyFill="1" applyBorder="1" applyAlignment="1" applyProtection="1">
      <alignment horizontal="center"/>
    </xf>
    <xf numFmtId="43" fontId="25" fillId="0" borderId="1" xfId="3" applyFont="1" applyFill="1" applyBorder="1" applyAlignment="1" applyProtection="1">
      <alignment horizontal="right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left"/>
      <protection locked="0"/>
    </xf>
    <xf numFmtId="0" fontId="25" fillId="0" borderId="1" xfId="0" applyFont="1" applyBorder="1" applyProtection="1">
      <protection locked="0"/>
    </xf>
    <xf numFmtId="0" fontId="23" fillId="13" borderId="1" xfId="0" applyFont="1" applyFill="1" applyBorder="1" applyAlignment="1" applyProtection="1">
      <alignment horizontal="left"/>
    </xf>
    <xf numFmtId="4" fontId="27" fillId="13" borderId="1" xfId="0" applyNumberFormat="1" applyFont="1" applyFill="1" applyBorder="1" applyAlignment="1" applyProtection="1">
      <alignment horizontal="right"/>
    </xf>
    <xf numFmtId="0" fontId="20" fillId="13" borderId="1" xfId="0" applyFont="1" applyFill="1" applyBorder="1" applyAlignment="1" applyProtection="1">
      <alignment horizontal="center"/>
    </xf>
    <xf numFmtId="166" fontId="22" fillId="12" borderId="1" xfId="10" applyFont="1" applyFill="1" applyBorder="1" applyAlignment="1" applyProtection="1"/>
    <xf numFmtId="166" fontId="23" fillId="17" borderId="2" xfId="10" applyFont="1" applyFill="1" applyBorder="1" applyAlignment="1" applyProtection="1">
      <alignment wrapText="1"/>
    </xf>
    <xf numFmtId="0" fontId="21" fillId="0" borderId="0" xfId="0" applyFont="1" applyBorder="1" applyProtection="1">
      <protection locked="0"/>
    </xf>
    <xf numFmtId="166" fontId="21" fillId="0" borderId="0" xfId="10" applyFont="1" applyBorder="1" applyAlignment="1" applyProtection="1"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18" borderId="1" xfId="0" applyFont="1" applyFill="1" applyBorder="1" applyAlignment="1" applyProtection="1">
      <alignment horizontal="center"/>
    </xf>
    <xf numFmtId="0" fontId="22" fillId="0" borderId="0" xfId="0" applyFont="1" applyFill="1" applyBorder="1" applyProtection="1">
      <protection locked="0"/>
    </xf>
    <xf numFmtId="0" fontId="28" fillId="19" borderId="1" xfId="0" applyFont="1" applyFill="1" applyBorder="1" applyAlignment="1" applyProtection="1">
      <alignment wrapText="1"/>
    </xf>
    <xf numFmtId="166" fontId="28" fillId="19" borderId="1" xfId="10" applyFont="1" applyFill="1" applyBorder="1" applyAlignment="1" applyProtection="1"/>
    <xf numFmtId="0" fontId="21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Protection="1">
      <protection locked="0"/>
    </xf>
    <xf numFmtId="4" fontId="22" fillId="0" borderId="0" xfId="0" applyNumberFormat="1" applyFont="1" applyFill="1" applyBorder="1" applyProtection="1">
      <protection locked="0"/>
    </xf>
    <xf numFmtId="4" fontId="22" fillId="0" borderId="0" xfId="0" applyNumberFormat="1" applyFont="1" applyBorder="1" applyProtection="1">
      <protection locked="0"/>
    </xf>
    <xf numFmtId="0" fontId="130" fillId="0" borderId="0" xfId="233" applyProtection="1">
      <protection locked="0"/>
    </xf>
    <xf numFmtId="171" fontId="9" fillId="0" borderId="0" xfId="503" applyNumberFormat="1" applyFont="1" applyBorder="1" applyAlignment="1" applyProtection="1">
      <alignment horizontal="center" vertical="center"/>
      <protection locked="0"/>
    </xf>
    <xf numFmtId="171" fontId="29" fillId="0" borderId="0" xfId="503" applyNumberFormat="1" applyFont="1" applyBorder="1" applyAlignment="1" applyProtection="1">
      <alignment horizontal="center" vertical="center"/>
      <protection locked="0"/>
    </xf>
    <xf numFmtId="0" fontId="30" fillId="0" borderId="0" xfId="533" applyFont="1" applyBorder="1" applyProtection="1">
      <protection locked="0"/>
    </xf>
    <xf numFmtId="0" fontId="31" fillId="0" borderId="0" xfId="533" applyFont="1" applyBorder="1" applyProtection="1">
      <protection locked="0"/>
    </xf>
    <xf numFmtId="0" fontId="36" fillId="20" borderId="0" xfId="533" applyNumberFormat="1" applyFont="1" applyFill="1" applyBorder="1" applyAlignment="1" applyProtection="1">
      <alignment horizontal="center"/>
      <protection locked="0"/>
    </xf>
    <xf numFmtId="171" fontId="10" fillId="0" borderId="0" xfId="503" applyNumberFormat="1" applyFont="1" applyBorder="1" applyAlignment="1" applyProtection="1">
      <alignment vertical="center"/>
      <protection locked="0"/>
    </xf>
    <xf numFmtId="171" fontId="9" fillId="0" borderId="0" xfId="503" applyNumberFormat="1" applyFont="1" applyBorder="1" applyAlignment="1" applyProtection="1">
      <alignment vertical="center"/>
      <protection locked="0"/>
    </xf>
    <xf numFmtId="0" fontId="37" fillId="20" borderId="0" xfId="533" applyNumberFormat="1" applyFont="1" applyFill="1" applyBorder="1" applyAlignment="1" applyProtection="1">
      <alignment vertical="center"/>
      <protection locked="0"/>
    </xf>
    <xf numFmtId="0" fontId="29" fillId="0" borderId="0" xfId="533" applyNumberFormat="1" applyFont="1" applyBorder="1" applyAlignment="1" applyProtection="1">
      <alignment vertical="center"/>
      <protection locked="0"/>
    </xf>
    <xf numFmtId="17" fontId="29" fillId="23" borderId="1" xfId="533" applyNumberFormat="1" applyFont="1" applyFill="1" applyBorder="1" applyAlignment="1" applyProtection="1">
      <alignment horizontal="center" vertical="center" wrapText="1"/>
    </xf>
    <xf numFmtId="0" fontId="14" fillId="0" borderId="1" xfId="533" applyFont="1" applyBorder="1" applyAlignment="1" applyProtection="1">
      <alignment vertical="center"/>
    </xf>
    <xf numFmtId="0" fontId="29" fillId="0" borderId="1" xfId="533" applyNumberFormat="1" applyFont="1" applyBorder="1" applyAlignment="1" applyProtection="1">
      <alignment horizontal="center" vertical="center"/>
      <protection locked="0"/>
    </xf>
    <xf numFmtId="0" fontId="14" fillId="0" borderId="1" xfId="533" applyFont="1" applyBorder="1" applyAlignment="1" applyProtection="1">
      <alignment vertical="center" wrapText="1"/>
    </xf>
    <xf numFmtId="0" fontId="29" fillId="23" borderId="1" xfId="533" applyNumberFormat="1" applyFont="1" applyFill="1" applyBorder="1" applyAlignment="1" applyProtection="1">
      <alignment horizontal="center" vertical="center"/>
    </xf>
    <xf numFmtId="0" fontId="29" fillId="26" borderId="1" xfId="533" applyNumberFormat="1" applyFont="1" applyFill="1" applyBorder="1" applyAlignment="1" applyProtection="1">
      <alignment horizontal="center" vertical="center"/>
      <protection locked="0"/>
    </xf>
    <xf numFmtId="0" fontId="15" fillId="27" borderId="1" xfId="533" applyNumberFormat="1" applyFont="1" applyFill="1" applyBorder="1" applyAlignment="1" applyProtection="1">
      <alignment horizontal="center" vertical="center"/>
    </xf>
    <xf numFmtId="0" fontId="41" fillId="0" borderId="11" xfId="533" applyFont="1" applyBorder="1" applyAlignment="1" applyProtection="1">
      <alignment horizontal="center" wrapText="1"/>
      <protection locked="0"/>
    </xf>
    <xf numFmtId="0" fontId="40" fillId="13" borderId="12" xfId="533" applyFont="1" applyFill="1" applyBorder="1" applyAlignment="1" applyProtection="1">
      <alignment horizontal="center" vertical="center" wrapText="1"/>
      <protection locked="0"/>
    </xf>
    <xf numFmtId="0" fontId="42" fillId="0" borderId="12" xfId="533" applyFont="1" applyBorder="1" applyAlignment="1" applyProtection="1">
      <alignment horizontal="center" vertical="center"/>
      <protection locked="0"/>
    </xf>
    <xf numFmtId="0" fontId="43" fillId="0" borderId="0" xfId="533" applyFont="1" applyBorder="1" applyProtection="1">
      <protection locked="0"/>
    </xf>
    <xf numFmtId="0" fontId="44" fillId="0" borderId="0" xfId="533" applyFont="1" applyBorder="1" applyProtection="1">
      <protection locked="0"/>
    </xf>
    <xf numFmtId="0" fontId="45" fillId="0" borderId="0" xfId="533" applyFont="1" applyBorder="1" applyProtection="1">
      <protection locked="0"/>
    </xf>
    <xf numFmtId="0" fontId="46" fillId="0" borderId="0" xfId="533" applyFont="1" applyBorder="1" applyAlignment="1" applyProtection="1">
      <alignment horizontal="center"/>
      <protection locked="0"/>
    </xf>
    <xf numFmtId="0" fontId="45" fillId="0" borderId="0" xfId="533" applyFont="1" applyBorder="1" applyAlignment="1" applyProtection="1">
      <alignment horizontal="right"/>
      <protection locked="0"/>
    </xf>
    <xf numFmtId="0" fontId="47" fillId="0" borderId="11" xfId="533" applyFont="1" applyBorder="1" applyAlignment="1" applyProtection="1">
      <alignment horizontal="right"/>
      <protection locked="0"/>
    </xf>
    <xf numFmtId="0" fontId="47" fillId="0" borderId="11" xfId="533" applyFont="1" applyBorder="1" applyAlignment="1" applyProtection="1">
      <alignment horizontal="center"/>
      <protection locked="0"/>
    </xf>
    <xf numFmtId="0" fontId="47" fillId="0" borderId="11" xfId="533" applyFont="1" applyBorder="1" applyAlignment="1" applyProtection="1">
      <alignment horizontal="center"/>
    </xf>
    <xf numFmtId="0" fontId="47" fillId="0" borderId="11" xfId="533" applyFont="1" applyBorder="1" applyAlignment="1" applyProtection="1">
      <alignment horizontal="left"/>
      <protection locked="0"/>
    </xf>
    <xf numFmtId="0" fontId="47" fillId="0" borderId="0" xfId="533" applyFont="1" applyBorder="1" applyAlignment="1" applyProtection="1">
      <protection locked="0"/>
    </xf>
    <xf numFmtId="0" fontId="47" fillId="0" borderId="0" xfId="533" applyFont="1" applyBorder="1" applyAlignment="1" applyProtection="1"/>
    <xf numFmtId="0" fontId="47" fillId="0" borderId="14" xfId="533" applyFont="1" applyBorder="1" applyAlignment="1" applyProtection="1">
      <protection locked="0"/>
    </xf>
    <xf numFmtId="0" fontId="47" fillId="0" borderId="0" xfId="533" applyFont="1" applyBorder="1" applyProtection="1">
      <protection locked="0"/>
    </xf>
    <xf numFmtId="0" fontId="30" fillId="0" borderId="0" xfId="533" applyFont="1" applyBorder="1" applyAlignment="1" applyProtection="1">
      <protection locked="0"/>
    </xf>
    <xf numFmtId="171" fontId="45" fillId="0" borderId="0" xfId="533" applyNumberFormat="1" applyFont="1" applyBorder="1" applyAlignment="1" applyProtection="1">
      <alignment vertical="center"/>
    </xf>
    <xf numFmtId="171" fontId="45" fillId="0" borderId="0" xfId="533" applyNumberFormat="1" applyFont="1" applyBorder="1" applyAlignment="1" applyProtection="1">
      <alignment vertical="center"/>
      <protection locked="0"/>
    </xf>
    <xf numFmtId="0" fontId="48" fillId="0" borderId="0" xfId="533" applyFont="1" applyBorder="1" applyAlignment="1" applyProtection="1">
      <alignment horizontal="right"/>
      <protection locked="0"/>
    </xf>
    <xf numFmtId="0" fontId="49" fillId="0" borderId="0" xfId="533" applyFont="1" applyBorder="1" applyProtection="1">
      <protection locked="0"/>
    </xf>
    <xf numFmtId="174" fontId="49" fillId="0" borderId="0" xfId="533" applyNumberFormat="1" applyFont="1" applyBorder="1" applyProtection="1">
      <protection locked="0"/>
    </xf>
    <xf numFmtId="0" fontId="50" fillId="0" borderId="0" xfId="533" applyFont="1" applyBorder="1" applyProtection="1">
      <protection locked="0"/>
    </xf>
    <xf numFmtId="49" fontId="39" fillId="0" borderId="0" xfId="533" applyNumberFormat="1" applyFont="1" applyBorder="1" applyAlignment="1" applyProtection="1">
      <alignment horizontal="center" vertical="center"/>
      <protection locked="0"/>
    </xf>
    <xf numFmtId="0" fontId="8" fillId="0" borderId="0" xfId="528" applyFill="1" applyAlignment="1" applyProtection="1">
      <alignment vertical="center"/>
      <protection locked="0"/>
    </xf>
    <xf numFmtId="0" fontId="27" fillId="28" borderId="1" xfId="533" applyFont="1" applyFill="1" applyBorder="1" applyAlignment="1" applyProtection="1">
      <alignment horizontal="center" vertical="center" wrapText="1"/>
    </xf>
    <xf numFmtId="0" fontId="52" fillId="13" borderId="5" xfId="528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8" fillId="0" borderId="0" xfId="528" applyFill="1" applyAlignment="1" applyProtection="1">
      <alignment horizontal="center" vertical="center"/>
      <protection locked="0"/>
    </xf>
    <xf numFmtId="49" fontId="53" fillId="0" borderId="1" xfId="528" applyNumberFormat="1" applyFont="1" applyFill="1" applyBorder="1" applyAlignment="1" applyProtection="1">
      <alignment horizontal="center" vertical="center" wrapText="1"/>
    </xf>
    <xf numFmtId="49" fontId="5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1" xfId="0" applyNumberFormat="1" applyFont="1" applyFill="1" applyBorder="1" applyAlignment="1" applyProtection="1">
      <alignment horizontal="center" vertical="center" wrapText="1"/>
    </xf>
    <xf numFmtId="49" fontId="53" fillId="0" borderId="1" xfId="0" applyNumberFormat="1" applyFont="1" applyFill="1" applyBorder="1" applyAlignment="1" applyProtection="1">
      <alignment horizontal="center" vertical="center" wrapText="1" readingOrder="1"/>
    </xf>
    <xf numFmtId="49" fontId="56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protection locked="0"/>
    </xf>
    <xf numFmtId="0" fontId="59" fillId="0" borderId="0" xfId="533" applyFont="1" applyBorder="1" applyAlignment="1" applyProtection="1">
      <alignment vertical="center"/>
      <protection locked="0"/>
    </xf>
    <xf numFmtId="0" fontId="60" fillId="26" borderId="0" xfId="533" applyFont="1" applyFill="1" applyBorder="1" applyAlignment="1" applyProtection="1">
      <alignment horizontal="left" vertical="center"/>
      <protection locked="0"/>
    </xf>
    <xf numFmtId="0" fontId="60" fillId="26" borderId="0" xfId="533" applyFont="1" applyFill="1" applyBorder="1" applyAlignment="1" applyProtection="1">
      <alignment vertical="center"/>
      <protection locked="0"/>
    </xf>
    <xf numFmtId="0" fontId="60" fillId="26" borderId="0" xfId="508" applyFont="1" applyFill="1" applyProtection="1">
      <protection locked="0"/>
    </xf>
    <xf numFmtId="0" fontId="58" fillId="26" borderId="0" xfId="486" applyFont="1" applyFill="1" applyProtection="1">
      <protection locked="0"/>
    </xf>
    <xf numFmtId="0" fontId="60" fillId="26" borderId="0" xfId="486" applyFont="1" applyFill="1" applyProtection="1">
      <protection locked="0"/>
    </xf>
    <xf numFmtId="0" fontId="61" fillId="0" borderId="0" xfId="533" applyFont="1" applyBorder="1" applyAlignment="1" applyProtection="1">
      <alignment horizontal="center" vertical="center"/>
      <protection locked="0"/>
    </xf>
    <xf numFmtId="0" fontId="61" fillId="0" borderId="0" xfId="533" applyFont="1" applyBorder="1" applyAlignment="1" applyProtection="1">
      <alignment horizontal="left" vertical="center"/>
      <protection locked="0"/>
    </xf>
    <xf numFmtId="1" fontId="61" fillId="0" borderId="0" xfId="533" applyNumberFormat="1" applyFont="1" applyBorder="1" applyAlignment="1" applyProtection="1">
      <alignment horizontal="center" vertical="center"/>
      <protection locked="0"/>
    </xf>
    <xf numFmtId="173" fontId="61" fillId="0" borderId="0" xfId="587" applyNumberFormat="1" applyFont="1" applyBorder="1" applyAlignment="1" applyProtection="1">
      <alignment horizontal="center" vertical="center"/>
      <protection locked="0"/>
    </xf>
    <xf numFmtId="0" fontId="61" fillId="0" borderId="0" xfId="533" applyFont="1" applyBorder="1" applyAlignment="1" applyProtection="1">
      <alignment vertical="center"/>
      <protection locked="0"/>
    </xf>
    <xf numFmtId="49" fontId="67" fillId="30" borderId="1" xfId="478" applyNumberFormat="1" applyFont="1" applyFill="1" applyBorder="1" applyAlignment="1" applyProtection="1">
      <alignment horizontal="center" vertical="center" wrapText="1"/>
    </xf>
    <xf numFmtId="4" fontId="68" fillId="30" borderId="1" xfId="3" applyNumberFormat="1" applyFont="1" applyFill="1" applyBorder="1" applyAlignment="1" applyProtection="1">
      <alignment horizontal="center" vertical="center"/>
    </xf>
    <xf numFmtId="0" fontId="69" fillId="0" borderId="1" xfId="0" applyFont="1" applyBorder="1" applyAlignment="1" applyProtection="1">
      <alignment vertical="center" wrapText="1"/>
      <protection locked="0"/>
    </xf>
    <xf numFmtId="4" fontId="70" fillId="0" borderId="1" xfId="3" applyNumberFormat="1" applyFont="1" applyFill="1" applyBorder="1" applyAlignment="1" applyProtection="1">
      <alignment vertical="center"/>
      <protection locked="0"/>
    </xf>
    <xf numFmtId="4" fontId="0" fillId="0" borderId="1" xfId="3" applyNumberFormat="1" applyFont="1" applyBorder="1" applyAlignment="1" applyProtection="1">
      <alignment vertical="center"/>
      <protection locked="0"/>
    </xf>
    <xf numFmtId="49" fontId="64" fillId="30" borderId="1" xfId="478" applyNumberFormat="1" applyFont="1" applyFill="1" applyBorder="1" applyAlignment="1" applyProtection="1">
      <alignment horizontal="left" vertical="center" wrapText="1"/>
    </xf>
    <xf numFmtId="4" fontId="71" fillId="31" borderId="1" xfId="3" applyNumberFormat="1" applyFont="1" applyFill="1" applyBorder="1" applyAlignment="1" applyProtection="1">
      <alignment vertical="center"/>
    </xf>
    <xf numFmtId="43" fontId="72" fillId="13" borderId="1" xfId="3" applyFont="1" applyFill="1" applyBorder="1" applyProtection="1"/>
    <xf numFmtId="4" fontId="66" fillId="29" borderId="1" xfId="3" applyNumberFormat="1" applyFont="1" applyFill="1" applyBorder="1" applyAlignment="1" applyProtection="1">
      <alignment horizontal="right" vertical="center"/>
    </xf>
    <xf numFmtId="0" fontId="74" fillId="0" borderId="0" xfId="507" applyProtection="1">
      <protection locked="0"/>
    </xf>
    <xf numFmtId="171" fontId="29" fillId="0" borderId="0" xfId="503" applyNumberFormat="1" applyFont="1" applyBorder="1" applyAlignment="1" applyProtection="1">
      <alignment vertical="center"/>
      <protection locked="0"/>
    </xf>
    <xf numFmtId="0" fontId="76" fillId="0" borderId="1" xfId="507" applyFont="1" applyBorder="1" applyAlignment="1" applyProtection="1">
      <alignment horizontal="center" vertical="center" wrapText="1"/>
    </xf>
    <xf numFmtId="0" fontId="77" fillId="0" borderId="1" xfId="507" applyFont="1" applyBorder="1" applyAlignment="1" applyProtection="1">
      <alignment wrapText="1"/>
    </xf>
    <xf numFmtId="43" fontId="53" fillId="26" borderId="1" xfId="579" applyFill="1" applyBorder="1" applyProtection="1">
      <protection locked="0"/>
    </xf>
    <xf numFmtId="0" fontId="76" fillId="0" borderId="1" xfId="507" applyFont="1" applyBorder="1" applyAlignment="1" applyProtection="1">
      <alignment horizontal="center"/>
    </xf>
    <xf numFmtId="0" fontId="77" fillId="0" borderId="1" xfId="507" applyFont="1" applyBorder="1" applyProtection="1"/>
    <xf numFmtId="43" fontId="78" fillId="13" borderId="1" xfId="579" applyFont="1" applyFill="1" applyBorder="1" applyProtection="1"/>
    <xf numFmtId="0" fontId="76" fillId="0" borderId="0" xfId="507" applyFont="1" applyBorder="1" applyAlignment="1" applyProtection="1">
      <alignment horizontal="center" vertical="center" wrapText="1"/>
      <protection locked="0"/>
    </xf>
    <xf numFmtId="0" fontId="77" fillId="0" borderId="0" xfId="507" applyFont="1" applyBorder="1" applyProtection="1">
      <protection locked="0"/>
    </xf>
    <xf numFmtId="0" fontId="74" fillId="0" borderId="0" xfId="507" applyBorder="1" applyProtection="1">
      <protection locked="0"/>
    </xf>
    <xf numFmtId="0" fontId="76" fillId="0" borderId="5" xfId="507" applyFont="1" applyBorder="1" applyAlignment="1" applyProtection="1">
      <alignment horizontal="center" vertical="center" wrapText="1"/>
    </xf>
    <xf numFmtId="0" fontId="76" fillId="0" borderId="1" xfId="507" applyFont="1" applyBorder="1" applyAlignment="1" applyProtection="1">
      <alignment horizontal="center" vertical="center"/>
    </xf>
    <xf numFmtId="0" fontId="79" fillId="0" borderId="1" xfId="507" applyFont="1" applyBorder="1" applyAlignment="1" applyProtection="1">
      <alignment wrapText="1"/>
    </xf>
    <xf numFmtId="43" fontId="53" fillId="26" borderId="1" xfId="579" applyFont="1" applyFill="1" applyBorder="1" applyProtection="1">
      <protection locked="0"/>
    </xf>
    <xf numFmtId="0" fontId="79" fillId="0" borderId="1" xfId="507" applyFont="1" applyBorder="1" applyProtection="1"/>
    <xf numFmtId="0" fontId="76" fillId="0" borderId="0" xfId="507" applyFont="1" applyAlignment="1" applyProtection="1">
      <alignment horizontal="center"/>
      <protection locked="0"/>
    </xf>
    <xf numFmtId="43" fontId="52" fillId="32" borderId="1" xfId="507" applyNumberFormat="1" applyFont="1" applyFill="1" applyBorder="1" applyProtection="1"/>
    <xf numFmtId="168" fontId="74" fillId="0" borderId="0" xfId="580" applyFont="1" applyProtection="1">
      <protection locked="0"/>
    </xf>
    <xf numFmtId="166" fontId="81" fillId="13" borderId="1" xfId="10" applyFont="1" applyFill="1" applyBorder="1" applyAlignment="1" applyProtection="1">
      <protection locked="0"/>
    </xf>
    <xf numFmtId="0" fontId="82" fillId="0" borderId="1" xfId="0" applyFont="1" applyBorder="1" applyAlignment="1" applyProtection="1">
      <alignment horizontal="center"/>
      <protection locked="0"/>
    </xf>
    <xf numFmtId="166" fontId="0" fillId="0" borderId="1" xfId="10" applyFont="1" applyBorder="1" applyAlignment="1" applyProtection="1">
      <protection locked="0"/>
    </xf>
    <xf numFmtId="0" fontId="81" fillId="13" borderId="1" xfId="0" applyFont="1" applyFill="1" applyBorder="1" applyProtection="1"/>
    <xf numFmtId="175" fontId="81" fillId="13" borderId="1" xfId="0" applyNumberFormat="1" applyFont="1" applyFill="1" applyBorder="1" applyProtection="1"/>
    <xf numFmtId="166" fontId="81" fillId="13" borderId="1" xfId="10" applyFont="1" applyFill="1" applyBorder="1" applyAlignment="1" applyProtection="1"/>
    <xf numFmtId="171" fontId="64" fillId="0" borderId="0" xfId="503" applyNumberFormat="1" applyFont="1" applyBorder="1" applyAlignment="1" applyProtection="1">
      <alignment vertical="center"/>
      <protection locked="0"/>
    </xf>
    <xf numFmtId="171" fontId="64" fillId="0" borderId="0" xfId="503" applyNumberFormat="1" applyFont="1" applyBorder="1" applyAlignment="1" applyProtection="1">
      <alignment vertical="center" wrapText="1"/>
      <protection locked="0"/>
    </xf>
    <xf numFmtId="0" fontId="81" fillId="13" borderId="1" xfId="0" applyFont="1" applyFill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right"/>
      <protection locked="0"/>
    </xf>
    <xf numFmtId="166" fontId="80" fillId="13" borderId="0" xfId="0" applyNumberFormat="1" applyFont="1" applyFill="1" applyBorder="1" applyAlignment="1" applyProtection="1">
      <alignment horizontal="right"/>
    </xf>
    <xf numFmtId="0" fontId="0" fillId="0" borderId="0" xfId="0" applyBorder="1" applyProtection="1">
      <protection locked="0"/>
    </xf>
    <xf numFmtId="0" fontId="84" fillId="0" borderId="0" xfId="0" applyFont="1" applyProtection="1">
      <protection locked="0"/>
    </xf>
    <xf numFmtId="0" fontId="80" fillId="0" borderId="0" xfId="0" applyFont="1" applyFill="1" applyBorder="1" applyAlignment="1" applyProtection="1">
      <alignment horizontal="center" wrapText="1"/>
    </xf>
    <xf numFmtId="166" fontId="85" fillId="0" borderId="1" xfId="0" applyNumberFormat="1" applyFont="1" applyFill="1" applyBorder="1" applyProtection="1">
      <protection locked="0"/>
    </xf>
    <xf numFmtId="166" fontId="85" fillId="0" borderId="0" xfId="0" applyNumberFormat="1" applyFont="1" applyFill="1" applyBorder="1" applyProtection="1">
      <protection locked="0"/>
    </xf>
    <xf numFmtId="166" fontId="85" fillId="0" borderId="1" xfId="0" applyNumberFormat="1" applyFont="1" applyFill="1" applyBorder="1" applyProtection="1"/>
    <xf numFmtId="166" fontId="85" fillId="0" borderId="0" xfId="0" applyNumberFormat="1" applyFont="1" applyFill="1" applyBorder="1" applyProtection="1"/>
    <xf numFmtId="166" fontId="80" fillId="13" borderId="1" xfId="0" applyNumberFormat="1" applyFont="1" applyFill="1" applyBorder="1" applyProtection="1"/>
    <xf numFmtId="166" fontId="80" fillId="0" borderId="0" xfId="0" applyNumberFormat="1" applyFont="1" applyFill="1" applyBorder="1" applyProtection="1"/>
    <xf numFmtId="0" fontId="0" fillId="0" borderId="0" xfId="0" applyFill="1" applyProtection="1">
      <protection locked="0"/>
    </xf>
    <xf numFmtId="0" fontId="53" fillId="0" borderId="0" xfId="510" applyProtection="1">
      <protection locked="0"/>
    </xf>
    <xf numFmtId="0" fontId="53" fillId="0" borderId="0" xfId="503" applyBorder="1" applyAlignment="1" applyProtection="1">
      <alignment vertical="center"/>
      <protection locked="0"/>
    </xf>
    <xf numFmtId="0" fontId="0" fillId="0" borderId="0" xfId="0" applyProtection="1"/>
    <xf numFmtId="0" fontId="40" fillId="21" borderId="2" xfId="503" applyFont="1" applyFill="1" applyBorder="1" applyAlignment="1" applyProtection="1">
      <alignment vertical="center" wrapText="1"/>
    </xf>
    <xf numFmtId="0" fontId="40" fillId="21" borderId="2" xfId="503" applyFont="1" applyFill="1" applyBorder="1" applyAlignment="1" applyProtection="1">
      <alignment horizontal="center" vertical="center" wrapText="1"/>
    </xf>
    <xf numFmtId="171" fontId="87" fillId="31" borderId="1" xfId="503" applyNumberFormat="1" applyFont="1" applyFill="1" applyBorder="1" applyAlignment="1" applyProtection="1">
      <alignment horizontal="center" vertical="center"/>
      <protection locked="0"/>
    </xf>
    <xf numFmtId="0" fontId="77" fillId="0" borderId="0" xfId="503" applyFont="1" applyAlignment="1" applyProtection="1">
      <alignment vertical="center"/>
      <protection locked="0"/>
    </xf>
    <xf numFmtId="171" fontId="86" fillId="0" borderId="3" xfId="503" applyNumberFormat="1" applyFont="1" applyBorder="1" applyAlignment="1" applyProtection="1">
      <alignment vertical="center" wrapText="1"/>
      <protection locked="0"/>
    </xf>
    <xf numFmtId="171" fontId="86" fillId="0" borderId="4" xfId="503" applyNumberFormat="1" applyFont="1" applyBorder="1" applyAlignment="1" applyProtection="1">
      <alignment vertical="center" wrapText="1"/>
      <protection locked="0"/>
    </xf>
    <xf numFmtId="0" fontId="77" fillId="0" borderId="0" xfId="503" applyFont="1" applyBorder="1" applyAlignment="1" applyProtection="1">
      <alignment vertical="center"/>
      <protection locked="0"/>
    </xf>
    <xf numFmtId="171" fontId="77" fillId="0" borderId="0" xfId="503" applyNumberFormat="1" applyFont="1" applyAlignment="1" applyProtection="1">
      <alignment vertical="center"/>
      <protection locked="0"/>
    </xf>
    <xf numFmtId="173" fontId="58" fillId="0" borderId="0" xfId="533" applyNumberFormat="1" applyFont="1" applyFill="1" applyBorder="1" applyAlignment="1" applyProtection="1">
      <alignment horizontal="center" vertical="center"/>
      <protection locked="0"/>
    </xf>
    <xf numFmtId="171" fontId="90" fillId="0" borderId="0" xfId="503" applyNumberFormat="1" applyFont="1" applyBorder="1" applyAlignment="1" applyProtection="1">
      <alignment horizontal="left" vertical="center"/>
      <protection locked="0"/>
    </xf>
    <xf numFmtId="171" fontId="90" fillId="0" borderId="17" xfId="503" applyNumberFormat="1" applyFont="1" applyBorder="1" applyAlignment="1" applyProtection="1">
      <alignment vertical="center"/>
      <protection locked="0"/>
    </xf>
    <xf numFmtId="0" fontId="77" fillId="20" borderId="0" xfId="503" applyFont="1" applyFill="1" applyAlignment="1" applyProtection="1">
      <alignment vertical="center"/>
      <protection locked="0"/>
    </xf>
    <xf numFmtId="171" fontId="77" fillId="20" borderId="0" xfId="503" applyNumberFormat="1" applyFont="1" applyFill="1" applyAlignment="1" applyProtection="1">
      <alignment vertical="center"/>
      <protection locked="0"/>
    </xf>
    <xf numFmtId="0" fontId="53" fillId="0" borderId="19" xfId="503" applyBorder="1" applyAlignment="1" applyProtection="1">
      <alignment vertical="center"/>
    </xf>
    <xf numFmtId="0" fontId="77" fillId="0" borderId="19" xfId="503" applyFont="1" applyBorder="1" applyAlignment="1" applyProtection="1">
      <alignment horizontal="right" vertical="center"/>
    </xf>
    <xf numFmtId="0" fontId="77" fillId="0" borderId="0" xfId="503" applyFont="1" applyBorder="1" applyAlignment="1" applyProtection="1">
      <alignment horizontal="center" vertical="center"/>
    </xf>
    <xf numFmtId="0" fontId="76" fillId="0" borderId="0" xfId="503" applyFont="1" applyAlignment="1" applyProtection="1">
      <alignment vertical="center"/>
      <protection locked="0"/>
    </xf>
    <xf numFmtId="0" fontId="76" fillId="0" borderId="9" xfId="503" applyFont="1" applyBorder="1" applyAlignment="1" applyProtection="1">
      <alignment horizontal="center" vertical="top"/>
    </xf>
    <xf numFmtId="0" fontId="53" fillId="20" borderId="0" xfId="503" applyFill="1" applyAlignment="1" applyProtection="1">
      <alignment vertical="center"/>
      <protection locked="0"/>
    </xf>
    <xf numFmtId="171" fontId="76" fillId="20" borderId="21" xfId="503" applyNumberFormat="1" applyFont="1" applyFill="1" applyBorder="1" applyAlignment="1" applyProtection="1">
      <alignment horizontal="left" vertical="center"/>
    </xf>
    <xf numFmtId="171" fontId="76" fillId="20" borderId="19" xfId="503" applyNumberFormat="1" applyFont="1" applyFill="1" applyBorder="1" applyAlignment="1" applyProtection="1">
      <alignment horizontal="left" vertical="center"/>
    </xf>
    <xf numFmtId="0" fontId="76" fillId="0" borderId="0" xfId="503" applyFont="1" applyAlignment="1" applyProtection="1">
      <alignment horizontal="center" vertical="center"/>
      <protection locked="0"/>
    </xf>
    <xf numFmtId="0" fontId="96" fillId="0" borderId="15" xfId="503" applyFont="1" applyBorder="1" applyAlignment="1" applyProtection="1">
      <alignment vertical="center"/>
    </xf>
    <xf numFmtId="0" fontId="53" fillId="0" borderId="17" xfId="503" applyBorder="1" applyAlignment="1" applyProtection="1">
      <alignment vertical="center"/>
      <protection locked="0"/>
    </xf>
    <xf numFmtId="0" fontId="82" fillId="0" borderId="0" xfId="503" applyFont="1" applyAlignment="1" applyProtection="1">
      <alignment vertical="center"/>
      <protection locked="0"/>
    </xf>
    <xf numFmtId="0" fontId="53" fillId="0" borderId="15" xfId="503" applyBorder="1" applyAlignment="1" applyProtection="1">
      <alignment horizontal="left" vertical="center"/>
    </xf>
    <xf numFmtId="0" fontId="53" fillId="0" borderId="0" xfId="503" applyBorder="1" applyAlignment="1" applyProtection="1">
      <alignment horizontal="left" vertical="center"/>
    </xf>
    <xf numFmtId="171" fontId="74" fillId="0" borderId="0" xfId="503" applyNumberFormat="1" applyFont="1" applyBorder="1" applyAlignment="1" applyProtection="1">
      <alignment horizontal="left" vertical="center"/>
      <protection locked="0"/>
    </xf>
    <xf numFmtId="171" fontId="74" fillId="0" borderId="17" xfId="503" applyNumberFormat="1" applyFont="1" applyBorder="1" applyAlignment="1" applyProtection="1">
      <alignment vertical="center"/>
      <protection locked="0"/>
    </xf>
    <xf numFmtId="0" fontId="96" fillId="0" borderId="15" xfId="503" applyFont="1" applyBorder="1" applyAlignment="1" applyProtection="1">
      <alignment horizontal="left" vertical="center"/>
    </xf>
    <xf numFmtId="0" fontId="76" fillId="20" borderId="15" xfId="503" applyFont="1" applyFill="1" applyBorder="1" applyAlignment="1" applyProtection="1">
      <alignment horizontal="left" vertical="center"/>
    </xf>
    <xf numFmtId="0" fontId="76" fillId="20" borderId="0" xfId="503" applyFont="1" applyFill="1" applyBorder="1" applyAlignment="1" applyProtection="1">
      <alignment horizontal="left" vertical="center"/>
    </xf>
    <xf numFmtId="171" fontId="91" fillId="20" borderId="0" xfId="503" applyNumberFormat="1" applyFont="1" applyFill="1" applyBorder="1" applyAlignment="1" applyProtection="1">
      <alignment horizontal="center" vertical="center"/>
      <protection locked="0"/>
    </xf>
    <xf numFmtId="171" fontId="91" fillId="20" borderId="17" xfId="503" applyNumberFormat="1" applyFont="1" applyFill="1" applyBorder="1" applyAlignment="1" applyProtection="1">
      <alignment horizontal="center" vertical="center"/>
      <protection locked="0"/>
    </xf>
    <xf numFmtId="0" fontId="82" fillId="0" borderId="15" xfId="503" applyFont="1" applyBorder="1" applyAlignment="1" applyProtection="1">
      <alignment horizontal="left" vertical="center"/>
    </xf>
    <xf numFmtId="0" fontId="96" fillId="0" borderId="0" xfId="503" applyFont="1" applyBorder="1" applyAlignment="1" applyProtection="1">
      <alignment horizontal="left" vertical="center"/>
    </xf>
    <xf numFmtId="171" fontId="74" fillId="0" borderId="0" xfId="503" applyNumberFormat="1" applyFont="1" applyBorder="1" applyAlignment="1" applyProtection="1">
      <alignment vertical="center"/>
      <protection locked="0"/>
    </xf>
    <xf numFmtId="0" fontId="97" fillId="0" borderId="0" xfId="503" applyFont="1" applyAlignment="1" applyProtection="1">
      <alignment vertical="center"/>
      <protection locked="0"/>
    </xf>
    <xf numFmtId="171" fontId="74" fillId="0" borderId="0" xfId="503" applyNumberFormat="1" applyFont="1" applyBorder="1" applyAlignment="1" applyProtection="1">
      <alignment horizontal="left" vertical="center"/>
    </xf>
    <xf numFmtId="171" fontId="74" fillId="0" borderId="17" xfId="503" applyNumberFormat="1" applyFont="1" applyBorder="1" applyAlignment="1" applyProtection="1">
      <alignment vertical="center"/>
    </xf>
    <xf numFmtId="171" fontId="53" fillId="0" borderId="0" xfId="503" applyNumberFormat="1" applyAlignment="1" applyProtection="1">
      <alignment vertical="center"/>
      <protection locked="0"/>
    </xf>
    <xf numFmtId="0" fontId="76" fillId="0" borderId="0" xfId="503" applyFont="1" applyBorder="1" applyAlignment="1" applyProtection="1">
      <alignment horizontal="left" vertical="center"/>
      <protection locked="0"/>
    </xf>
    <xf numFmtId="171" fontId="91" fillId="0" borderId="0" xfId="503" applyNumberFormat="1" applyFont="1" applyBorder="1" applyAlignment="1" applyProtection="1">
      <alignment horizontal="center" vertical="center"/>
      <protection locked="0"/>
    </xf>
    <xf numFmtId="171" fontId="76" fillId="20" borderId="0" xfId="503" applyNumberFormat="1" applyFont="1" applyFill="1" applyBorder="1" applyAlignment="1" applyProtection="1">
      <alignment horizontal="left" vertical="center"/>
    </xf>
    <xf numFmtId="0" fontId="77" fillId="0" borderId="0" xfId="503" applyFont="1" applyBorder="1" applyAlignment="1" applyProtection="1">
      <alignment horizontal="right" vertical="center"/>
    </xf>
    <xf numFmtId="0" fontId="136" fillId="0" borderId="1" xfId="0" applyFont="1" applyBorder="1" applyAlignment="1" applyProtection="1">
      <alignment vertical="center" wrapText="1"/>
      <protection locked="0"/>
    </xf>
    <xf numFmtId="49" fontId="137" fillId="26" borderId="2" xfId="0" applyNumberFormat="1" applyFont="1" applyFill="1" applyBorder="1" applyAlignment="1" applyProtection="1">
      <alignment horizontal="center"/>
      <protection locked="0"/>
    </xf>
    <xf numFmtId="0" fontId="138" fillId="0" borderId="1" xfId="0" applyFont="1" applyBorder="1" applyAlignment="1" applyProtection="1">
      <alignment horizontal="center" vertical="center"/>
      <protection locked="0"/>
    </xf>
    <xf numFmtId="171" fontId="139" fillId="0" borderId="1" xfId="594" applyNumberFormat="1" applyFont="1" applyBorder="1" applyAlignment="1" applyProtection="1">
      <alignment horizontal="left" vertical="center"/>
      <protection locked="0"/>
    </xf>
    <xf numFmtId="49" fontId="138" fillId="26" borderId="40" xfId="0" applyNumberFormat="1" applyFont="1" applyFill="1" applyBorder="1" applyAlignment="1" applyProtection="1">
      <alignment horizontal="center"/>
      <protection locked="0"/>
    </xf>
    <xf numFmtId="0" fontId="138" fillId="26" borderId="40" xfId="0" applyFont="1" applyFill="1" applyBorder="1" applyAlignment="1" applyProtection="1">
      <alignment horizontal="center"/>
      <protection locked="0"/>
    </xf>
    <xf numFmtId="0" fontId="137" fillId="26" borderId="40" xfId="0" applyFont="1" applyFill="1" applyBorder="1" applyAlignment="1" applyProtection="1">
      <alignment horizontal="center"/>
      <protection locked="0"/>
    </xf>
    <xf numFmtId="0" fontId="138" fillId="89" borderId="40" xfId="0" applyFont="1" applyFill="1" applyBorder="1" applyAlignment="1" applyProtection="1">
      <alignment horizontal="center"/>
      <protection locked="0"/>
    </xf>
    <xf numFmtId="49" fontId="143" fillId="26" borderId="40" xfId="533" applyNumberFormat="1" applyFont="1" applyFill="1" applyBorder="1" applyAlignment="1" applyProtection="1">
      <alignment horizontal="center" vertical="center"/>
      <protection locked="0"/>
    </xf>
    <xf numFmtId="0" fontId="137" fillId="26" borderId="40" xfId="508" applyFont="1" applyFill="1" applyBorder="1" applyAlignment="1" applyProtection="1">
      <alignment horizontal="center"/>
      <protection locked="0"/>
    </xf>
    <xf numFmtId="0" fontId="137" fillId="26" borderId="40" xfId="486" applyFont="1" applyFill="1" applyBorder="1" applyAlignment="1" applyProtection="1">
      <alignment horizontal="center"/>
      <protection locked="0"/>
    </xf>
    <xf numFmtId="0" fontId="144" fillId="26" borderId="40" xfId="508" applyFont="1" applyFill="1" applyBorder="1" applyAlignment="1" applyProtection="1">
      <alignment horizontal="center" wrapText="1"/>
      <protection locked="0"/>
    </xf>
    <xf numFmtId="0" fontId="54" fillId="0" borderId="40" xfId="13" applyBorder="1"/>
    <xf numFmtId="0" fontId="54" fillId="0" borderId="40" xfId="13" applyBorder="1" applyProtection="1">
      <protection locked="0"/>
    </xf>
    <xf numFmtId="14" fontId="0" fillId="0" borderId="40" xfId="0" applyNumberForma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49" fontId="137" fillId="26" borderId="41" xfId="0" applyNumberFormat="1" applyFont="1" applyFill="1" applyBorder="1" applyAlignment="1" applyProtection="1">
      <alignment horizontal="center"/>
      <protection locked="0"/>
    </xf>
    <xf numFmtId="0" fontId="138" fillId="0" borderId="40" xfId="0" applyFont="1" applyBorder="1" applyAlignment="1" applyProtection="1">
      <alignment horizontal="center" vertical="center"/>
      <protection locked="0"/>
    </xf>
    <xf numFmtId="0" fontId="27" fillId="28" borderId="40" xfId="533" applyFont="1" applyFill="1" applyBorder="1" applyAlignment="1" applyProtection="1">
      <alignment horizontal="center" vertical="center" wrapText="1"/>
    </xf>
    <xf numFmtId="0" fontId="27" fillId="28" borderId="40" xfId="533" applyFont="1" applyFill="1" applyBorder="1" applyAlignment="1" applyProtection="1">
      <alignment horizontal="center" vertical="center"/>
    </xf>
    <xf numFmtId="173" fontId="27" fillId="28" borderId="40" xfId="587" applyNumberFormat="1" applyFont="1" applyFill="1" applyBorder="1" applyAlignment="1" applyProtection="1">
      <alignment horizontal="center" vertical="center" wrapText="1"/>
    </xf>
    <xf numFmtId="0" fontId="58" fillId="26" borderId="40" xfId="486" applyFont="1" applyFill="1" applyBorder="1" applyProtection="1">
      <protection locked="0"/>
    </xf>
    <xf numFmtId="49" fontId="60" fillId="26" borderId="40" xfId="533" applyNumberFormat="1" applyFont="1" applyFill="1" applyBorder="1" applyAlignment="1" applyProtection="1">
      <alignment horizontal="center" vertical="center"/>
      <protection locked="0"/>
    </xf>
    <xf numFmtId="0" fontId="60" fillId="26" borderId="40" xfId="533" applyFont="1" applyFill="1" applyBorder="1" applyAlignment="1" applyProtection="1">
      <alignment horizontal="center" vertical="center"/>
      <protection locked="0"/>
    </xf>
    <xf numFmtId="0" fontId="58" fillId="26" borderId="40" xfId="486" applyFont="1" applyFill="1" applyBorder="1" applyAlignment="1" applyProtection="1">
      <alignment horizontal="left"/>
      <protection locked="0"/>
    </xf>
    <xf numFmtId="0" fontId="58" fillId="26" borderId="40" xfId="486" applyFont="1" applyFill="1" applyBorder="1" applyAlignment="1" applyProtection="1">
      <alignment horizontal="center"/>
      <protection locked="0"/>
    </xf>
    <xf numFmtId="0" fontId="62" fillId="0" borderId="40" xfId="508" applyFont="1" applyBorder="1" applyAlignment="1" applyProtection="1">
      <alignment horizontal="center" wrapText="1"/>
      <protection locked="0"/>
    </xf>
    <xf numFmtId="0" fontId="58" fillId="0" borderId="40" xfId="486" applyFont="1" applyBorder="1" applyAlignment="1" applyProtection="1">
      <alignment horizontal="center"/>
      <protection locked="0"/>
    </xf>
    <xf numFmtId="0" fontId="63" fillId="0" borderId="40" xfId="508" applyFont="1" applyBorder="1" applyAlignment="1" applyProtection="1">
      <alignment horizontal="center" wrapText="1"/>
      <protection locked="0"/>
    </xf>
    <xf numFmtId="1" fontId="27" fillId="28" borderId="40" xfId="533" applyNumberFormat="1" applyFont="1" applyFill="1" applyBorder="1" applyAlignment="1" applyProtection="1">
      <alignment horizontal="center" vertical="center" wrapText="1"/>
    </xf>
    <xf numFmtId="1" fontId="143" fillId="26" borderId="41" xfId="533" applyNumberFormat="1" applyFont="1" applyFill="1" applyBorder="1" applyAlignment="1" applyProtection="1">
      <alignment horizontal="center" vertical="center"/>
      <protection locked="0"/>
    </xf>
    <xf numFmtId="1" fontId="143" fillId="26" borderId="40" xfId="533" applyNumberFormat="1" applyFont="1" applyFill="1" applyBorder="1" applyAlignment="1" applyProtection="1">
      <alignment horizontal="center" vertical="center"/>
      <protection locked="0"/>
    </xf>
    <xf numFmtId="1" fontId="137" fillId="26" borderId="41" xfId="533" applyNumberFormat="1" applyFont="1" applyFill="1" applyBorder="1" applyAlignment="1" applyProtection="1">
      <alignment horizontal="center" vertical="center"/>
      <protection locked="0"/>
    </xf>
    <xf numFmtId="1" fontId="137" fillId="26" borderId="40" xfId="533" applyNumberFormat="1" applyFont="1" applyFill="1" applyBorder="1" applyAlignment="1" applyProtection="1">
      <alignment horizontal="center" vertical="center"/>
      <protection locked="0"/>
    </xf>
    <xf numFmtId="177" fontId="60" fillId="26" borderId="40" xfId="587" applyNumberFormat="1" applyFont="1" applyFill="1" applyBorder="1" applyAlignment="1" applyProtection="1">
      <alignment horizontal="right" vertical="center"/>
      <protection locked="0"/>
    </xf>
    <xf numFmtId="177" fontId="60" fillId="26" borderId="40" xfId="587" applyNumberFormat="1" applyFont="1" applyFill="1" applyBorder="1" applyAlignment="1" applyProtection="1">
      <alignment horizontal="right" vertical="center"/>
    </xf>
    <xf numFmtId="49" fontId="61" fillId="0" borderId="0" xfId="533" applyNumberFormat="1" applyFont="1" applyBorder="1" applyAlignment="1" applyProtection="1">
      <alignment horizontal="left" vertical="center"/>
      <protection locked="0"/>
    </xf>
    <xf numFmtId="0" fontId="58" fillId="0" borderId="0" xfId="533" applyFont="1" applyBorder="1" applyAlignment="1" applyProtection="1">
      <alignment horizontal="center" vertical="center"/>
      <protection locked="0"/>
    </xf>
    <xf numFmtId="49" fontId="138" fillId="0" borderId="40" xfId="3" applyNumberFormat="1" applyFont="1" applyBorder="1" applyAlignment="1" applyProtection="1">
      <alignment horizontal="center" vertical="center"/>
      <protection locked="0"/>
    </xf>
    <xf numFmtId="0" fontId="20" fillId="13" borderId="1" xfId="0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left"/>
      <protection locked="0"/>
    </xf>
    <xf numFmtId="0" fontId="22" fillId="0" borderId="0" xfId="0" applyFont="1" applyBorder="1" applyAlignment="1" applyProtection="1">
      <alignment horizontal="left"/>
    </xf>
    <xf numFmtId="0" fontId="148" fillId="13" borderId="41" xfId="0" applyFont="1" applyFill="1" applyBorder="1" applyAlignment="1" applyProtection="1">
      <alignment wrapText="1"/>
    </xf>
    <xf numFmtId="43" fontId="148" fillId="13" borderId="40" xfId="3" applyFont="1" applyFill="1" applyBorder="1" applyAlignment="1" applyProtection="1">
      <alignment wrapText="1"/>
      <protection locked="0"/>
    </xf>
    <xf numFmtId="0" fontId="149" fillId="90" borderId="40" xfId="0" applyFont="1" applyFill="1" applyBorder="1" applyProtection="1"/>
    <xf numFmtId="0" fontId="151" fillId="0" borderId="40" xfId="0" applyFont="1" applyBorder="1" applyAlignment="1" applyProtection="1">
      <alignment wrapText="1"/>
    </xf>
    <xf numFmtId="0" fontId="151" fillId="0" borderId="40" xfId="0" applyFont="1" applyBorder="1" applyProtection="1"/>
    <xf numFmtId="0" fontId="151" fillId="90" borderId="40" xfId="0" applyFont="1" applyFill="1" applyBorder="1" applyProtection="1"/>
    <xf numFmtId="43" fontId="151" fillId="0" borderId="40" xfId="3" applyFont="1" applyFill="1" applyBorder="1" applyAlignment="1" applyProtection="1"/>
    <xf numFmtId="43" fontId="151" fillId="0" borderId="40" xfId="3" applyFont="1" applyBorder="1" applyAlignment="1" applyProtection="1"/>
    <xf numFmtId="0" fontId="151" fillId="0" borderId="40" xfId="0" applyFont="1" applyBorder="1" applyAlignment="1" applyProtection="1"/>
    <xf numFmtId="0" fontId="22" fillId="0" borderId="40" xfId="0" applyFont="1" applyBorder="1" applyAlignment="1" applyProtection="1">
      <alignment horizontal="center"/>
      <protection locked="0"/>
    </xf>
    <xf numFmtId="0" fontId="22" fillId="0" borderId="40" xfId="0" applyFont="1" applyBorder="1" applyAlignment="1" applyProtection="1">
      <alignment horizontal="center" vertical="center"/>
      <protection locked="0"/>
    </xf>
    <xf numFmtId="43" fontId="22" fillId="0" borderId="40" xfId="3" applyFont="1" applyFill="1" applyBorder="1" applyAlignment="1" applyProtection="1">
      <alignment horizontal="right"/>
      <protection locked="0"/>
    </xf>
    <xf numFmtId="0" fontId="25" fillId="0" borderId="40" xfId="0" applyFont="1" applyBorder="1" applyAlignment="1" applyProtection="1">
      <alignment horizontal="left"/>
      <protection locked="0"/>
    </xf>
    <xf numFmtId="0" fontId="23" fillId="11" borderId="1" xfId="0" applyFont="1" applyFill="1" applyBorder="1" applyAlignment="1" applyProtection="1">
      <alignment vertical="center"/>
      <protection locked="0"/>
    </xf>
    <xf numFmtId="0" fontId="23" fillId="11" borderId="1" xfId="0" applyFont="1" applyFill="1" applyBorder="1" applyProtection="1">
      <protection locked="0"/>
    </xf>
    <xf numFmtId="4" fontId="23" fillId="11" borderId="1" xfId="0" applyNumberFormat="1" applyFont="1" applyFill="1" applyBorder="1" applyProtection="1">
      <protection locked="0"/>
    </xf>
    <xf numFmtId="43" fontId="150" fillId="90" borderId="40" xfId="3" applyFont="1" applyFill="1" applyBorder="1" applyAlignment="1" applyProtection="1">
      <protection locked="0"/>
    </xf>
    <xf numFmtId="0" fontId="20" fillId="0" borderId="0" xfId="0" applyFont="1" applyFill="1" applyBorder="1" applyAlignment="1" applyProtection="1">
      <alignment wrapText="1"/>
      <protection locked="0"/>
    </xf>
    <xf numFmtId="166" fontId="23" fillId="0" borderId="0" xfId="10" applyFont="1" applyFill="1" applyBorder="1" applyAlignment="1" applyProtection="1">
      <alignment wrapText="1"/>
      <protection locked="0"/>
    </xf>
    <xf numFmtId="0" fontId="22" fillId="0" borderId="1" xfId="0" applyFont="1" applyBorder="1" applyProtection="1">
      <protection locked="0"/>
    </xf>
    <xf numFmtId="0" fontId="22" fillId="0" borderId="1" xfId="0" applyFont="1" applyBorder="1" applyAlignment="1" applyProtection="1">
      <alignment wrapText="1"/>
      <protection locked="0"/>
    </xf>
    <xf numFmtId="43" fontId="148" fillId="13" borderId="40" xfId="3" applyFont="1" applyFill="1" applyBorder="1" applyProtection="1"/>
    <xf numFmtId="43" fontId="150" fillId="91" borderId="40" xfId="3" applyFont="1" applyFill="1" applyBorder="1" applyProtection="1"/>
    <xf numFmtId="0" fontId="148" fillId="13" borderId="40" xfId="0" applyFont="1" applyFill="1" applyBorder="1" applyProtection="1"/>
    <xf numFmtId="0" fontId="150" fillId="91" borderId="40" xfId="0" applyFont="1" applyFill="1" applyBorder="1" applyProtection="1"/>
    <xf numFmtId="178" fontId="148" fillId="13" borderId="40" xfId="3" applyNumberFormat="1" applyFont="1" applyFill="1" applyBorder="1" applyProtection="1"/>
    <xf numFmtId="0" fontId="18" fillId="0" borderId="0" xfId="0" applyFont="1" applyBorder="1" applyProtection="1"/>
    <xf numFmtId="0" fontId="152" fillId="0" borderId="40" xfId="0" applyFont="1" applyBorder="1" applyAlignment="1" applyProtection="1">
      <alignment horizontal="center"/>
      <protection locked="0"/>
    </xf>
    <xf numFmtId="0" fontId="152" fillId="0" borderId="40" xfId="0" applyFont="1" applyBorder="1" applyAlignment="1" applyProtection="1">
      <alignment horizontal="center" vertical="center"/>
      <protection locked="0"/>
    </xf>
    <xf numFmtId="0" fontId="153" fillId="0" borderId="40" xfId="533" applyNumberFormat="1" applyFont="1" applyBorder="1" applyAlignment="1" applyProtection="1">
      <alignment horizontal="center" vertical="center"/>
      <protection locked="0"/>
    </xf>
    <xf numFmtId="0" fontId="153" fillId="26" borderId="40" xfId="533" applyNumberFormat="1" applyFont="1" applyFill="1" applyBorder="1" applyAlignment="1" applyProtection="1">
      <alignment horizontal="center" vertical="center"/>
      <protection locked="0"/>
    </xf>
    <xf numFmtId="49" fontId="154" fillId="0" borderId="40" xfId="0" applyNumberFormat="1" applyFont="1" applyBorder="1" applyAlignment="1" applyProtection="1">
      <alignment horizontal="center" vertical="justify"/>
      <protection locked="0"/>
    </xf>
    <xf numFmtId="166" fontId="22" fillId="0" borderId="1" xfId="10" applyFont="1" applyFill="1" applyBorder="1" applyAlignment="1" applyProtection="1">
      <protection locked="0"/>
    </xf>
    <xf numFmtId="0" fontId="22" fillId="0" borderId="1" xfId="0" applyFont="1" applyFill="1" applyBorder="1" applyAlignment="1" applyProtection="1">
      <alignment horizontal="left"/>
      <protection locked="0"/>
    </xf>
    <xf numFmtId="0" fontId="0" fillId="0" borderId="40" xfId="0" applyBorder="1"/>
    <xf numFmtId="0" fontId="137" fillId="0" borderId="40" xfId="0" applyFont="1" applyFill="1" applyBorder="1" applyAlignment="1" applyProtection="1">
      <alignment horizontal="center"/>
      <protection locked="0"/>
    </xf>
    <xf numFmtId="2" fontId="143" fillId="26" borderId="40" xfId="587" applyNumberFormat="1" applyFont="1" applyFill="1" applyBorder="1" applyAlignment="1" applyProtection="1">
      <alignment horizontal="center" vertical="center"/>
      <protection locked="0"/>
    </xf>
    <xf numFmtId="2" fontId="143" fillId="26" borderId="40" xfId="587" applyNumberFormat="1" applyFont="1" applyFill="1" applyBorder="1" applyAlignment="1" applyProtection="1">
      <alignment horizontal="right" vertical="center"/>
      <protection locked="0"/>
    </xf>
    <xf numFmtId="2" fontId="143" fillId="26" borderId="40" xfId="587" applyNumberFormat="1" applyFont="1" applyFill="1" applyBorder="1" applyAlignment="1" applyProtection="1">
      <alignment horizontal="right" vertical="center"/>
    </xf>
    <xf numFmtId="2" fontId="137" fillId="26" borderId="40" xfId="587" applyNumberFormat="1" applyFont="1" applyFill="1" applyBorder="1" applyAlignment="1" applyProtection="1">
      <alignment horizontal="center" vertical="center"/>
      <protection locked="0"/>
    </xf>
    <xf numFmtId="0" fontId="58" fillId="92" borderId="0" xfId="533" applyFont="1" applyFill="1" applyBorder="1" applyAlignment="1" applyProtection="1">
      <alignment horizontal="center" vertical="center"/>
      <protection locked="0"/>
    </xf>
    <xf numFmtId="1" fontId="61" fillId="92" borderId="0" xfId="533" applyNumberFormat="1" applyFont="1" applyFill="1" applyBorder="1" applyAlignment="1" applyProtection="1">
      <alignment horizontal="center" vertical="center"/>
      <protection locked="0"/>
    </xf>
    <xf numFmtId="49" fontId="146" fillId="0" borderId="40" xfId="0" applyNumberFormat="1" applyFont="1" applyFill="1" applyBorder="1" applyAlignment="1" applyProtection="1">
      <alignment horizontal="center" vertical="center"/>
      <protection locked="0"/>
    </xf>
    <xf numFmtId="49" fontId="146" fillId="26" borderId="40" xfId="0" applyNumberFormat="1" applyFont="1" applyFill="1" applyBorder="1" applyAlignment="1" applyProtection="1">
      <alignment horizontal="center" vertical="center" wrapText="1"/>
      <protection locked="0"/>
    </xf>
    <xf numFmtId="43" fontId="74" fillId="0" borderId="0" xfId="507" applyNumberFormat="1" applyProtection="1"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49" fontId="156" fillId="26" borderId="2" xfId="0" applyNumberFormat="1" applyFont="1" applyFill="1" applyBorder="1" applyAlignment="1" applyProtection="1">
      <alignment horizontal="center"/>
      <protection locked="0"/>
    </xf>
    <xf numFmtId="0" fontId="155" fillId="26" borderId="1" xfId="0" applyFont="1" applyFill="1" applyBorder="1" applyAlignment="1" applyProtection="1">
      <alignment horizontal="center" vertical="center"/>
      <protection locked="0"/>
    </xf>
    <xf numFmtId="49" fontId="156" fillId="0" borderId="1" xfId="0" applyNumberFormat="1" applyFont="1" applyFill="1" applyBorder="1" applyAlignment="1" applyProtection="1">
      <alignment horizontal="center" vertical="center"/>
      <protection locked="0"/>
    </xf>
    <xf numFmtId="49" fontId="157" fillId="0" borderId="1" xfId="528" applyNumberFormat="1" applyFont="1" applyFill="1" applyBorder="1" applyAlignment="1" applyProtection="1">
      <alignment horizontal="center" vertical="center" wrapText="1"/>
      <protection locked="0"/>
    </xf>
    <xf numFmtId="0" fontId="0" fillId="26" borderId="1" xfId="0" applyFont="1" applyFill="1" applyBorder="1" applyAlignment="1" applyProtection="1">
      <alignment horizontal="center" wrapText="1"/>
      <protection locked="0"/>
    </xf>
    <xf numFmtId="49" fontId="158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26" borderId="1" xfId="0" applyNumberFormat="1" applyFont="1" applyFill="1" applyBorder="1" applyAlignment="1" applyProtection="1">
      <alignment horizontal="right"/>
      <protection locked="0"/>
    </xf>
    <xf numFmtId="0" fontId="138" fillId="0" borderId="40" xfId="0" applyFont="1" applyBorder="1" applyAlignment="1">
      <alignment horizontal="center" vertical="justify"/>
    </xf>
    <xf numFmtId="179" fontId="138" fillId="0" borderId="40" xfId="10" applyNumberFormat="1" applyFont="1" applyBorder="1"/>
    <xf numFmtId="180" fontId="138" fillId="0" borderId="40" xfId="10" applyNumberFormat="1" applyFont="1" applyBorder="1"/>
    <xf numFmtId="0" fontId="0" fillId="0" borderId="1" xfId="0" applyBorder="1"/>
    <xf numFmtId="14" fontId="138" fillId="0" borderId="40" xfId="0" applyNumberFormat="1" applyFont="1" applyBorder="1" applyAlignment="1">
      <alignment horizontal="center"/>
    </xf>
    <xf numFmtId="49" fontId="20" fillId="13" borderId="1" xfId="528" applyNumberFormat="1" applyFont="1" applyFill="1" applyBorder="1" applyAlignment="1" applyProtection="1">
      <alignment horizontal="center" vertical="center" wrapText="1"/>
    </xf>
    <xf numFmtId="0" fontId="20" fillId="13" borderId="1" xfId="528" applyNumberFormat="1" applyFont="1" applyFill="1" applyBorder="1" applyAlignment="1" applyProtection="1">
      <alignment horizontal="center" vertical="center" wrapText="1"/>
    </xf>
    <xf numFmtId="0" fontId="20" fillId="13" borderId="1" xfId="528" applyFont="1" applyFill="1" applyBorder="1" applyAlignment="1" applyProtection="1">
      <alignment horizontal="center" vertical="center" wrapText="1"/>
    </xf>
    <xf numFmtId="49" fontId="55" fillId="26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6" borderId="1" xfId="0" applyFont="1" applyFill="1" applyBorder="1" applyAlignment="1">
      <alignment horizontal="center" vertical="center" wrapText="1"/>
    </xf>
    <xf numFmtId="49" fontId="55" fillId="26" borderId="1" xfId="0" applyNumberFormat="1" applyFont="1" applyFill="1" applyBorder="1" applyAlignment="1" applyProtection="1">
      <alignment horizontal="center" vertical="center"/>
      <protection locked="0"/>
    </xf>
    <xf numFmtId="0" fontId="55" fillId="26" borderId="1" xfId="0" applyNumberFormat="1" applyFont="1" applyFill="1" applyBorder="1" applyAlignment="1" applyProtection="1">
      <alignment horizontal="center" vertical="center"/>
      <protection locked="0"/>
    </xf>
    <xf numFmtId="49" fontId="57" fillId="26" borderId="1" xfId="528" applyNumberFormat="1" applyFont="1" applyFill="1" applyBorder="1" applyAlignment="1" applyProtection="1">
      <alignment horizontal="center" vertical="center"/>
      <protection locked="0"/>
    </xf>
    <xf numFmtId="49" fontId="58" fillId="26" borderId="1" xfId="580" applyNumberFormat="1" applyFont="1" applyFill="1" applyBorder="1" applyAlignment="1" applyProtection="1">
      <alignment horizontal="right" vertical="center" wrapText="1"/>
    </xf>
    <xf numFmtId="0" fontId="8" fillId="26" borderId="0" xfId="528" applyFill="1" applyAlignment="1" applyProtection="1">
      <alignment vertical="center"/>
      <protection locked="0"/>
    </xf>
    <xf numFmtId="0" fontId="0" fillId="26" borderId="0" xfId="0" applyFill="1"/>
    <xf numFmtId="0" fontId="160" fillId="26" borderId="0" xfId="528" applyFont="1" applyFill="1" applyAlignment="1" applyProtection="1">
      <alignment vertical="center"/>
      <protection locked="0"/>
    </xf>
    <xf numFmtId="0" fontId="156" fillId="26" borderId="0" xfId="0" applyFont="1" applyFill="1"/>
    <xf numFmtId="49" fontId="146" fillId="26" borderId="1" xfId="0" applyNumberFormat="1" applyFont="1" applyFill="1" applyBorder="1" applyAlignment="1" applyProtection="1">
      <alignment horizontal="center" vertical="center"/>
      <protection locked="0"/>
    </xf>
    <xf numFmtId="0" fontId="146" fillId="26" borderId="1" xfId="0" applyNumberFormat="1" applyFont="1" applyFill="1" applyBorder="1" applyAlignment="1" applyProtection="1">
      <alignment horizontal="center" vertical="center"/>
      <protection locked="0"/>
    </xf>
    <xf numFmtId="0" fontId="7" fillId="26" borderId="1" xfId="0" applyFont="1" applyFill="1" applyBorder="1" applyAlignment="1">
      <alignment horizontal="center"/>
    </xf>
    <xf numFmtId="0" fontId="159" fillId="26" borderId="1" xfId="0" applyFont="1" applyFill="1" applyBorder="1" applyAlignment="1">
      <alignment vertical="center" wrapText="1"/>
    </xf>
    <xf numFmtId="49" fontId="55" fillId="0" borderId="1" xfId="0" applyNumberFormat="1" applyFont="1" applyBorder="1" applyAlignment="1" applyProtection="1">
      <alignment horizontal="center" vertical="center" wrapText="1"/>
      <protection locked="0"/>
    </xf>
    <xf numFmtId="0" fontId="55" fillId="0" borderId="1" xfId="0" applyNumberFormat="1" applyFont="1" applyBorder="1" applyAlignment="1" applyProtection="1">
      <alignment horizontal="center" vertical="center"/>
      <protection locked="0"/>
    </xf>
    <xf numFmtId="49" fontId="55" fillId="0" borderId="1" xfId="0" applyNumberFormat="1" applyFont="1" applyBorder="1" applyAlignment="1" applyProtection="1">
      <alignment horizontal="center" vertical="center"/>
      <protection locked="0"/>
    </xf>
    <xf numFmtId="49" fontId="58" fillId="0" borderId="1" xfId="580" applyNumberFormat="1" applyFont="1" applyBorder="1" applyAlignment="1" applyProtection="1">
      <alignment horizontal="right" vertical="center" wrapText="1"/>
    </xf>
    <xf numFmtId="49" fontId="58" fillId="0" borderId="1" xfId="580" applyNumberFormat="1" applyFont="1" applyBorder="1" applyAlignment="1" applyProtection="1">
      <alignment vertical="center" wrapText="1"/>
    </xf>
    <xf numFmtId="167" fontId="58" fillId="0" borderId="1" xfId="580" applyNumberFormat="1" applyFont="1" applyBorder="1" applyAlignment="1" applyProtection="1">
      <alignment vertical="center" wrapText="1"/>
    </xf>
    <xf numFmtId="0" fontId="0" fillId="0" borderId="0" xfId="0" applyAlignment="1">
      <alignment wrapText="1"/>
    </xf>
    <xf numFmtId="49" fontId="8" fillId="0" borderId="0" xfId="528" applyNumberFormat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8" fillId="0" borderId="0" xfId="528" applyAlignment="1" applyProtection="1">
      <alignment vertical="center" wrapText="1"/>
      <protection locked="0"/>
    </xf>
    <xf numFmtId="0" fontId="8" fillId="0" borderId="0" xfId="528" applyAlignment="1" applyProtection="1">
      <alignment horizontal="center" vertical="center"/>
      <protection locked="0"/>
    </xf>
    <xf numFmtId="49" fontId="146" fillId="26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6" borderId="1" xfId="0" applyNumberFormat="1" applyFont="1" applyFill="1" applyBorder="1" applyAlignment="1">
      <alignment horizontal="center"/>
    </xf>
    <xf numFmtId="0" fontId="147" fillId="0" borderId="1" xfId="0" applyFont="1" applyBorder="1" applyAlignment="1">
      <alignment vertical="center" wrapText="1"/>
    </xf>
    <xf numFmtId="49" fontId="146" fillId="26" borderId="1" xfId="580" applyNumberFormat="1" applyFont="1" applyFill="1" applyBorder="1" applyAlignment="1" applyProtection="1">
      <alignment horizontal="right" vertical="center" wrapText="1"/>
    </xf>
    <xf numFmtId="49" fontId="138" fillId="0" borderId="1" xfId="3" applyNumberFormat="1" applyFont="1" applyBorder="1" applyAlignment="1" applyProtection="1">
      <alignment horizontal="center" vertical="center"/>
      <protection locked="0"/>
    </xf>
    <xf numFmtId="167" fontId="138" fillId="0" borderId="1" xfId="10" applyNumberFormat="1" applyFont="1" applyBorder="1" applyAlignment="1" applyProtection="1">
      <alignment horizontal="right" vertical="center"/>
      <protection locked="0"/>
    </xf>
    <xf numFmtId="49" fontId="146" fillId="0" borderId="1" xfId="0" applyNumberFormat="1" applyFont="1" applyBorder="1" applyAlignment="1" applyProtection="1">
      <alignment horizontal="center" vertical="center"/>
      <protection locked="0"/>
    </xf>
    <xf numFmtId="0" fontId="146" fillId="0" borderId="1" xfId="0" applyFont="1" applyBorder="1" applyAlignment="1" applyProtection="1">
      <alignment horizontal="center" vertical="center"/>
      <protection locked="0"/>
    </xf>
    <xf numFmtId="14" fontId="146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46" fillId="0" borderId="1" xfId="0" applyFont="1" applyBorder="1" applyAlignment="1" applyProtection="1">
      <alignment horizontal="right" vertical="center"/>
      <protection locked="0"/>
    </xf>
    <xf numFmtId="167" fontId="146" fillId="0" borderId="1" xfId="10" applyNumberFormat="1" applyFont="1" applyBorder="1" applyAlignment="1" applyProtection="1">
      <alignment vertical="center"/>
      <protection locked="0"/>
    </xf>
    <xf numFmtId="166" fontId="0" fillId="0" borderId="1" xfId="10" applyFont="1" applyBorder="1" applyProtection="1">
      <protection locked="0"/>
    </xf>
    <xf numFmtId="166" fontId="0" fillId="0" borderId="1" xfId="10" applyFont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49" fontId="146" fillId="0" borderId="40" xfId="528" applyNumberFormat="1" applyFont="1" applyFill="1" applyBorder="1" applyAlignment="1" applyProtection="1">
      <alignment horizontal="center" vertical="center" wrapText="1"/>
    </xf>
    <xf numFmtId="49" fontId="161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146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146" fillId="0" borderId="40" xfId="0" applyNumberFormat="1" applyFont="1" applyFill="1" applyBorder="1" applyAlignment="1" applyProtection="1">
      <alignment horizontal="center" vertical="center" wrapText="1"/>
    </xf>
    <xf numFmtId="177" fontId="57" fillId="26" borderId="40" xfId="587" applyNumberFormat="1" applyFont="1" applyFill="1" applyBorder="1" applyAlignment="1" applyProtection="1">
      <alignment horizontal="right" vertical="center"/>
      <protection locked="0"/>
    </xf>
    <xf numFmtId="49" fontId="138" fillId="0" borderId="40" xfId="3" applyNumberFormat="1" applyFont="1" applyBorder="1" applyAlignment="1" applyProtection="1">
      <alignment horizontal="center" vertical="center" wrapText="1"/>
      <protection locked="0"/>
    </xf>
    <xf numFmtId="0" fontId="162" fillId="28" borderId="1" xfId="533" applyFont="1" applyFill="1" applyBorder="1" applyAlignment="1" applyProtection="1">
      <alignment horizontal="center" vertical="center" wrapText="1"/>
    </xf>
    <xf numFmtId="0" fontId="163" fillId="13" borderId="1" xfId="528" applyFont="1" applyFill="1" applyBorder="1" applyAlignment="1" applyProtection="1">
      <alignment horizontal="center" vertical="center" wrapText="1"/>
    </xf>
    <xf numFmtId="0" fontId="155" fillId="0" borderId="1" xfId="0" applyFont="1" applyBorder="1" applyAlignment="1" applyProtection="1">
      <alignment horizontal="center" vertical="center"/>
      <protection locked="0"/>
    </xf>
    <xf numFmtId="176" fontId="164" fillId="0" borderId="0" xfId="0" applyNumberFormat="1" applyFont="1" applyAlignment="1">
      <alignment horizontal="center" vertical="center"/>
    </xf>
    <xf numFmtId="0" fontId="156" fillId="0" borderId="1" xfId="0" applyFont="1" applyFill="1" applyBorder="1" applyAlignment="1" applyProtection="1">
      <alignment horizontal="center" vertical="center"/>
      <protection locked="0"/>
    </xf>
    <xf numFmtId="0" fontId="156" fillId="0" borderId="1" xfId="0" applyFont="1" applyFill="1" applyBorder="1" applyAlignment="1" applyProtection="1">
      <alignment horizontal="center" vertical="center" wrapText="1"/>
      <protection locked="0"/>
    </xf>
    <xf numFmtId="14" fontId="15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156" fillId="0" borderId="1" xfId="585" applyNumberFormat="1" applyFont="1" applyFill="1" applyBorder="1" applyAlignment="1" applyProtection="1">
      <alignment vertical="center" wrapText="1"/>
      <protection locked="0"/>
    </xf>
    <xf numFmtId="164" fontId="165" fillId="0" borderId="1" xfId="13" applyNumberFormat="1" applyFont="1" applyFill="1" applyBorder="1" applyAlignment="1" applyProtection="1">
      <alignment horizontal="center" vertical="center" wrapText="1"/>
      <protection locked="0"/>
    </xf>
    <xf numFmtId="176" fontId="156" fillId="26" borderId="1" xfId="0" applyNumberFormat="1" applyFont="1" applyFill="1" applyBorder="1" applyAlignment="1" applyProtection="1">
      <alignment horizontal="center" vertical="center"/>
      <protection locked="0"/>
    </xf>
    <xf numFmtId="0" fontId="156" fillId="26" borderId="1" xfId="0" applyFont="1" applyFill="1" applyBorder="1" applyAlignment="1" applyProtection="1">
      <alignment horizontal="center" vertical="center"/>
      <protection locked="0"/>
    </xf>
    <xf numFmtId="0" fontId="155" fillId="26" borderId="1" xfId="0" applyFont="1" applyFill="1" applyBorder="1" applyAlignment="1" applyProtection="1">
      <alignment horizontal="center" vertical="center" wrapText="1"/>
      <protection locked="0"/>
    </xf>
    <xf numFmtId="14" fontId="155" fillId="26" borderId="7" xfId="0" applyNumberFormat="1" applyFont="1" applyFill="1" applyBorder="1" applyAlignment="1" applyProtection="1">
      <alignment horizontal="center" vertical="center" readingOrder="1"/>
      <protection locked="0"/>
    </xf>
    <xf numFmtId="0" fontId="155" fillId="26" borderId="7" xfId="0" applyFont="1" applyFill="1" applyBorder="1" applyAlignment="1" applyProtection="1">
      <alignment horizontal="center" vertical="justify"/>
      <protection locked="0"/>
    </xf>
    <xf numFmtId="2" fontId="155" fillId="26" borderId="1" xfId="10" applyNumberFormat="1" applyFont="1" applyFill="1" applyBorder="1" applyAlignment="1" applyProtection="1">
      <alignment vertical="center"/>
      <protection locked="0"/>
    </xf>
    <xf numFmtId="0" fontId="165" fillId="26" borderId="1" xfId="13" applyFont="1" applyFill="1" applyBorder="1" applyAlignment="1" applyProtection="1">
      <alignment horizontal="center"/>
      <protection locked="0"/>
    </xf>
    <xf numFmtId="176" fontId="156" fillId="26" borderId="1" xfId="0" applyNumberFormat="1" applyFont="1" applyFill="1" applyBorder="1" applyAlignment="1" applyProtection="1">
      <alignment horizontal="center" vertical="justify"/>
      <protection locked="0"/>
    </xf>
    <xf numFmtId="0" fontId="156" fillId="26" borderId="1" xfId="0" applyFont="1" applyFill="1" applyBorder="1" applyAlignment="1" applyProtection="1">
      <alignment horizontal="center" vertical="center" wrapText="1"/>
      <protection locked="0"/>
    </xf>
    <xf numFmtId="49" fontId="156" fillId="26" borderId="1" xfId="528" applyNumberFormat="1" applyFont="1" applyFill="1" applyBorder="1" applyAlignment="1" applyProtection="1">
      <alignment horizontal="center" vertical="center" wrapText="1" readingOrder="1"/>
      <protection locked="0"/>
    </xf>
    <xf numFmtId="2" fontId="156" fillId="26" borderId="1" xfId="585" applyNumberFormat="1" applyFont="1" applyFill="1" applyBorder="1" applyAlignment="1" applyProtection="1">
      <alignment vertical="center" wrapText="1"/>
      <protection locked="0"/>
    </xf>
    <xf numFmtId="164" fontId="165" fillId="26" borderId="1" xfId="13" applyNumberFormat="1" applyFont="1" applyFill="1" applyBorder="1" applyAlignment="1" applyProtection="1">
      <alignment horizontal="center" vertical="center" wrapText="1"/>
      <protection locked="0"/>
    </xf>
    <xf numFmtId="0" fontId="155" fillId="0" borderId="1" xfId="0" applyFont="1" applyBorder="1" applyAlignment="1" applyProtection="1">
      <alignment horizontal="center" vertical="center" wrapText="1"/>
      <protection locked="0"/>
    </xf>
    <xf numFmtId="14" fontId="155" fillId="0" borderId="7" xfId="0" applyNumberFormat="1" applyFont="1" applyBorder="1" applyAlignment="1" applyProtection="1">
      <alignment horizontal="center" vertical="center" readingOrder="1"/>
      <protection locked="0"/>
    </xf>
    <xf numFmtId="2" fontId="155" fillId="0" borderId="1" xfId="0" applyNumberFormat="1" applyFont="1" applyBorder="1" applyAlignment="1" applyProtection="1">
      <alignment vertical="center"/>
      <protection locked="0"/>
    </xf>
    <xf numFmtId="0" fontId="165" fillId="0" borderId="1" xfId="13" applyFont="1" applyBorder="1" applyAlignment="1" applyProtection="1">
      <alignment horizontal="center" vertical="center"/>
      <protection locked="0"/>
    </xf>
    <xf numFmtId="176" fontId="156" fillId="0" borderId="1" xfId="0" applyNumberFormat="1" applyFont="1" applyFill="1" applyBorder="1" applyAlignment="1" applyProtection="1">
      <alignment horizontal="center" vertical="center"/>
      <protection locked="0"/>
    </xf>
    <xf numFmtId="49" fontId="156" fillId="0" borderId="1" xfId="0" applyNumberFormat="1" applyFont="1" applyFill="1" applyBorder="1" applyAlignment="1" applyProtection="1">
      <alignment horizontal="center"/>
      <protection locked="0"/>
    </xf>
    <xf numFmtId="49" fontId="156" fillId="0" borderId="1" xfId="528" applyNumberFormat="1" applyFont="1" applyFill="1" applyBorder="1" applyAlignment="1" applyProtection="1">
      <alignment horizontal="center" vertical="center" wrapText="1" readingOrder="1"/>
      <protection locked="0"/>
    </xf>
    <xf numFmtId="49" fontId="156" fillId="0" borderId="1" xfId="596" applyNumberFormat="1" applyFont="1" applyFill="1" applyBorder="1" applyAlignment="1" applyProtection="1">
      <alignment horizontal="center" vertical="center" wrapText="1"/>
      <protection locked="0"/>
    </xf>
    <xf numFmtId="0" fontId="156" fillId="0" borderId="1" xfId="0" applyFont="1" applyFill="1" applyBorder="1" applyAlignment="1" applyProtection="1">
      <alignment horizontal="center"/>
      <protection locked="0"/>
    </xf>
    <xf numFmtId="14" fontId="156" fillId="0" borderId="1" xfId="597" applyNumberFormat="1" applyFont="1" applyFill="1" applyBorder="1" applyAlignment="1" applyProtection="1">
      <alignment horizontal="center" vertical="center" wrapText="1" readingOrder="1"/>
      <protection locked="0"/>
    </xf>
    <xf numFmtId="2" fontId="156" fillId="0" borderId="1" xfId="585" applyNumberFormat="1" applyFont="1" applyFill="1" applyBorder="1" applyAlignment="1" applyProtection="1">
      <alignment horizontal="right" vertical="center" wrapText="1"/>
      <protection locked="0"/>
    </xf>
    <xf numFmtId="176" fontId="155" fillId="0" borderId="1" xfId="0" applyNumberFormat="1" applyFont="1" applyFill="1" applyBorder="1" applyAlignment="1" applyProtection="1">
      <alignment horizontal="center" vertical="center"/>
      <protection locked="0"/>
    </xf>
    <xf numFmtId="0" fontId="156" fillId="0" borderId="1" xfId="0" applyFont="1" applyFill="1" applyBorder="1" applyAlignment="1" applyProtection="1">
      <alignment horizontal="center" vertical="justify"/>
      <protection locked="0"/>
    </xf>
    <xf numFmtId="176" fontId="166" fillId="26" borderId="1" xfId="0" applyNumberFormat="1" applyFont="1" applyFill="1" applyBorder="1" applyAlignment="1" applyProtection="1">
      <alignment horizontal="center" vertical="center"/>
      <protection locked="0"/>
    </xf>
    <xf numFmtId="176" fontId="156" fillId="0" borderId="1" xfId="0" applyNumberFormat="1" applyFont="1" applyBorder="1" applyAlignment="1" applyProtection="1">
      <alignment horizontal="center" vertical="center"/>
      <protection locked="0"/>
    </xf>
    <xf numFmtId="14" fontId="155" fillId="0" borderId="1" xfId="0" applyNumberFormat="1" applyFont="1" applyBorder="1" applyAlignment="1" applyProtection="1">
      <alignment horizontal="center" vertical="center" readingOrder="1"/>
      <protection locked="0"/>
    </xf>
    <xf numFmtId="14" fontId="155" fillId="0" borderId="1" xfId="0" applyNumberFormat="1" applyFont="1" applyBorder="1" applyAlignment="1" applyProtection="1">
      <alignment horizontal="center" vertical="center"/>
      <protection locked="0"/>
    </xf>
    <xf numFmtId="0" fontId="165" fillId="0" borderId="1" xfId="13" applyFont="1" applyBorder="1" applyAlignment="1" applyProtection="1">
      <alignment horizontal="center" vertical="center" wrapText="1"/>
      <protection locked="0"/>
    </xf>
    <xf numFmtId="49" fontId="156" fillId="0" borderId="1" xfId="0" applyNumberFormat="1" applyFont="1" applyBorder="1" applyAlignment="1" applyProtection="1">
      <alignment horizontal="center" vertical="center"/>
      <protection locked="0"/>
    </xf>
    <xf numFmtId="14" fontId="155" fillId="0" borderId="8" xfId="0" applyNumberFormat="1" applyFont="1" applyBorder="1" applyAlignment="1" applyProtection="1">
      <alignment horizontal="center" vertical="center" readingOrder="1"/>
      <protection locked="0"/>
    </xf>
    <xf numFmtId="2" fontId="155" fillId="0" borderId="1" xfId="10" applyNumberFormat="1" applyFont="1" applyFill="1" applyBorder="1" applyAlignment="1" applyProtection="1">
      <alignment vertical="center"/>
      <protection locked="0"/>
    </xf>
    <xf numFmtId="0" fontId="54" fillId="0" borderId="1" xfId="13" applyBorder="1" applyAlignment="1" applyProtection="1">
      <alignment horizontal="center" vertical="center" wrapText="1"/>
      <protection locked="0"/>
    </xf>
    <xf numFmtId="0" fontId="155" fillId="0" borderId="1" xfId="0" applyFont="1" applyBorder="1" applyAlignment="1" applyProtection="1">
      <alignment horizontal="center"/>
      <protection locked="0"/>
    </xf>
    <xf numFmtId="176" fontId="156" fillId="0" borderId="1" xfId="0" applyNumberFormat="1" applyFont="1" applyFill="1" applyBorder="1" applyAlignment="1" applyProtection="1">
      <alignment horizontal="center"/>
      <protection locked="0"/>
    </xf>
    <xf numFmtId="0" fontId="155" fillId="0" borderId="1" xfId="0" applyFont="1" applyBorder="1" applyAlignment="1" applyProtection="1">
      <alignment horizontal="center" wrapText="1"/>
      <protection locked="0"/>
    </xf>
    <xf numFmtId="14" fontId="155" fillId="0" borderId="8" xfId="0" applyNumberFormat="1" applyFont="1" applyBorder="1" applyAlignment="1" applyProtection="1">
      <alignment horizontal="center"/>
      <protection locked="0"/>
    </xf>
    <xf numFmtId="14" fontId="155" fillId="0" borderId="7" xfId="0" applyNumberFormat="1" applyFont="1" applyBorder="1" applyAlignment="1" applyProtection="1">
      <alignment horizontal="center"/>
      <protection locked="0"/>
    </xf>
    <xf numFmtId="2" fontId="155" fillId="0" borderId="1" xfId="0" applyNumberFormat="1" applyFont="1" applyBorder="1" applyAlignment="1" applyProtection="1">
      <protection locked="0"/>
    </xf>
    <xf numFmtId="0" fontId="165" fillId="0" borderId="1" xfId="13" applyFont="1" applyBorder="1" applyAlignment="1" applyProtection="1">
      <alignment horizontal="center" wrapText="1"/>
      <protection locked="0"/>
    </xf>
    <xf numFmtId="176" fontId="156" fillId="0" borderId="1" xfId="0" applyNumberFormat="1" applyFont="1" applyFill="1" applyBorder="1" applyAlignment="1" applyProtection="1">
      <alignment horizontal="center" vertical="justify"/>
      <protection locked="0"/>
    </xf>
    <xf numFmtId="0" fontId="155" fillId="0" borderId="1" xfId="0" applyFont="1" applyBorder="1" applyAlignment="1" applyProtection="1">
      <alignment horizontal="center" vertical="justify" wrapText="1"/>
      <protection locked="0"/>
    </xf>
    <xf numFmtId="0" fontId="155" fillId="0" borderId="7" xfId="0" applyFont="1" applyBorder="1" applyAlignment="1" applyProtection="1">
      <alignment horizontal="center" vertical="justify"/>
      <protection locked="0"/>
    </xf>
    <xf numFmtId="0" fontId="165" fillId="0" borderId="1" xfId="13" applyFont="1" applyBorder="1" applyAlignment="1" applyProtection="1">
      <alignment horizontal="center"/>
      <protection locked="0"/>
    </xf>
    <xf numFmtId="0" fontId="155" fillId="0" borderId="6" xfId="0" applyFont="1" applyBorder="1" applyAlignment="1" applyProtection="1">
      <alignment horizontal="center" vertical="justify"/>
      <protection locked="0"/>
    </xf>
    <xf numFmtId="2" fontId="155" fillId="0" borderId="5" xfId="10" applyNumberFormat="1" applyFont="1" applyFill="1" applyBorder="1" applyAlignment="1" applyProtection="1">
      <alignment vertical="center"/>
      <protection locked="0"/>
    </xf>
    <xf numFmtId="0" fontId="165" fillId="0" borderId="5" xfId="13" applyFont="1" applyBorder="1" applyAlignment="1" applyProtection="1">
      <alignment horizontal="center"/>
      <protection locked="0"/>
    </xf>
    <xf numFmtId="14" fontId="155" fillId="26" borderId="8" xfId="0" applyNumberFormat="1" applyFont="1" applyFill="1" applyBorder="1" applyAlignment="1" applyProtection="1">
      <alignment horizontal="center" vertical="center" readingOrder="1"/>
      <protection locked="0"/>
    </xf>
    <xf numFmtId="2" fontId="155" fillId="26" borderId="5" xfId="10" applyNumberFormat="1" applyFont="1" applyFill="1" applyBorder="1" applyAlignment="1" applyProtection="1">
      <alignment vertical="center"/>
      <protection locked="0"/>
    </xf>
    <xf numFmtId="0" fontId="165" fillId="26" borderId="1" xfId="13" applyFont="1" applyFill="1" applyBorder="1" applyAlignment="1" applyProtection="1">
      <alignment horizontal="center" vertical="center"/>
      <protection locked="0"/>
    </xf>
    <xf numFmtId="0" fontId="157" fillId="0" borderId="1" xfId="528" applyFont="1" applyFill="1" applyBorder="1" applyAlignment="1" applyProtection="1">
      <alignment horizontal="center" vertical="center"/>
      <protection locked="0"/>
    </xf>
    <xf numFmtId="0" fontId="157" fillId="0" borderId="1" xfId="528" applyFont="1" applyFill="1" applyBorder="1" applyAlignment="1" applyProtection="1">
      <alignment horizontal="center" vertical="center" wrapText="1"/>
      <protection locked="0"/>
    </xf>
    <xf numFmtId="49" fontId="156" fillId="0" borderId="1" xfId="0" applyNumberFormat="1" applyFont="1" applyFill="1" applyBorder="1" applyAlignment="1" applyProtection="1">
      <alignment horizontal="center" vertical="center" readingOrder="1"/>
      <protection locked="0"/>
    </xf>
    <xf numFmtId="49" fontId="165" fillId="0" borderId="1" xfId="13" applyNumberFormat="1" applyFont="1" applyFill="1" applyBorder="1" applyAlignment="1" applyProtection="1">
      <alignment horizontal="center" vertical="center"/>
      <protection locked="0"/>
    </xf>
    <xf numFmtId="0" fontId="165" fillId="0" borderId="1" xfId="13" applyFont="1" applyBorder="1" applyAlignment="1">
      <alignment horizontal="center"/>
    </xf>
    <xf numFmtId="49" fontId="155" fillId="0" borderId="1" xfId="0" applyNumberFormat="1" applyFont="1" applyBorder="1" applyAlignment="1">
      <alignment horizontal="center" vertical="center"/>
    </xf>
    <xf numFmtId="0" fontId="155" fillId="0" borderId="1" xfId="0" applyFont="1" applyFill="1" applyBorder="1" applyAlignment="1">
      <alignment horizontal="center" vertical="center"/>
    </xf>
    <xf numFmtId="0" fontId="155" fillId="0" borderId="1" xfId="0" applyFont="1" applyBorder="1" applyAlignment="1">
      <alignment horizontal="center" vertical="center" wrapText="1"/>
    </xf>
    <xf numFmtId="14" fontId="155" fillId="0" borderId="7" xfId="0" applyNumberFormat="1" applyFont="1" applyBorder="1" applyAlignment="1">
      <alignment horizontal="center" vertical="center"/>
    </xf>
    <xf numFmtId="0" fontId="155" fillId="0" borderId="1" xfId="0" applyFont="1" applyBorder="1" applyAlignment="1" applyProtection="1">
      <alignment horizontal="justify" vertical="center"/>
      <protection locked="0"/>
    </xf>
    <xf numFmtId="2" fontId="155" fillId="0" borderId="1" xfId="0" applyNumberFormat="1" applyFont="1" applyBorder="1" applyAlignment="1">
      <alignment horizontal="right" vertical="center"/>
    </xf>
    <xf numFmtId="0" fontId="165" fillId="0" borderId="1" xfId="13" applyFont="1" applyBorder="1" applyAlignment="1">
      <alignment horizontal="justify" vertical="center"/>
    </xf>
    <xf numFmtId="49" fontId="155" fillId="0" borderId="1" xfId="0" applyNumberFormat="1" applyFont="1" applyBorder="1" applyAlignment="1" applyProtection="1">
      <alignment horizontal="center"/>
      <protection locked="0"/>
    </xf>
    <xf numFmtId="49" fontId="155" fillId="0" borderId="1" xfId="0" applyNumberFormat="1" applyFont="1" applyBorder="1" applyProtection="1">
      <protection locked="0"/>
    </xf>
    <xf numFmtId="49" fontId="155" fillId="0" borderId="1" xfId="0" applyNumberFormat="1" applyFont="1" applyBorder="1" applyAlignment="1" applyProtection="1">
      <alignment horizontal="right"/>
      <protection locked="0"/>
    </xf>
    <xf numFmtId="49" fontId="165" fillId="0" borderId="1" xfId="13" applyNumberFormat="1" applyFont="1" applyBorder="1" applyAlignment="1" applyProtection="1">
      <alignment horizontal="center"/>
      <protection locked="0"/>
    </xf>
    <xf numFmtId="49" fontId="155" fillId="26" borderId="1" xfId="0" applyNumberFormat="1" applyFont="1" applyFill="1" applyBorder="1" applyAlignment="1" applyProtection="1">
      <alignment horizontal="center"/>
      <protection locked="0"/>
    </xf>
    <xf numFmtId="0" fontId="155" fillId="26" borderId="1" xfId="0" applyFont="1" applyFill="1" applyBorder="1" applyAlignment="1" applyProtection="1">
      <alignment horizontal="center"/>
      <protection locked="0"/>
    </xf>
    <xf numFmtId="0" fontId="155" fillId="26" borderId="1" xfId="0" applyFont="1" applyFill="1" applyBorder="1" applyAlignment="1" applyProtection="1">
      <alignment horizontal="center" wrapText="1"/>
      <protection locked="0"/>
    </xf>
    <xf numFmtId="14" fontId="155" fillId="26" borderId="1" xfId="0" applyNumberFormat="1" applyFont="1" applyFill="1" applyBorder="1" applyAlignment="1" applyProtection="1">
      <alignment horizontal="center" readingOrder="1"/>
      <protection locked="0"/>
    </xf>
    <xf numFmtId="0" fontId="155" fillId="26" borderId="1" xfId="0" applyFont="1" applyFill="1" applyBorder="1" applyProtection="1">
      <protection locked="0"/>
    </xf>
    <xf numFmtId="49" fontId="155" fillId="26" borderId="1" xfId="0" applyNumberFormat="1" applyFont="1" applyFill="1" applyBorder="1" applyAlignment="1" applyProtection="1">
      <alignment horizontal="right"/>
      <protection locked="0"/>
    </xf>
    <xf numFmtId="0" fontId="54" fillId="26" borderId="1" xfId="13" applyFill="1" applyBorder="1" applyProtection="1">
      <protection locked="0"/>
    </xf>
    <xf numFmtId="176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7" fillId="0" borderId="1" xfId="528" applyFont="1" applyFill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0" fontId="54" fillId="0" borderId="1" xfId="13" applyBorder="1" applyAlignment="1">
      <alignment horizontal="center"/>
    </xf>
    <xf numFmtId="49" fontId="138" fillId="0" borderId="40" xfId="0" applyNumberFormat="1" applyFont="1" applyBorder="1" applyAlignment="1">
      <alignment horizontal="center" vertical="justify"/>
    </xf>
    <xf numFmtId="14" fontId="138" fillId="0" borderId="7" xfId="0" applyNumberFormat="1" applyFont="1" applyBorder="1" applyAlignment="1">
      <alignment horizontal="center" vertical="center"/>
    </xf>
    <xf numFmtId="49" fontId="53" fillId="0" borderId="40" xfId="528" applyNumberFormat="1" applyFont="1" applyFill="1" applyBorder="1" applyAlignment="1" applyProtection="1">
      <alignment horizontal="center" vertical="center"/>
      <protection locked="0"/>
    </xf>
    <xf numFmtId="167" fontId="138" fillId="0" borderId="40" xfId="10" applyNumberFormat="1" applyFont="1" applyFill="1" applyBorder="1" applyAlignment="1">
      <alignment horizontal="right" vertical="center"/>
    </xf>
    <xf numFmtId="49" fontId="138" fillId="0" borderId="40" xfId="0" applyNumberFormat="1" applyFont="1" applyBorder="1" applyAlignment="1">
      <alignment horizontal="center" vertical="center"/>
    </xf>
    <xf numFmtId="0" fontId="138" fillId="0" borderId="40" xfId="0" applyFont="1" applyBorder="1" applyAlignment="1">
      <alignment horizontal="center" vertical="center"/>
    </xf>
    <xf numFmtId="2" fontId="137" fillId="0" borderId="40" xfId="585" applyNumberFormat="1" applyFont="1" applyFill="1" applyBorder="1" applyAlignment="1" applyProtection="1">
      <alignment vertical="center" wrapText="1"/>
      <protection locked="0"/>
    </xf>
    <xf numFmtId="176" fontId="137" fillId="0" borderId="40" xfId="0" applyNumberFormat="1" applyFont="1" applyFill="1" applyBorder="1" applyAlignment="1" applyProtection="1">
      <alignment horizontal="center" vertical="center"/>
      <protection locked="0"/>
    </xf>
    <xf numFmtId="0" fontId="137" fillId="0" borderId="40" xfId="0" applyFont="1" applyFill="1" applyBorder="1" applyAlignment="1" applyProtection="1">
      <alignment horizontal="center" vertical="center"/>
      <protection locked="0"/>
    </xf>
    <xf numFmtId="14" fontId="138" fillId="0" borderId="40" xfId="0" applyNumberFormat="1" applyFont="1" applyBorder="1" applyAlignment="1" applyProtection="1">
      <alignment horizontal="center" vertical="center"/>
      <protection locked="0"/>
    </xf>
    <xf numFmtId="0" fontId="138" fillId="0" borderId="40" xfId="0" applyFont="1" applyFill="1" applyBorder="1" applyAlignment="1">
      <alignment horizontal="center" vertical="justify"/>
    </xf>
    <xf numFmtId="2" fontId="138" fillId="0" borderId="40" xfId="10" applyNumberFormat="1" applyFont="1" applyFill="1" applyBorder="1" applyAlignment="1">
      <alignment horizontal="right" vertical="center"/>
    </xf>
    <xf numFmtId="0" fontId="138" fillId="0" borderId="40" xfId="0" applyFont="1" applyFill="1" applyBorder="1" applyAlignment="1">
      <alignment horizontal="center" vertical="center"/>
    </xf>
    <xf numFmtId="2" fontId="138" fillId="0" borderId="40" xfId="0" applyNumberFormat="1" applyFont="1" applyBorder="1" applyAlignment="1">
      <alignment horizontal="right" vertical="center"/>
    </xf>
    <xf numFmtId="176" fontId="146" fillId="0" borderId="40" xfId="0" applyNumberFormat="1" applyFont="1" applyFill="1" applyBorder="1" applyAlignment="1" applyProtection="1">
      <alignment horizontal="center"/>
      <protection locked="0"/>
    </xf>
    <xf numFmtId="0" fontId="138" fillId="26" borderId="40" xfId="0" applyFont="1" applyFill="1" applyBorder="1" applyAlignment="1" applyProtection="1">
      <alignment horizontal="center" vertical="center"/>
      <protection locked="0"/>
    </xf>
    <xf numFmtId="49" fontId="137" fillId="0" borderId="40" xfId="0" applyNumberFormat="1" applyFont="1" applyFill="1" applyBorder="1" applyAlignment="1" applyProtection="1">
      <alignment horizontal="center" vertical="center"/>
      <protection locked="0"/>
    </xf>
    <xf numFmtId="49" fontId="143" fillId="0" borderId="40" xfId="528" applyNumberFormat="1" applyFont="1" applyFill="1" applyBorder="1" applyAlignment="1" applyProtection="1">
      <alignment horizontal="center" vertical="center" wrapText="1"/>
      <protection locked="0"/>
    </xf>
    <xf numFmtId="0" fontId="138" fillId="26" borderId="40" xfId="0" applyFont="1" applyFill="1" applyBorder="1" applyAlignment="1" applyProtection="1">
      <alignment horizontal="center" wrapText="1"/>
      <protection locked="0"/>
    </xf>
    <xf numFmtId="49" fontId="53" fillId="0" borderId="40" xfId="0" applyNumberFormat="1" applyFont="1" applyFill="1" applyBorder="1" applyAlignment="1" applyProtection="1">
      <alignment horizontal="center" vertical="center"/>
      <protection locked="0"/>
    </xf>
    <xf numFmtId="49" fontId="138" fillId="26" borderId="40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/>
    </xf>
    <xf numFmtId="2" fontId="143" fillId="0" borderId="40" xfId="533" applyNumberFormat="1" applyFont="1" applyFill="1" applyBorder="1" applyAlignment="1" applyProtection="1">
      <alignment horizontal="center" vertical="center"/>
      <protection locked="0"/>
    </xf>
    <xf numFmtId="49" fontId="143" fillId="0" borderId="40" xfId="533" applyNumberFormat="1" applyFont="1" applyFill="1" applyBorder="1" applyAlignment="1" applyProtection="1">
      <alignment horizontal="center" vertical="center"/>
      <protection locked="0"/>
    </xf>
    <xf numFmtId="2" fontId="143" fillId="0" borderId="40" xfId="595" applyNumberFormat="1" applyFont="1" applyFill="1" applyBorder="1" applyAlignment="1" applyProtection="1">
      <alignment horizontal="right" vertical="center"/>
    </xf>
    <xf numFmtId="2" fontId="138" fillId="0" borderId="40" xfId="595" applyNumberFormat="1" applyFont="1" applyFill="1" applyBorder="1" applyAlignment="1" applyProtection="1">
      <alignment horizontal="right" vertical="center"/>
    </xf>
    <xf numFmtId="2" fontId="143" fillId="0" borderId="40" xfId="587" applyNumberFormat="1" applyFont="1" applyFill="1" applyBorder="1" applyAlignment="1" applyProtection="1">
      <alignment horizontal="right" vertical="center"/>
    </xf>
    <xf numFmtId="2" fontId="137" fillId="0" borderId="40" xfId="595" applyNumberFormat="1" applyFont="1" applyFill="1" applyBorder="1" applyAlignment="1" applyProtection="1">
      <alignment horizontal="center" vertical="center"/>
    </xf>
    <xf numFmtId="2" fontId="137" fillId="0" borderId="40" xfId="595" applyNumberFormat="1" applyFont="1" applyFill="1" applyBorder="1" applyAlignment="1" applyProtection="1">
      <alignment horizontal="right" vertical="center"/>
    </xf>
    <xf numFmtId="4" fontId="143" fillId="0" borderId="40" xfId="533" applyNumberFormat="1" applyFont="1" applyFill="1" applyBorder="1" applyAlignment="1" applyProtection="1">
      <alignment horizontal="center" vertical="center"/>
      <protection locked="0"/>
    </xf>
    <xf numFmtId="49" fontId="60" fillId="0" borderId="40" xfId="533" applyNumberFormat="1" applyFont="1" applyFill="1" applyBorder="1" applyAlignment="1" applyProtection="1">
      <alignment horizontal="center" vertical="center"/>
      <protection locked="0"/>
    </xf>
    <xf numFmtId="167" fontId="60" fillId="0" borderId="40" xfId="587" applyNumberFormat="1" applyFont="1" applyFill="1" applyBorder="1" applyAlignment="1" applyProtection="1">
      <alignment horizontal="right" vertical="center"/>
    </xf>
    <xf numFmtId="0" fontId="61" fillId="0" borderId="0" xfId="533" applyFont="1" applyFill="1" applyBorder="1" applyAlignment="1" applyProtection="1">
      <alignment vertical="center"/>
      <protection locked="0"/>
    </xf>
    <xf numFmtId="0" fontId="58" fillId="0" borderId="0" xfId="533" applyFont="1" applyFill="1" applyBorder="1" applyAlignment="1" applyProtection="1">
      <alignment horizontal="center" vertical="center"/>
      <protection locked="0"/>
    </xf>
    <xf numFmtId="1" fontId="61" fillId="0" borderId="0" xfId="533" applyNumberFormat="1" applyFont="1" applyFill="1" applyBorder="1" applyAlignment="1" applyProtection="1">
      <alignment horizontal="center" vertical="center"/>
      <protection locked="0"/>
    </xf>
    <xf numFmtId="173" fontId="61" fillId="0" borderId="0" xfId="587" applyNumberFormat="1" applyFont="1" applyFill="1" applyBorder="1" applyAlignment="1" applyProtection="1">
      <alignment horizontal="center" vertical="center"/>
      <protection locked="0"/>
    </xf>
    <xf numFmtId="166" fontId="0" fillId="0" borderId="40" xfId="10" applyFont="1" applyBorder="1" applyAlignment="1" applyProtection="1">
      <alignment horizontal="center"/>
      <protection locked="0"/>
    </xf>
    <xf numFmtId="166" fontId="0" fillId="0" borderId="40" xfId="10" applyFont="1" applyBorder="1" applyProtection="1">
      <protection locked="0"/>
    </xf>
    <xf numFmtId="49" fontId="137" fillId="26" borderId="1" xfId="0" applyNumberFormat="1" applyFont="1" applyFill="1" applyBorder="1" applyAlignment="1" applyProtection="1">
      <alignment horizontal="center" vertical="center" wrapText="1"/>
      <protection locked="0"/>
    </xf>
    <xf numFmtId="0" fontId="138" fillId="26" borderId="1" xfId="0" applyFont="1" applyFill="1" applyBorder="1" applyAlignment="1">
      <alignment horizontal="center" vertical="center" wrapText="1"/>
    </xf>
    <xf numFmtId="0" fontId="137" fillId="26" borderId="1" xfId="0" applyFont="1" applyFill="1" applyBorder="1" applyAlignment="1">
      <alignment horizontal="center" vertical="center" wrapText="1"/>
    </xf>
    <xf numFmtId="49" fontId="137" fillId="26" borderId="2" xfId="0" applyNumberFormat="1" applyFont="1" applyFill="1" applyBorder="1" applyAlignment="1" applyProtection="1">
      <alignment horizontal="center" vertical="center"/>
      <protection locked="0"/>
    </xf>
    <xf numFmtId="49" fontId="137" fillId="26" borderId="4" xfId="580" applyNumberFormat="1" applyFont="1" applyFill="1" applyBorder="1" applyAlignment="1" applyProtection="1">
      <alignment horizontal="right" vertical="center" wrapText="1"/>
    </xf>
    <xf numFmtId="0" fontId="138" fillId="26" borderId="0" xfId="0" applyFont="1" applyFill="1" applyAlignment="1">
      <alignment horizontal="center"/>
    </xf>
    <xf numFmtId="0" fontId="167" fillId="26" borderId="0" xfId="0" applyFont="1" applyFill="1" applyAlignment="1">
      <alignment horizontal="center" vertical="center" wrapText="1"/>
    </xf>
    <xf numFmtId="49" fontId="137" fillId="0" borderId="40" xfId="0" applyNumberFormat="1" applyFont="1" applyBorder="1" applyAlignment="1" applyProtection="1">
      <alignment horizontal="center" vertical="center"/>
      <protection locked="0"/>
    </xf>
    <xf numFmtId="0" fontId="137" fillId="0" borderId="40" xfId="0" applyFont="1" applyBorder="1" applyAlignment="1" applyProtection="1">
      <alignment horizontal="center" vertical="center"/>
      <protection locked="0"/>
    </xf>
    <xf numFmtId="14" fontId="137" fillId="0" borderId="40" xfId="0" applyNumberFormat="1" applyFont="1" applyBorder="1" applyAlignment="1" applyProtection="1">
      <alignment horizontal="center" vertical="center"/>
      <protection locked="0"/>
    </xf>
    <xf numFmtId="0" fontId="138" fillId="0" borderId="40" xfId="0" applyFont="1" applyBorder="1" applyAlignment="1">
      <alignment horizontal="center"/>
    </xf>
    <xf numFmtId="180" fontId="137" fillId="0" borderId="40" xfId="10" applyNumberFormat="1" applyFont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2" fontId="143" fillId="0" borderId="40" xfId="587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/>
    </xf>
    <xf numFmtId="0" fontId="60" fillId="0" borderId="0" xfId="533" applyFont="1" applyBorder="1" applyAlignment="1" applyProtection="1">
      <alignment horizontal="left" vertical="center"/>
      <protection locked="0"/>
    </xf>
    <xf numFmtId="0" fontId="60" fillId="0" borderId="0" xfId="533" applyFont="1" applyBorder="1" applyAlignment="1" applyProtection="1">
      <alignment vertical="center"/>
      <protection locked="0"/>
    </xf>
    <xf numFmtId="0" fontId="60" fillId="0" borderId="0" xfId="508" applyFont="1" applyProtection="1">
      <protection locked="0"/>
    </xf>
    <xf numFmtId="0" fontId="137" fillId="26" borderId="40" xfId="533" applyFont="1" applyFill="1" applyBorder="1" applyAlignment="1" applyProtection="1">
      <alignment horizontal="center" vertical="center"/>
      <protection locked="0"/>
    </xf>
    <xf numFmtId="49" fontId="138" fillId="0" borderId="40" xfId="0" applyNumberFormat="1" applyFont="1" applyBorder="1" applyAlignment="1" applyProtection="1">
      <alignment horizontal="center"/>
      <protection locked="0"/>
    </xf>
    <xf numFmtId="0" fontId="58" fillId="0" borderId="0" xfId="486" applyFont="1" applyProtection="1">
      <protection locked="0"/>
    </xf>
    <xf numFmtId="0" fontId="60" fillId="0" borderId="0" xfId="486" applyFont="1" applyProtection="1">
      <protection locked="0"/>
    </xf>
    <xf numFmtId="0" fontId="137" fillId="89" borderId="40" xfId="508" applyFont="1" applyFill="1" applyBorder="1" applyAlignment="1" applyProtection="1">
      <alignment horizontal="center"/>
      <protection locked="0"/>
    </xf>
    <xf numFmtId="49" fontId="137" fillId="0" borderId="40" xfId="0" applyNumberFormat="1" applyFont="1" applyBorder="1" applyAlignment="1" applyProtection="1">
      <alignment horizontal="center"/>
      <protection locked="0"/>
    </xf>
    <xf numFmtId="0" fontId="61" fillId="92" borderId="0" xfId="533" applyFont="1" applyFill="1" applyBorder="1" applyAlignment="1" applyProtection="1">
      <alignment vertical="center"/>
      <protection locked="0"/>
    </xf>
    <xf numFmtId="0" fontId="143" fillId="0" borderId="40" xfId="533" applyFont="1" applyFill="1" applyBorder="1" applyAlignment="1" applyProtection="1">
      <alignment horizontal="center" vertical="center"/>
      <protection locked="0"/>
    </xf>
    <xf numFmtId="0" fontId="138" fillId="26" borderId="40" xfId="0" applyFont="1" applyFill="1" applyBorder="1" applyAlignment="1" applyProtection="1">
      <alignment horizontal="left"/>
      <protection locked="0"/>
    </xf>
    <xf numFmtId="0" fontId="137" fillId="26" borderId="40" xfId="0" applyFont="1" applyFill="1" applyBorder="1" applyAlignment="1" applyProtection="1">
      <alignment horizontal="left"/>
      <protection locked="0"/>
    </xf>
    <xf numFmtId="0" fontId="137" fillId="0" borderId="40" xfId="0" applyFont="1" applyFill="1" applyBorder="1" applyAlignment="1" applyProtection="1">
      <alignment horizontal="left"/>
      <protection locked="0"/>
    </xf>
    <xf numFmtId="166" fontId="17" fillId="0" borderId="1" xfId="1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49" fontId="137" fillId="26" borderId="1" xfId="0" applyNumberFormat="1" applyFont="1" applyFill="1" applyBorder="1" applyAlignment="1" applyProtection="1">
      <alignment horizontal="center" vertical="center"/>
      <protection locked="0"/>
    </xf>
    <xf numFmtId="0" fontId="137" fillId="26" borderId="1" xfId="0" applyNumberFormat="1" applyFont="1" applyFill="1" applyBorder="1" applyAlignment="1" applyProtection="1">
      <alignment horizontal="center" vertical="center"/>
      <protection locked="0"/>
    </xf>
    <xf numFmtId="49" fontId="143" fillId="26" borderId="1" xfId="528" applyNumberFormat="1" applyFont="1" applyFill="1" applyBorder="1" applyAlignment="1" applyProtection="1">
      <alignment horizontal="center" vertical="center"/>
      <protection locked="0"/>
    </xf>
    <xf numFmtId="0" fontId="167" fillId="0" borderId="1" xfId="0" applyFont="1" applyBorder="1" applyAlignment="1">
      <alignment vertical="center" wrapText="1"/>
    </xf>
    <xf numFmtId="49" fontId="137" fillId="26" borderId="1" xfId="580" applyNumberFormat="1" applyFont="1" applyFill="1" applyBorder="1" applyAlignment="1" applyProtection="1">
      <alignment horizontal="right" vertical="center" wrapText="1"/>
    </xf>
    <xf numFmtId="0" fontId="167" fillId="26" borderId="1" xfId="0" applyFont="1" applyFill="1" applyBorder="1" applyAlignment="1">
      <alignment vertical="center" wrapText="1"/>
    </xf>
    <xf numFmtId="49" fontId="137" fillId="26" borderId="1" xfId="580" applyNumberFormat="1" applyFont="1" applyFill="1" applyBorder="1" applyAlignment="1" applyProtection="1">
      <alignment horizontal="right" vertical="center"/>
    </xf>
    <xf numFmtId="49" fontId="137" fillId="26" borderId="1" xfId="599" applyNumberFormat="1" applyFont="1" applyFill="1" applyBorder="1" applyAlignment="1" applyProtection="1">
      <alignment horizontal="center" vertical="center"/>
      <protection locked="0"/>
    </xf>
    <xf numFmtId="0" fontId="137" fillId="26" borderId="1" xfId="599" applyNumberFormat="1" applyFont="1" applyFill="1" applyBorder="1" applyAlignment="1" applyProtection="1">
      <alignment horizontal="center" vertical="center"/>
      <protection locked="0"/>
    </xf>
    <xf numFmtId="0" fontId="137" fillId="26" borderId="1" xfId="0" applyFont="1" applyFill="1" applyBorder="1" applyAlignment="1" applyProtection="1">
      <alignment horizontal="center"/>
      <protection locked="0"/>
    </xf>
    <xf numFmtId="0" fontId="138" fillId="26" borderId="1" xfId="599" applyFont="1" applyFill="1" applyBorder="1" applyAlignment="1">
      <alignment horizontal="center"/>
    </xf>
    <xf numFmtId="49" fontId="138" fillId="26" borderId="1" xfId="599" applyNumberFormat="1" applyFont="1" applyFill="1" applyBorder="1" applyAlignment="1">
      <alignment horizontal="center"/>
    </xf>
    <xf numFmtId="49" fontId="137" fillId="26" borderId="1" xfId="598" applyNumberFormat="1" applyFont="1" applyFill="1" applyBorder="1" applyAlignment="1" applyProtection="1">
      <alignment horizontal="center" vertical="center"/>
      <protection locked="0"/>
    </xf>
    <xf numFmtId="0" fontId="137" fillId="26" borderId="1" xfId="598" applyNumberFormat="1" applyFont="1" applyFill="1" applyBorder="1" applyAlignment="1" applyProtection="1">
      <alignment horizontal="center" vertical="center"/>
      <protection locked="0"/>
    </xf>
    <xf numFmtId="0" fontId="138" fillId="26" borderId="1" xfId="598" quotePrefix="1" applyFont="1" applyFill="1" applyBorder="1" applyAlignment="1">
      <alignment horizontal="center"/>
    </xf>
    <xf numFmtId="0" fontId="167" fillId="26" borderId="0" xfId="0" applyFont="1" applyFill="1" applyAlignment="1">
      <alignment vertical="center" wrapText="1"/>
    </xf>
    <xf numFmtId="0" fontId="138" fillId="26" borderId="1" xfId="0" applyFont="1" applyFill="1" applyBorder="1" applyAlignment="1">
      <alignment horizontal="center"/>
    </xf>
    <xf numFmtId="0" fontId="137" fillId="26" borderId="1" xfId="600" applyNumberFormat="1" applyFont="1" applyFill="1" applyBorder="1" applyAlignment="1" applyProtection="1">
      <alignment horizontal="center" vertical="center"/>
      <protection locked="0"/>
    </xf>
    <xf numFmtId="49" fontId="137" fillId="0" borderId="1" xfId="0" applyNumberFormat="1" applyFont="1" applyBorder="1" applyAlignment="1" applyProtection="1">
      <alignment horizontal="center" vertical="center"/>
      <protection locked="0"/>
    </xf>
    <xf numFmtId="0" fontId="137" fillId="0" borderId="1" xfId="0" applyFont="1" applyBorder="1" applyAlignment="1" applyProtection="1">
      <alignment horizontal="center" vertical="center"/>
      <protection locked="0"/>
    </xf>
    <xf numFmtId="14" fontId="137" fillId="0" borderId="1" xfId="0" applyNumberFormat="1" applyFont="1" applyBorder="1" applyAlignment="1" applyProtection="1">
      <alignment horizontal="center" vertical="center"/>
      <protection locked="0"/>
    </xf>
    <xf numFmtId="0" fontId="138" fillId="0" borderId="1" xfId="0" applyFont="1" applyBorder="1" applyAlignment="1">
      <alignment horizontal="center"/>
    </xf>
    <xf numFmtId="0" fontId="137" fillId="0" borderId="1" xfId="0" applyFont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center"/>
    </xf>
    <xf numFmtId="49" fontId="137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53" fillId="0" borderId="0" xfId="503" applyBorder="1" applyAlignment="1" applyProtection="1">
      <alignment horizontal="center" vertical="center" wrapText="1"/>
    </xf>
    <xf numFmtId="0" fontId="77" fillId="0" borderId="17" xfId="503" applyFont="1" applyBorder="1" applyAlignment="1" applyProtection="1">
      <alignment horizontal="center" vertical="center"/>
    </xf>
    <xf numFmtId="0" fontId="93" fillId="0" borderId="9" xfId="503" applyFont="1" applyBorder="1" applyAlignment="1" applyProtection="1">
      <alignment horizontal="center" vertical="top" wrapText="1"/>
    </xf>
    <xf numFmtId="0" fontId="76" fillId="0" borderId="9" xfId="503" applyFont="1" applyBorder="1" applyAlignment="1" applyProtection="1">
      <alignment horizontal="center" vertical="top" wrapText="1"/>
    </xf>
    <xf numFmtId="0" fontId="76" fillId="0" borderId="18" xfId="503" applyFont="1" applyBorder="1" applyAlignment="1" applyProtection="1">
      <alignment horizontal="center" vertical="top" wrapText="1"/>
    </xf>
    <xf numFmtId="0" fontId="53" fillId="0" borderId="5" xfId="503" applyBorder="1" applyAlignment="1" applyProtection="1">
      <alignment horizontal="center" vertical="center" wrapText="1"/>
    </xf>
    <xf numFmtId="0" fontId="53" fillId="0" borderId="6" xfId="503" applyBorder="1" applyAlignment="1" applyProtection="1">
      <alignment horizontal="center" vertical="center" wrapText="1"/>
    </xf>
    <xf numFmtId="0" fontId="53" fillId="0" borderId="7" xfId="503" applyBorder="1" applyAlignment="1" applyProtection="1">
      <alignment horizontal="center" vertical="center" wrapText="1"/>
    </xf>
    <xf numFmtId="0" fontId="40" fillId="21" borderId="1" xfId="503" applyFont="1" applyFill="1" applyBorder="1" applyAlignment="1" applyProtection="1">
      <alignment horizontal="center" vertical="center" wrapText="1"/>
    </xf>
    <xf numFmtId="49" fontId="14" fillId="20" borderId="1" xfId="503" applyNumberFormat="1" applyFont="1" applyFill="1" applyBorder="1" applyAlignment="1" applyProtection="1">
      <alignment horizontal="center" vertical="center" wrapText="1"/>
      <protection locked="0"/>
    </xf>
    <xf numFmtId="0" fontId="86" fillId="0" borderId="1" xfId="503" applyFont="1" applyBorder="1" applyAlignment="1" applyProtection="1">
      <alignment horizontal="center" vertical="center"/>
      <protection locked="0"/>
    </xf>
    <xf numFmtId="171" fontId="20" fillId="21" borderId="1" xfId="503" applyNumberFormat="1" applyFont="1" applyFill="1" applyBorder="1" applyAlignment="1" applyProtection="1">
      <alignment horizontal="center" vertical="center"/>
    </xf>
    <xf numFmtId="0" fontId="77" fillId="0" borderId="1" xfId="503" applyFont="1" applyBorder="1" applyAlignment="1" applyProtection="1">
      <alignment horizontal="left" vertical="center"/>
    </xf>
    <xf numFmtId="171" fontId="90" fillId="0" borderId="1" xfId="503" applyNumberFormat="1" applyFont="1" applyBorder="1" applyAlignment="1" applyProtection="1">
      <alignment horizontal="center" vertical="center"/>
      <protection locked="0"/>
    </xf>
    <xf numFmtId="171" fontId="90" fillId="0" borderId="1" xfId="503" applyNumberFormat="1" applyFont="1" applyBorder="1" applyAlignment="1" applyProtection="1">
      <alignment horizontal="center" vertical="center"/>
    </xf>
    <xf numFmtId="0" fontId="20" fillId="21" borderId="1" xfId="503" applyFont="1" applyFill="1" applyBorder="1" applyAlignment="1" applyProtection="1">
      <alignment horizontal="left" vertical="center"/>
    </xf>
    <xf numFmtId="171" fontId="92" fillId="21" borderId="1" xfId="503" applyNumberFormat="1" applyFont="1" applyFill="1" applyBorder="1" applyAlignment="1" applyProtection="1">
      <alignment horizontal="center" vertical="center"/>
    </xf>
    <xf numFmtId="0" fontId="20" fillId="21" borderId="1" xfId="503" applyFont="1" applyFill="1" applyBorder="1" applyAlignment="1" applyProtection="1">
      <alignment horizontal="center" vertical="center"/>
    </xf>
    <xf numFmtId="0" fontId="96" fillId="0" borderId="0" xfId="503" applyFont="1" applyBorder="1" applyAlignment="1" applyProtection="1">
      <alignment horizontal="left" vertical="center" wrapText="1"/>
    </xf>
    <xf numFmtId="171" fontId="20" fillId="21" borderId="7" xfId="503" applyNumberFormat="1" applyFont="1" applyFill="1" applyBorder="1" applyAlignment="1" applyProtection="1">
      <alignment horizontal="center" vertical="center"/>
    </xf>
    <xf numFmtId="0" fontId="20" fillId="21" borderId="7" xfId="503" applyFont="1" applyFill="1" applyBorder="1" applyAlignment="1" applyProtection="1">
      <alignment horizontal="center" vertical="center"/>
    </xf>
    <xf numFmtId="0" fontId="77" fillId="0" borderId="1" xfId="503" applyFont="1" applyBorder="1" applyAlignment="1" applyProtection="1">
      <alignment horizontal="left" vertical="center" wrapText="1"/>
    </xf>
    <xf numFmtId="171" fontId="90" fillId="0" borderId="1" xfId="503" applyNumberFormat="1" applyFont="1" applyBorder="1" applyAlignment="1" applyProtection="1">
      <alignment horizontal="center" vertical="center" wrapText="1"/>
      <protection locked="0"/>
    </xf>
    <xf numFmtId="0" fontId="53" fillId="0" borderId="21" xfId="503" applyBorder="1" applyAlignment="1" applyProtection="1">
      <alignment horizontal="center" vertical="center"/>
    </xf>
    <xf numFmtId="0" fontId="74" fillId="0" borderId="1" xfId="503" applyFont="1" applyBorder="1" applyAlignment="1" applyProtection="1">
      <alignment horizontal="left" vertical="center"/>
    </xf>
    <xf numFmtId="171" fontId="9" fillId="0" borderId="15" xfId="503" applyNumberFormat="1" applyFont="1" applyBorder="1" applyAlignment="1" applyProtection="1">
      <alignment horizontal="center" vertical="center"/>
    </xf>
    <xf numFmtId="171" fontId="9" fillId="0" borderId="17" xfId="503" applyNumberFormat="1" applyFont="1" applyBorder="1" applyAlignment="1" applyProtection="1">
      <alignment horizontal="center" vertical="center"/>
    </xf>
    <xf numFmtId="171" fontId="29" fillId="0" borderId="15" xfId="503" applyNumberFormat="1" applyFont="1" applyBorder="1" applyAlignment="1" applyProtection="1">
      <alignment horizontal="center" vertical="center"/>
    </xf>
    <xf numFmtId="0" fontId="95" fillId="0" borderId="15" xfId="503" applyFont="1" applyBorder="1" applyAlignment="1" applyProtection="1">
      <alignment horizontal="center" vertical="center"/>
    </xf>
    <xf numFmtId="0" fontId="95" fillId="0" borderId="17" xfId="503" applyFont="1" applyBorder="1" applyAlignment="1" applyProtection="1">
      <alignment horizontal="center" vertical="center"/>
    </xf>
    <xf numFmtId="171" fontId="29" fillId="0" borderId="8" xfId="503" applyNumberFormat="1" applyFont="1" applyBorder="1" applyAlignment="1" applyProtection="1">
      <alignment horizontal="center" vertical="center" wrapText="1"/>
    </xf>
    <xf numFmtId="171" fontId="29" fillId="0" borderId="18" xfId="503" applyNumberFormat="1" applyFont="1" applyBorder="1" applyAlignment="1" applyProtection="1">
      <alignment horizontal="center" vertical="center" wrapText="1"/>
    </xf>
    <xf numFmtId="0" fontId="40" fillId="21" borderId="1" xfId="503" applyFont="1" applyFill="1" applyBorder="1" applyAlignment="1" applyProtection="1">
      <alignment horizontal="center" vertical="center"/>
    </xf>
    <xf numFmtId="171" fontId="139" fillId="26" borderId="2" xfId="594" applyNumberFormat="1" applyFont="1" applyFill="1" applyBorder="1" applyAlignment="1" applyProtection="1">
      <alignment horizontal="left" vertical="center" wrapText="1"/>
      <protection locked="0"/>
    </xf>
    <xf numFmtId="171" fontId="139" fillId="26" borderId="4" xfId="594" applyNumberFormat="1" applyFont="1" applyFill="1" applyBorder="1" applyAlignment="1" applyProtection="1">
      <alignment horizontal="left" vertical="center" wrapText="1"/>
      <protection locked="0"/>
    </xf>
    <xf numFmtId="171" fontId="12" fillId="0" borderId="1" xfId="503" applyNumberFormat="1" applyFont="1" applyBorder="1" applyAlignment="1" applyProtection="1">
      <alignment horizontal="left" vertical="center" wrapText="1"/>
      <protection locked="0"/>
    </xf>
    <xf numFmtId="171" fontId="20" fillId="21" borderId="1" xfId="503" applyNumberFormat="1" applyFont="1" applyFill="1" applyBorder="1" applyAlignment="1" applyProtection="1">
      <alignment horizontal="left" vertical="center"/>
    </xf>
    <xf numFmtId="171" fontId="92" fillId="21" borderId="1" xfId="503" applyNumberFormat="1" applyFont="1" applyFill="1" applyBorder="1" applyAlignment="1" applyProtection="1">
      <alignment horizontal="center" vertical="center"/>
      <protection locked="0"/>
    </xf>
    <xf numFmtId="0" fontId="77" fillId="0" borderId="20" xfId="503" applyFont="1" applyBorder="1" applyAlignment="1" applyProtection="1">
      <alignment horizontal="center" vertical="center"/>
    </xf>
    <xf numFmtId="171" fontId="9" fillId="0" borderId="5" xfId="503" applyNumberFormat="1" applyFont="1" applyBorder="1" applyAlignment="1" applyProtection="1">
      <alignment horizontal="center" vertical="center"/>
    </xf>
    <xf numFmtId="0" fontId="20" fillId="13" borderId="1" xfId="503" applyFont="1" applyFill="1" applyBorder="1" applyAlignment="1" applyProtection="1">
      <alignment horizontal="center" vertical="center"/>
    </xf>
    <xf numFmtId="171" fontId="76" fillId="35" borderId="1" xfId="503" applyNumberFormat="1" applyFont="1" applyFill="1" applyBorder="1" applyAlignment="1" applyProtection="1">
      <alignment horizontal="left" vertical="center"/>
    </xf>
    <xf numFmtId="171" fontId="91" fillId="35" borderId="1" xfId="503" applyNumberFormat="1" applyFont="1" applyFill="1" applyBorder="1" applyAlignment="1" applyProtection="1">
      <alignment horizontal="center" vertical="center"/>
      <protection locked="0"/>
    </xf>
    <xf numFmtId="171" fontId="76" fillId="34" borderId="1" xfId="503" applyNumberFormat="1" applyFont="1" applyFill="1" applyBorder="1" applyAlignment="1" applyProtection="1">
      <alignment horizontal="left" vertical="center"/>
    </xf>
    <xf numFmtId="171" fontId="91" fillId="34" borderId="1" xfId="503" applyNumberFormat="1" applyFont="1" applyFill="1" applyBorder="1" applyAlignment="1" applyProtection="1">
      <alignment horizontal="center" vertical="center"/>
    </xf>
    <xf numFmtId="171" fontId="76" fillId="20" borderId="1" xfId="503" applyNumberFormat="1" applyFont="1" applyFill="1" applyBorder="1" applyAlignment="1" applyProtection="1">
      <alignment horizontal="left" vertical="center"/>
    </xf>
    <xf numFmtId="0" fontId="79" fillId="0" borderId="1" xfId="503" applyFont="1" applyBorder="1" applyAlignment="1" applyProtection="1">
      <alignment horizontal="left" vertical="center"/>
    </xf>
    <xf numFmtId="171" fontId="89" fillId="0" borderId="1" xfId="503" applyNumberFormat="1" applyFont="1" applyBorder="1" applyAlignment="1" applyProtection="1">
      <alignment horizontal="center" vertical="center"/>
      <protection locked="0"/>
    </xf>
    <xf numFmtId="171" fontId="28" fillId="35" borderId="1" xfId="503" applyNumberFormat="1" applyFont="1" applyFill="1" applyBorder="1" applyAlignment="1" applyProtection="1">
      <alignment horizontal="left" vertical="center"/>
    </xf>
    <xf numFmtId="171" fontId="94" fillId="35" borderId="1" xfId="503" applyNumberFormat="1" applyFont="1" applyFill="1" applyBorder="1" applyAlignment="1" applyProtection="1">
      <alignment horizontal="center" vertical="center"/>
    </xf>
    <xf numFmtId="171" fontId="77" fillId="20" borderId="1" xfId="503" applyNumberFormat="1" applyFont="1" applyFill="1" applyBorder="1" applyAlignment="1" applyProtection="1">
      <alignment horizontal="left" vertical="center"/>
    </xf>
    <xf numFmtId="171" fontId="20" fillId="2" borderId="1" xfId="503" applyNumberFormat="1" applyFont="1" applyFill="1" applyBorder="1" applyAlignment="1" applyProtection="1">
      <alignment horizontal="left" vertical="center"/>
    </xf>
    <xf numFmtId="171" fontId="92" fillId="2" borderId="1" xfId="503" applyNumberFormat="1" applyFont="1" applyFill="1" applyBorder="1" applyAlignment="1" applyProtection="1">
      <alignment horizontal="center" vertical="center"/>
    </xf>
    <xf numFmtId="171" fontId="77" fillId="0" borderId="1" xfId="503" applyNumberFormat="1" applyFont="1" applyBorder="1" applyAlignment="1" applyProtection="1">
      <alignment horizontal="left" vertical="center"/>
    </xf>
    <xf numFmtId="171" fontId="76" fillId="36" borderId="1" xfId="503" applyNumberFormat="1" applyFont="1" applyFill="1" applyBorder="1" applyAlignment="1" applyProtection="1">
      <alignment horizontal="left" vertical="center"/>
    </xf>
    <xf numFmtId="171" fontId="91" fillId="36" borderId="1" xfId="503" applyNumberFormat="1" applyFont="1" applyFill="1" applyBorder="1" applyAlignment="1" applyProtection="1">
      <alignment horizontal="center" vertical="center"/>
    </xf>
    <xf numFmtId="171" fontId="77" fillId="20" borderId="1" xfId="503" applyNumberFormat="1" applyFont="1" applyFill="1" applyBorder="1" applyAlignment="1" applyProtection="1">
      <alignment vertical="center"/>
    </xf>
    <xf numFmtId="171" fontId="91" fillId="35" borderId="1" xfId="503" applyNumberFormat="1" applyFont="1" applyFill="1" applyBorder="1" applyAlignment="1" applyProtection="1">
      <alignment horizontal="center" vertical="center"/>
    </xf>
    <xf numFmtId="171" fontId="77" fillId="36" borderId="1" xfId="503" applyNumberFormat="1" applyFont="1" applyFill="1" applyBorder="1" applyAlignment="1" applyProtection="1">
      <alignment horizontal="left" vertical="center"/>
    </xf>
    <xf numFmtId="171" fontId="90" fillId="36" borderId="1" xfId="503" applyNumberFormat="1" applyFont="1" applyFill="1" applyBorder="1" applyAlignment="1" applyProtection="1">
      <alignment horizontal="center" vertical="center"/>
    </xf>
    <xf numFmtId="171" fontId="77" fillId="0" borderId="5" xfId="503" applyNumberFormat="1" applyFont="1" applyBorder="1" applyAlignment="1" applyProtection="1">
      <alignment horizontal="left" vertical="center"/>
    </xf>
    <xf numFmtId="171" fontId="77" fillId="37" borderId="1" xfId="503" applyNumberFormat="1" applyFont="1" applyFill="1" applyBorder="1" applyAlignment="1" applyProtection="1">
      <alignment horizontal="left" vertical="center"/>
    </xf>
    <xf numFmtId="171" fontId="90" fillId="37" borderId="1" xfId="503" applyNumberFormat="1" applyFont="1" applyFill="1" applyBorder="1" applyAlignment="1" applyProtection="1">
      <alignment horizontal="center" vertical="center"/>
    </xf>
    <xf numFmtId="171" fontId="76" fillId="34" borderId="4" xfId="503" applyNumberFormat="1" applyFont="1" applyFill="1" applyBorder="1" applyAlignment="1" applyProtection="1">
      <alignment horizontal="left" vertical="center"/>
    </xf>
    <xf numFmtId="171" fontId="20" fillId="21" borderId="4" xfId="503" applyNumberFormat="1" applyFont="1" applyFill="1" applyBorder="1" applyAlignment="1" applyProtection="1">
      <alignment horizontal="left" vertical="center"/>
    </xf>
    <xf numFmtId="171" fontId="77" fillId="0" borderId="15" xfId="503" applyNumberFormat="1" applyFont="1" applyBorder="1" applyAlignment="1" applyProtection="1">
      <alignment horizontal="left" vertical="center"/>
    </xf>
    <xf numFmtId="0" fontId="92" fillId="21" borderId="1" xfId="503" applyFont="1" applyFill="1" applyBorder="1" applyAlignment="1" applyProtection="1">
      <alignment horizontal="center" vertical="center"/>
    </xf>
    <xf numFmtId="171" fontId="76" fillId="0" borderId="4" xfId="503" applyNumberFormat="1" applyFont="1" applyBorder="1" applyAlignment="1" applyProtection="1">
      <alignment horizontal="left" vertical="center"/>
    </xf>
    <xf numFmtId="171" fontId="91" fillId="0" borderId="1" xfId="503" applyNumberFormat="1" applyFont="1" applyBorder="1" applyAlignment="1" applyProtection="1">
      <alignment horizontal="center" vertical="center"/>
      <protection locked="0"/>
    </xf>
    <xf numFmtId="171" fontId="20" fillId="2" borderId="4" xfId="503" applyNumberFormat="1" applyFont="1" applyFill="1" applyBorder="1" applyAlignment="1" applyProtection="1">
      <alignment horizontal="left" vertical="center"/>
    </xf>
    <xf numFmtId="43" fontId="92" fillId="33" borderId="1" xfId="503" applyNumberFormat="1" applyFont="1" applyFill="1" applyBorder="1" applyAlignment="1" applyProtection="1">
      <alignment horizontal="center" vertical="center"/>
    </xf>
    <xf numFmtId="171" fontId="92" fillId="33" borderId="1" xfId="503" applyNumberFormat="1" applyFont="1" applyFill="1" applyBorder="1" applyAlignment="1" applyProtection="1">
      <alignment horizontal="center" vertical="center"/>
    </xf>
    <xf numFmtId="171" fontId="77" fillId="0" borderId="4" xfId="503" applyNumberFormat="1" applyFont="1" applyBorder="1" applyAlignment="1" applyProtection="1">
      <alignment horizontal="left" vertical="center"/>
    </xf>
    <xf numFmtId="0" fontId="20" fillId="21" borderId="5" xfId="503" applyFont="1" applyFill="1" applyBorder="1" applyAlignment="1" applyProtection="1">
      <alignment horizontal="center" vertical="center"/>
    </xf>
    <xf numFmtId="168" fontId="88" fillId="0" borderId="2" xfId="555" applyNumberFormat="1" applyFont="1" applyBorder="1" applyAlignment="1" applyProtection="1">
      <alignment horizontal="center" vertical="center"/>
      <protection locked="0"/>
    </xf>
    <xf numFmtId="168" fontId="88" fillId="0" borderId="4" xfId="555" applyNumberFormat="1" applyFont="1" applyBorder="1" applyAlignment="1" applyProtection="1">
      <alignment horizontal="center" vertical="center"/>
      <protection locked="0"/>
    </xf>
    <xf numFmtId="171" fontId="79" fillId="0" borderId="4" xfId="503" applyNumberFormat="1" applyFont="1" applyBorder="1" applyAlignment="1" applyProtection="1">
      <alignment horizontal="left" vertical="center"/>
    </xf>
    <xf numFmtId="168" fontId="89" fillId="0" borderId="2" xfId="555" applyNumberFormat="1" applyFont="1" applyFill="1" applyBorder="1" applyAlignment="1" applyProtection="1">
      <alignment horizontal="center" vertical="center"/>
      <protection locked="0"/>
    </xf>
    <xf numFmtId="168" fontId="89" fillId="0" borderId="4" xfId="555" applyNumberFormat="1" applyFont="1" applyFill="1" applyBorder="1" applyAlignment="1" applyProtection="1">
      <alignment horizontal="center" vertical="center"/>
      <protection locked="0"/>
    </xf>
    <xf numFmtId="0" fontId="29" fillId="0" borderId="0" xfId="503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83" fillId="0" borderId="0" xfId="0" applyFont="1" applyAlignment="1" applyProtection="1">
      <alignment horizontal="center" wrapText="1"/>
      <protection locked="0"/>
    </xf>
    <xf numFmtId="0" fontId="80" fillId="13" borderId="1" xfId="0" applyFont="1" applyFill="1" applyBorder="1" applyAlignment="1" applyProtection="1">
      <alignment horizontal="center" wrapText="1"/>
    </xf>
    <xf numFmtId="0" fontId="85" fillId="0" borderId="1" xfId="0" applyFont="1" applyFill="1" applyBorder="1" applyAlignment="1" applyProtection="1">
      <alignment horizontal="left" wrapText="1"/>
    </xf>
    <xf numFmtId="0" fontId="80" fillId="13" borderId="1" xfId="0" applyFont="1" applyFill="1" applyBorder="1" applyAlignment="1" applyProtection="1">
      <alignment horizontal="left" wrapText="1"/>
    </xf>
    <xf numFmtId="171" fontId="64" fillId="0" borderId="0" xfId="503" applyNumberFormat="1" applyFont="1" applyBorder="1" applyAlignment="1" applyProtection="1">
      <alignment horizontal="center" vertical="center" wrapText="1"/>
      <protection locked="0"/>
    </xf>
    <xf numFmtId="0" fontId="140" fillId="13" borderId="15" xfId="0" applyFont="1" applyFill="1" applyBorder="1" applyAlignment="1" applyProtection="1">
      <alignment horizontal="center" wrapText="1"/>
      <protection locked="0"/>
    </xf>
    <xf numFmtId="0" fontId="140" fillId="13" borderId="0" xfId="0" applyFont="1" applyFill="1" applyBorder="1" applyAlignment="1" applyProtection="1">
      <alignment horizontal="center" wrapText="1"/>
      <protection locked="0"/>
    </xf>
    <xf numFmtId="0" fontId="80" fillId="13" borderId="2" xfId="0" applyFont="1" applyFill="1" applyBorder="1" applyAlignment="1" applyProtection="1">
      <alignment horizontal="right" wrapText="1"/>
    </xf>
    <xf numFmtId="0" fontId="80" fillId="13" borderId="3" xfId="0" applyFont="1" applyFill="1" applyBorder="1" applyAlignment="1" applyProtection="1">
      <alignment horizontal="right" wrapText="1"/>
    </xf>
    <xf numFmtId="0" fontId="80" fillId="13" borderId="4" xfId="0" applyFont="1" applyFill="1" applyBorder="1" applyAlignment="1" applyProtection="1">
      <alignment horizontal="right" wrapText="1"/>
    </xf>
    <xf numFmtId="0" fontId="81" fillId="13" borderId="1" xfId="0" applyFont="1" applyFill="1" applyBorder="1" applyAlignment="1" applyProtection="1">
      <alignment horizontal="right"/>
      <protection locked="0"/>
    </xf>
    <xf numFmtId="0" fontId="81" fillId="13" borderId="1" xfId="0" applyFont="1" applyFill="1" applyBorder="1" applyAlignment="1" applyProtection="1">
      <alignment horizontal="right"/>
    </xf>
    <xf numFmtId="0" fontId="26" fillId="0" borderId="0" xfId="0" applyFont="1" applyAlignment="1" applyProtection="1">
      <alignment horizontal="center" wrapText="1"/>
      <protection locked="0"/>
    </xf>
    <xf numFmtId="0" fontId="80" fillId="13" borderId="15" xfId="0" applyFont="1" applyFill="1" applyBorder="1" applyAlignment="1" applyProtection="1">
      <alignment horizontal="center" wrapText="1"/>
      <protection locked="0"/>
    </xf>
    <xf numFmtId="0" fontId="131" fillId="13" borderId="0" xfId="0" applyFont="1" applyFill="1" applyBorder="1" applyAlignment="1" applyProtection="1">
      <alignment horizontal="center" wrapText="1"/>
      <protection locked="0"/>
    </xf>
    <xf numFmtId="0" fontId="132" fillId="13" borderId="16" xfId="0" applyFont="1" applyFill="1" applyBorder="1" applyAlignment="1" applyProtection="1">
      <alignment horizontal="center" wrapText="1"/>
      <protection locked="0"/>
    </xf>
    <xf numFmtId="0" fontId="132" fillId="13" borderId="0" xfId="0" applyFont="1" applyFill="1" applyBorder="1" applyAlignment="1" applyProtection="1">
      <alignment horizontal="center" wrapText="1"/>
      <protection locked="0"/>
    </xf>
    <xf numFmtId="0" fontId="80" fillId="13" borderId="0" xfId="0" applyFont="1" applyFill="1" applyBorder="1" applyAlignment="1" applyProtection="1">
      <alignment horizontal="center" wrapText="1"/>
      <protection locked="0"/>
    </xf>
    <xf numFmtId="0" fontId="81" fillId="13" borderId="16" xfId="0" applyFont="1" applyFill="1" applyBorder="1" applyAlignment="1" applyProtection="1">
      <alignment horizontal="center" wrapText="1"/>
      <protection locked="0"/>
    </xf>
    <xf numFmtId="0" fontId="81" fillId="13" borderId="0" xfId="0" applyFont="1" applyFill="1" applyBorder="1" applyAlignment="1" applyProtection="1">
      <alignment horizontal="center" wrapText="1"/>
      <protection locked="0"/>
    </xf>
    <xf numFmtId="0" fontId="75" fillId="0" borderId="0" xfId="507" applyFont="1" applyAlignment="1" applyProtection="1">
      <alignment horizontal="center" vertical="center" wrapText="1"/>
      <protection locked="0"/>
    </xf>
    <xf numFmtId="0" fontId="20" fillId="32" borderId="1" xfId="507" applyFont="1" applyFill="1" applyBorder="1" applyAlignment="1" applyProtection="1">
      <alignment horizontal="left" vertical="center" wrapText="1"/>
    </xf>
    <xf numFmtId="0" fontId="20" fillId="32" borderId="1" xfId="507" applyFont="1" applyFill="1" applyBorder="1" applyAlignment="1" applyProtection="1">
      <alignment horizontal="left" wrapText="1"/>
    </xf>
    <xf numFmtId="0" fontId="23" fillId="32" borderId="1" xfId="507" applyFont="1" applyFill="1" applyBorder="1" applyAlignment="1" applyProtection="1">
      <alignment horizontal="left" vertical="center" wrapText="1"/>
    </xf>
    <xf numFmtId="171" fontId="9" fillId="0" borderId="0" xfId="503" applyNumberFormat="1" applyFont="1" applyBorder="1" applyAlignment="1" applyProtection="1">
      <alignment horizontal="center" vertical="center"/>
      <protection locked="0"/>
    </xf>
    <xf numFmtId="171" fontId="29" fillId="0" borderId="0" xfId="503" applyNumberFormat="1" applyFont="1" applyBorder="1" applyAlignment="1" applyProtection="1">
      <alignment horizontal="center" vertical="center"/>
      <protection locked="0"/>
    </xf>
    <xf numFmtId="0" fontId="133" fillId="13" borderId="1" xfId="507" applyFont="1" applyFill="1" applyBorder="1" applyAlignment="1" applyProtection="1">
      <alignment horizontal="center" wrapText="1"/>
      <protection locked="0"/>
    </xf>
    <xf numFmtId="49" fontId="13" fillId="29" borderId="1" xfId="478" applyNumberFormat="1" applyFont="1" applyFill="1" applyBorder="1" applyAlignment="1" applyProtection="1">
      <alignment horizontal="center" vertical="center" wrapText="1"/>
    </xf>
    <xf numFmtId="0" fontId="73" fillId="0" borderId="0" xfId="465" applyFont="1" applyBorder="1" applyAlignment="1" applyProtection="1">
      <alignment horizontal="center" wrapText="1"/>
      <protection locked="0"/>
    </xf>
    <xf numFmtId="49" fontId="135" fillId="30" borderId="1" xfId="478" applyNumberFormat="1" applyFont="1" applyFill="1" applyBorder="1" applyAlignment="1" applyProtection="1">
      <alignment horizontal="center" vertical="center" wrapText="1"/>
      <protection locked="0"/>
    </xf>
    <xf numFmtId="4" fontId="66" fillId="29" borderId="1" xfId="3" applyNumberFormat="1" applyFont="1" applyFill="1" applyBorder="1" applyAlignment="1" applyProtection="1">
      <alignment horizontal="center" vertical="center" wrapText="1"/>
    </xf>
    <xf numFmtId="171" fontId="9" fillId="0" borderId="0" xfId="503" applyNumberFormat="1" applyFont="1" applyBorder="1" applyAlignment="1" applyProtection="1">
      <alignment horizontal="center" vertical="center" wrapText="1"/>
      <protection locked="0"/>
    </xf>
    <xf numFmtId="171" fontId="29" fillId="0" borderId="0" xfId="503" applyNumberFormat="1" applyFont="1" applyBorder="1" applyAlignment="1" applyProtection="1">
      <alignment horizontal="center" vertical="center" wrapText="1"/>
      <protection locked="0"/>
    </xf>
    <xf numFmtId="49" fontId="32" fillId="29" borderId="1" xfId="478" applyNumberFormat="1" applyFont="1" applyFill="1" applyBorder="1" applyAlignment="1" applyProtection="1">
      <alignment horizontal="center" vertical="center" wrapText="1"/>
      <protection locked="0"/>
    </xf>
    <xf numFmtId="49" fontId="65" fillId="30" borderId="1" xfId="478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533" applyFont="1" applyBorder="1" applyAlignment="1" applyProtection="1">
      <alignment horizontal="right"/>
      <protection locked="0"/>
    </xf>
    <xf numFmtId="0" fontId="47" fillId="0" borderId="14" xfId="533" applyFont="1" applyBorder="1" applyAlignment="1" applyProtection="1">
      <alignment horizontal="left"/>
    </xf>
    <xf numFmtId="0" fontId="46" fillId="0" borderId="0" xfId="533" applyFont="1" applyBorder="1" applyAlignment="1" applyProtection="1">
      <alignment horizontal="center" wrapText="1"/>
      <protection locked="0"/>
    </xf>
    <xf numFmtId="0" fontId="40" fillId="13" borderId="12" xfId="533" applyFont="1" applyFill="1" applyBorder="1" applyAlignment="1" applyProtection="1">
      <alignment horizontal="center" vertical="center" wrapText="1"/>
      <protection locked="0"/>
    </xf>
    <xf numFmtId="0" fontId="40" fillId="13" borderId="13" xfId="533" applyFont="1" applyFill="1" applyBorder="1" applyAlignment="1" applyProtection="1">
      <alignment horizontal="center" vertical="center" wrapText="1"/>
      <protection locked="0"/>
    </xf>
    <xf numFmtId="0" fontId="40" fillId="13" borderId="1" xfId="533" applyFont="1" applyFill="1" applyBorder="1" applyAlignment="1" applyProtection="1">
      <alignment horizontal="center" vertical="top" wrapText="1"/>
      <protection locked="0"/>
    </xf>
    <xf numFmtId="0" fontId="9" fillId="0" borderId="2" xfId="533" applyFont="1" applyBorder="1" applyAlignment="1" applyProtection="1">
      <alignment horizontal="center" vertical="top" wrapText="1"/>
      <protection locked="0"/>
    </xf>
    <xf numFmtId="0" fontId="9" fillId="0" borderId="3" xfId="533" applyFont="1" applyBorder="1" applyAlignment="1" applyProtection="1">
      <alignment horizontal="center" vertical="top" wrapText="1"/>
      <protection locked="0"/>
    </xf>
    <xf numFmtId="0" fontId="9" fillId="0" borderId="4" xfId="533" applyFont="1" applyBorder="1" applyAlignment="1" applyProtection="1">
      <alignment horizontal="center" vertical="top" wrapText="1"/>
      <protection locked="0"/>
    </xf>
    <xf numFmtId="0" fontId="40" fillId="13" borderId="1" xfId="533" applyFont="1" applyFill="1" applyBorder="1" applyAlignment="1" applyProtection="1">
      <alignment horizontal="center" vertical="center" wrapText="1"/>
      <protection locked="0"/>
    </xf>
    <xf numFmtId="173" fontId="27" fillId="28" borderId="1" xfId="533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533" applyFont="1" applyBorder="1" applyAlignment="1" applyProtection="1">
      <alignment horizontal="center" wrapText="1"/>
      <protection locked="0"/>
    </xf>
    <xf numFmtId="49" fontId="51" fillId="0" borderId="1" xfId="533" applyNumberFormat="1" applyFont="1" applyBorder="1" applyAlignment="1" applyProtection="1">
      <alignment horizontal="center" vertical="center"/>
      <protection locked="0"/>
    </xf>
    <xf numFmtId="171" fontId="10" fillId="0" borderId="0" xfId="503" applyNumberFormat="1" applyFont="1" applyBorder="1" applyAlignment="1" applyProtection="1">
      <alignment horizontal="center" vertical="center" wrapText="1"/>
      <protection locked="0"/>
    </xf>
    <xf numFmtId="173" fontId="27" fillId="13" borderId="2" xfId="533" applyNumberFormat="1" applyFont="1" applyFill="1" applyBorder="1" applyAlignment="1" applyProtection="1">
      <alignment horizontal="center" vertical="center" wrapText="1"/>
      <protection locked="0"/>
    </xf>
    <xf numFmtId="173" fontId="27" fillId="13" borderId="3" xfId="533" applyNumberFormat="1" applyFont="1" applyFill="1" applyBorder="1" applyAlignment="1" applyProtection="1">
      <alignment horizontal="center" vertical="center" wrapText="1"/>
      <protection locked="0"/>
    </xf>
    <xf numFmtId="173" fontId="27" fillId="13" borderId="4" xfId="533" applyNumberFormat="1" applyFont="1" applyFill="1" applyBorder="1" applyAlignment="1" applyProtection="1">
      <alignment horizontal="center" vertical="center" wrapText="1"/>
      <protection locked="0"/>
    </xf>
    <xf numFmtId="0" fontId="33" fillId="21" borderId="8" xfId="533" applyNumberFormat="1" applyFont="1" applyFill="1" applyBorder="1" applyAlignment="1" applyProtection="1">
      <alignment horizontal="center" vertical="center" wrapText="1"/>
      <protection locked="0"/>
    </xf>
    <xf numFmtId="0" fontId="33" fillId="21" borderId="9" xfId="533" applyNumberFormat="1" applyFont="1" applyFill="1" applyBorder="1" applyAlignment="1" applyProtection="1">
      <alignment horizontal="center" vertical="center" wrapText="1"/>
      <protection locked="0"/>
    </xf>
    <xf numFmtId="0" fontId="29" fillId="23" borderId="1" xfId="533" applyNumberFormat="1" applyFont="1" applyFill="1" applyBorder="1" applyAlignment="1" applyProtection="1">
      <alignment horizontal="right" vertical="center"/>
    </xf>
    <xf numFmtId="0" fontId="15" fillId="27" borderId="10" xfId="533" applyNumberFormat="1" applyFont="1" applyFill="1" applyBorder="1" applyAlignment="1" applyProtection="1">
      <alignment horizontal="right" vertical="center"/>
    </xf>
    <xf numFmtId="0" fontId="29" fillId="22" borderId="1" xfId="533" applyNumberFormat="1" applyFont="1" applyFill="1" applyBorder="1" applyAlignment="1" applyProtection="1">
      <alignment horizontal="center" vertical="center" wrapText="1"/>
    </xf>
    <xf numFmtId="0" fontId="29" fillId="23" borderId="1" xfId="533" applyNumberFormat="1" applyFont="1" applyFill="1" applyBorder="1" applyAlignment="1" applyProtection="1">
      <alignment horizontal="center" vertical="center" wrapText="1"/>
    </xf>
    <xf numFmtId="0" fontId="29" fillId="24" borderId="1" xfId="533" applyNumberFormat="1" applyFont="1" applyFill="1" applyBorder="1" applyAlignment="1" applyProtection="1">
      <alignment horizontal="center" vertical="center" textRotation="90"/>
    </xf>
    <xf numFmtId="0" fontId="38" fillId="25" borderId="1" xfId="533" applyNumberFormat="1" applyFont="1" applyFill="1" applyBorder="1" applyAlignment="1" applyProtection="1">
      <alignment horizontal="center" vertical="center" textRotation="90" wrapText="1"/>
    </xf>
    <xf numFmtId="0" fontId="33" fillId="13" borderId="1" xfId="533" applyFont="1" applyFill="1" applyBorder="1" applyAlignment="1" applyProtection="1">
      <alignment horizontal="center" vertical="center" wrapText="1"/>
      <protection locked="0"/>
    </xf>
    <xf numFmtId="0" fontId="34" fillId="0" borderId="2" xfId="533" applyFont="1" applyBorder="1" applyAlignment="1" applyProtection="1">
      <alignment horizontal="center" wrapText="1"/>
      <protection locked="0"/>
    </xf>
    <xf numFmtId="0" fontId="34" fillId="0" borderId="3" xfId="533" applyFont="1" applyBorder="1" applyAlignment="1" applyProtection="1">
      <alignment horizontal="center" wrapText="1"/>
      <protection locked="0"/>
    </xf>
    <xf numFmtId="0" fontId="34" fillId="0" borderId="4" xfId="533" applyFont="1" applyBorder="1" applyAlignment="1" applyProtection="1">
      <alignment horizontal="center" wrapText="1"/>
      <protection locked="0"/>
    </xf>
    <xf numFmtId="49" fontId="39" fillId="0" borderId="1" xfId="533" applyNumberFormat="1" applyFont="1" applyBorder="1" applyAlignment="1" applyProtection="1">
      <alignment horizontal="center" vertical="center"/>
      <protection locked="0"/>
    </xf>
    <xf numFmtId="0" fontId="32" fillId="13" borderId="1" xfId="533" applyFont="1" applyFill="1" applyBorder="1" applyAlignment="1" applyProtection="1">
      <alignment horizontal="center" vertical="center" wrapText="1"/>
      <protection locked="0"/>
    </xf>
    <xf numFmtId="173" fontId="27" fillId="13" borderId="1" xfId="533" applyNumberFormat="1" applyFont="1" applyFill="1" applyBorder="1" applyAlignment="1" applyProtection="1">
      <alignment horizontal="center" vertical="center" wrapText="1"/>
      <protection locked="0"/>
    </xf>
    <xf numFmtId="0" fontId="20" fillId="10" borderId="1" xfId="0" applyFont="1" applyFill="1" applyBorder="1" applyAlignment="1" applyProtection="1">
      <alignment horizontal="center" vertical="center"/>
    </xf>
    <xf numFmtId="0" fontId="20" fillId="10" borderId="2" xfId="0" applyFont="1" applyFill="1" applyBorder="1" applyAlignment="1" applyProtection="1">
      <alignment horizontal="center" wrapText="1"/>
    </xf>
    <xf numFmtId="0" fontId="20" fillId="10" borderId="3" xfId="0" applyFont="1" applyFill="1" applyBorder="1" applyAlignment="1" applyProtection="1">
      <alignment horizontal="center" wrapText="1"/>
    </xf>
    <xf numFmtId="0" fontId="20" fillId="13" borderId="1" xfId="0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left"/>
      <protection locked="0"/>
    </xf>
    <xf numFmtId="166" fontId="24" fillId="12" borderId="5" xfId="10" applyFont="1" applyFill="1" applyBorder="1" applyAlignment="1" applyProtection="1">
      <alignment horizontal="center"/>
    </xf>
    <xf numFmtId="166" fontId="24" fillId="12" borderId="6" xfId="10" applyFont="1" applyFill="1" applyBorder="1" applyAlignment="1" applyProtection="1">
      <alignment horizontal="center"/>
    </xf>
    <xf numFmtId="166" fontId="24" fillId="12" borderId="7" xfId="10" applyFont="1" applyFill="1" applyBorder="1" applyAlignment="1" applyProtection="1">
      <alignment horizontal="center"/>
    </xf>
    <xf numFmtId="0" fontId="22" fillId="0" borderId="0" xfId="0" applyFont="1" applyBorder="1" applyAlignment="1" applyProtection="1">
      <alignment horizontal="left" wrapText="1"/>
    </xf>
    <xf numFmtId="0" fontId="24" fillId="0" borderId="0" xfId="0" applyFont="1" applyFill="1" applyBorder="1" applyAlignment="1" applyProtection="1">
      <alignment horizontal="left" wrapText="1"/>
    </xf>
    <xf numFmtId="0" fontId="22" fillId="0" borderId="0" xfId="0" applyFont="1" applyFill="1" applyBorder="1" applyAlignment="1" applyProtection="1">
      <alignment horizontal="left"/>
    </xf>
    <xf numFmtId="0" fontId="24" fillId="16" borderId="0" xfId="0" applyFont="1" applyFill="1" applyBorder="1" applyAlignment="1" applyProtection="1">
      <alignment horizontal="left"/>
    </xf>
    <xf numFmtId="0" fontId="22" fillId="0" borderId="0" xfId="0" applyFont="1" applyBorder="1" applyAlignment="1" applyProtection="1">
      <alignment horizontal="left"/>
    </xf>
    <xf numFmtId="0" fontId="20" fillId="10" borderId="1" xfId="0" applyFont="1" applyFill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 wrapText="1"/>
      <protection locked="0"/>
    </xf>
    <xf numFmtId="0" fontId="23" fillId="11" borderId="1" xfId="0" applyFont="1" applyFill="1" applyBorder="1" applyAlignment="1" applyProtection="1">
      <alignment horizontal="center" vertical="center" wrapText="1"/>
    </xf>
    <xf numFmtId="0" fontId="23" fillId="11" borderId="1" xfId="0" applyFont="1" applyFill="1" applyBorder="1" applyAlignment="1" applyProtection="1">
      <alignment horizontal="center" wrapText="1"/>
    </xf>
    <xf numFmtId="0" fontId="23" fillId="11" borderId="1" xfId="0" applyFont="1" applyFill="1" applyBorder="1" applyAlignment="1" applyProtection="1">
      <alignment horizontal="center"/>
    </xf>
    <xf numFmtId="0" fontId="141" fillId="10" borderId="1" xfId="0" applyFont="1" applyFill="1" applyBorder="1" applyAlignment="1" applyProtection="1">
      <alignment horizontal="center" vertical="center" wrapText="1"/>
      <protection locked="0"/>
    </xf>
    <xf numFmtId="0" fontId="141" fillId="10" borderId="1" xfId="0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left" wrapText="1"/>
    </xf>
    <xf numFmtId="0" fontId="17" fillId="0" borderId="3" xfId="0" applyFont="1" applyBorder="1" applyAlignment="1" applyProtection="1">
      <alignment horizontal="left" wrapText="1"/>
    </xf>
    <xf numFmtId="0" fontId="17" fillId="0" borderId="4" xfId="0" applyFont="1" applyBorder="1" applyAlignment="1" applyProtection="1">
      <alignment horizontal="left" wrapText="1"/>
    </xf>
    <xf numFmtId="0" fontId="13" fillId="4" borderId="5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 applyProtection="1">
      <alignment horizontal="center" vertical="center"/>
    </xf>
    <xf numFmtId="0" fontId="17" fillId="9" borderId="2" xfId="0" applyFont="1" applyFill="1" applyBorder="1" applyAlignment="1" applyProtection="1">
      <alignment horizontal="center" wrapText="1"/>
    </xf>
    <xf numFmtId="0" fontId="17" fillId="9" borderId="3" xfId="0" applyFont="1" applyFill="1" applyBorder="1" applyAlignment="1" applyProtection="1">
      <alignment horizontal="center" wrapText="1"/>
    </xf>
    <xf numFmtId="0" fontId="17" fillId="9" borderId="4" xfId="0" applyFont="1" applyFill="1" applyBorder="1" applyAlignment="1" applyProtection="1">
      <alignment horizontal="center" wrapText="1"/>
    </xf>
    <xf numFmtId="0" fontId="142" fillId="2" borderId="1" xfId="0" applyFont="1" applyFill="1" applyBorder="1" applyAlignment="1" applyProtection="1">
      <alignment horizont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3" xfId="0" applyFont="1" applyFill="1" applyBorder="1" applyAlignment="1" applyProtection="1">
      <alignment horizontal="center" wrapText="1"/>
      <protection locked="0"/>
    </xf>
    <xf numFmtId="0" fontId="11" fillId="2" borderId="4" xfId="0" applyFont="1" applyFill="1" applyBorder="1" applyAlignment="1" applyProtection="1">
      <alignment horizontal="center" wrapText="1"/>
      <protection locked="0"/>
    </xf>
    <xf numFmtId="180" fontId="137" fillId="0" borderId="1" xfId="10" applyNumberFormat="1" applyFont="1" applyBorder="1" applyAlignment="1" applyProtection="1">
      <alignment vertical="center"/>
      <protection locked="0"/>
    </xf>
  </cellXfs>
  <cellStyles count="601">
    <cellStyle name="20% - Ênfase1 10" xfId="20" xr:uid="{00000000-0005-0000-0000-000000000000}"/>
    <cellStyle name="20% - Ênfase1 10 2" xfId="50" xr:uid="{00000000-0005-0000-0000-000001000000}"/>
    <cellStyle name="20% - Ênfase1 11" xfId="54" xr:uid="{00000000-0005-0000-0000-000002000000}"/>
    <cellStyle name="20% - Ênfase1 11 2" xfId="42" xr:uid="{00000000-0005-0000-0000-000003000000}"/>
    <cellStyle name="20% - Ênfase1 12" xfId="38" xr:uid="{00000000-0005-0000-0000-000004000000}"/>
    <cellStyle name="20% - Ênfase1 13" xfId="41" xr:uid="{00000000-0005-0000-0000-000005000000}"/>
    <cellStyle name="20% - Ênfase1 14" xfId="4" xr:uid="{00000000-0005-0000-0000-000006000000}"/>
    <cellStyle name="20% - Ênfase1 15" xfId="56" xr:uid="{00000000-0005-0000-0000-000007000000}"/>
    <cellStyle name="20% - Ênfase1 16" xfId="58" xr:uid="{00000000-0005-0000-0000-000008000000}"/>
    <cellStyle name="20% - Ênfase1 17" xfId="59" xr:uid="{00000000-0005-0000-0000-000009000000}"/>
    <cellStyle name="20% - Ênfase1 18" xfId="45" xr:uid="{00000000-0005-0000-0000-00000A000000}"/>
    <cellStyle name="20% - Ênfase1 19" xfId="61" xr:uid="{00000000-0005-0000-0000-00000B000000}"/>
    <cellStyle name="20% - Ênfase1 2" xfId="19" xr:uid="{00000000-0005-0000-0000-00000C000000}"/>
    <cellStyle name="20% - Ênfase1 2 2" xfId="65" xr:uid="{00000000-0005-0000-0000-00000D000000}"/>
    <cellStyle name="20% - Ênfase1 20" xfId="55" xr:uid="{00000000-0005-0000-0000-00000E000000}"/>
    <cellStyle name="20% - Ênfase1 21" xfId="57" xr:uid="{00000000-0005-0000-0000-00000F000000}"/>
    <cellStyle name="20% - Ênfase1 22" xfId="60" xr:uid="{00000000-0005-0000-0000-000010000000}"/>
    <cellStyle name="20% - Ênfase1 23" xfId="46" xr:uid="{00000000-0005-0000-0000-000011000000}"/>
    <cellStyle name="20% - Ênfase1 3" xfId="66" xr:uid="{00000000-0005-0000-0000-000012000000}"/>
    <cellStyle name="20% - Ênfase1 3 2" xfId="68" xr:uid="{00000000-0005-0000-0000-000013000000}"/>
    <cellStyle name="20% - Ênfase1 4" xfId="69" xr:uid="{00000000-0005-0000-0000-000014000000}"/>
    <cellStyle name="20% - Ênfase1 4 2" xfId="70" xr:uid="{00000000-0005-0000-0000-000015000000}"/>
    <cellStyle name="20% - Ênfase1 5" xfId="71" xr:uid="{00000000-0005-0000-0000-000016000000}"/>
    <cellStyle name="20% - Ênfase1 5 2" xfId="72" xr:uid="{00000000-0005-0000-0000-000017000000}"/>
    <cellStyle name="20% - Ênfase1 6" xfId="75" xr:uid="{00000000-0005-0000-0000-000018000000}"/>
    <cellStyle name="20% - Ênfase1 6 2" xfId="77" xr:uid="{00000000-0005-0000-0000-000019000000}"/>
    <cellStyle name="20% - Ênfase1 7" xfId="80" xr:uid="{00000000-0005-0000-0000-00001A000000}"/>
    <cellStyle name="20% - Ênfase1 7 2" xfId="84" xr:uid="{00000000-0005-0000-0000-00001B000000}"/>
    <cellStyle name="20% - Ênfase1 8" xfId="44" xr:uid="{00000000-0005-0000-0000-00001C000000}"/>
    <cellStyle name="20% - Ênfase1 8 2" xfId="86" xr:uid="{00000000-0005-0000-0000-00001D000000}"/>
    <cellStyle name="20% - Ênfase1 9" xfId="88" xr:uid="{00000000-0005-0000-0000-00001E000000}"/>
    <cellStyle name="20% - Ênfase1 9 2" xfId="89" xr:uid="{00000000-0005-0000-0000-00001F000000}"/>
    <cellStyle name="20% - Ênfase2 10" xfId="92" xr:uid="{00000000-0005-0000-0000-000020000000}"/>
    <cellStyle name="20% - Ênfase2 10 2" xfId="95" xr:uid="{00000000-0005-0000-0000-000021000000}"/>
    <cellStyle name="20% - Ênfase2 11" xfId="101" xr:uid="{00000000-0005-0000-0000-000022000000}"/>
    <cellStyle name="20% - Ênfase2 12" xfId="102" xr:uid="{00000000-0005-0000-0000-000023000000}"/>
    <cellStyle name="20% - Ênfase2 13" xfId="103" xr:uid="{00000000-0005-0000-0000-000024000000}"/>
    <cellStyle name="20% - Ênfase2 14" xfId="104" xr:uid="{00000000-0005-0000-0000-000025000000}"/>
    <cellStyle name="20% - Ênfase2 15" xfId="105" xr:uid="{00000000-0005-0000-0000-000026000000}"/>
    <cellStyle name="20% - Ênfase2 16" xfId="107" xr:uid="{00000000-0005-0000-0000-000027000000}"/>
    <cellStyle name="20% - Ênfase2 17" xfId="109" xr:uid="{00000000-0005-0000-0000-000028000000}"/>
    <cellStyle name="20% - Ênfase2 18" xfId="111" xr:uid="{00000000-0005-0000-0000-000029000000}"/>
    <cellStyle name="20% - Ênfase2 19" xfId="112" xr:uid="{00000000-0005-0000-0000-00002A000000}"/>
    <cellStyle name="20% - Ênfase2 2" xfId="113" xr:uid="{00000000-0005-0000-0000-00002B000000}"/>
    <cellStyle name="20% - Ênfase2 2 2" xfId="119" xr:uid="{00000000-0005-0000-0000-00002C000000}"/>
    <cellStyle name="20% - Ênfase2 20" xfId="106" xr:uid="{00000000-0005-0000-0000-00002D000000}"/>
    <cellStyle name="20% - Ênfase2 21" xfId="108" xr:uid="{00000000-0005-0000-0000-00002E000000}"/>
    <cellStyle name="20% - Ênfase2 22" xfId="110" xr:uid="{00000000-0005-0000-0000-00002F000000}"/>
    <cellStyle name="20% - Ênfase2 3" xfId="122" xr:uid="{00000000-0005-0000-0000-000030000000}"/>
    <cellStyle name="20% - Ênfase2 3 2" xfId="126" xr:uid="{00000000-0005-0000-0000-000031000000}"/>
    <cellStyle name="20% - Ênfase2 4" xfId="127" xr:uid="{00000000-0005-0000-0000-000032000000}"/>
    <cellStyle name="20% - Ênfase2 4 2" xfId="79" xr:uid="{00000000-0005-0000-0000-000033000000}"/>
    <cellStyle name="20% - Ênfase2 5" xfId="130" xr:uid="{00000000-0005-0000-0000-000034000000}"/>
    <cellStyle name="20% - Ênfase2 5 2" xfId="135" xr:uid="{00000000-0005-0000-0000-000035000000}"/>
    <cellStyle name="20% - Ênfase2 6" xfId="139" xr:uid="{00000000-0005-0000-0000-000036000000}"/>
    <cellStyle name="20% - Ênfase2 6 2" xfId="144" xr:uid="{00000000-0005-0000-0000-000037000000}"/>
    <cellStyle name="20% - Ênfase2 7" xfId="134" xr:uid="{00000000-0005-0000-0000-000038000000}"/>
    <cellStyle name="20% - Ênfase2 7 2" xfId="150" xr:uid="{00000000-0005-0000-0000-000039000000}"/>
    <cellStyle name="20% - Ênfase2 8" xfId="152" xr:uid="{00000000-0005-0000-0000-00003A000000}"/>
    <cellStyle name="20% - Ênfase2 8 2" xfId="156" xr:uid="{00000000-0005-0000-0000-00003B000000}"/>
    <cellStyle name="20% - Ênfase2 9" xfId="158" xr:uid="{00000000-0005-0000-0000-00003C000000}"/>
    <cellStyle name="20% - Ênfase2 9 2" xfId="161" xr:uid="{00000000-0005-0000-0000-00003D000000}"/>
    <cellStyle name="20% - Ênfase3 10" xfId="162" xr:uid="{00000000-0005-0000-0000-00003E000000}"/>
    <cellStyle name="20% - Ênfase3 10 2" xfId="164" xr:uid="{00000000-0005-0000-0000-00003F000000}"/>
    <cellStyle name="20% - Ênfase3 11" xfId="167" xr:uid="{00000000-0005-0000-0000-000040000000}"/>
    <cellStyle name="20% - Ênfase3 12" xfId="170" xr:uid="{00000000-0005-0000-0000-000041000000}"/>
    <cellStyle name="20% - Ênfase3 13" xfId="171" xr:uid="{00000000-0005-0000-0000-000042000000}"/>
    <cellStyle name="20% - Ênfase3 14" xfId="172" xr:uid="{00000000-0005-0000-0000-000043000000}"/>
    <cellStyle name="20% - Ênfase3 15" xfId="174" xr:uid="{00000000-0005-0000-0000-000044000000}"/>
    <cellStyle name="20% - Ênfase3 16" xfId="176" xr:uid="{00000000-0005-0000-0000-000045000000}"/>
    <cellStyle name="20% - Ênfase3 17" xfId="178" xr:uid="{00000000-0005-0000-0000-000046000000}"/>
    <cellStyle name="20% - Ênfase3 18" xfId="180" xr:uid="{00000000-0005-0000-0000-000047000000}"/>
    <cellStyle name="20% - Ênfase3 19" xfId="181" xr:uid="{00000000-0005-0000-0000-000048000000}"/>
    <cellStyle name="20% - Ênfase3 2" xfId="182" xr:uid="{00000000-0005-0000-0000-000049000000}"/>
    <cellStyle name="20% - Ênfase3 2 2" xfId="52" xr:uid="{00000000-0005-0000-0000-00004A000000}"/>
    <cellStyle name="20% - Ênfase3 20" xfId="175" xr:uid="{00000000-0005-0000-0000-00004B000000}"/>
    <cellStyle name="20% - Ênfase3 21" xfId="177" xr:uid="{00000000-0005-0000-0000-00004C000000}"/>
    <cellStyle name="20% - Ênfase3 22" xfId="179" xr:uid="{00000000-0005-0000-0000-00004D000000}"/>
    <cellStyle name="20% - Ênfase3 3" xfId="184" xr:uid="{00000000-0005-0000-0000-00004E000000}"/>
    <cellStyle name="20% - Ênfase3 3 2" xfId="185" xr:uid="{00000000-0005-0000-0000-00004F000000}"/>
    <cellStyle name="20% - Ênfase3 4" xfId="188" xr:uid="{00000000-0005-0000-0000-000050000000}"/>
    <cellStyle name="20% - Ênfase3 4 2" xfId="189" xr:uid="{00000000-0005-0000-0000-000051000000}"/>
    <cellStyle name="20% - Ênfase3 5" xfId="190" xr:uid="{00000000-0005-0000-0000-000052000000}"/>
    <cellStyle name="20% - Ênfase3 5 2" xfId="191" xr:uid="{00000000-0005-0000-0000-000053000000}"/>
    <cellStyle name="20% - Ênfase3 6" xfId="193" xr:uid="{00000000-0005-0000-0000-000054000000}"/>
    <cellStyle name="20% - Ênfase3 6 2" xfId="195" xr:uid="{00000000-0005-0000-0000-000055000000}"/>
    <cellStyle name="20% - Ênfase3 7" xfId="146" xr:uid="{00000000-0005-0000-0000-000056000000}"/>
    <cellStyle name="20% - Ênfase3 7 2" xfId="100" xr:uid="{00000000-0005-0000-0000-000057000000}"/>
    <cellStyle name="20% - Ênfase3 8" xfId="198" xr:uid="{00000000-0005-0000-0000-000058000000}"/>
    <cellStyle name="20% - Ênfase3 8 2" xfId="201" xr:uid="{00000000-0005-0000-0000-000059000000}"/>
    <cellStyle name="20% - Ênfase3 9" xfId="206" xr:uid="{00000000-0005-0000-0000-00005A000000}"/>
    <cellStyle name="20% - Ênfase3 9 2" xfId="28" xr:uid="{00000000-0005-0000-0000-00005B000000}"/>
    <cellStyle name="20% - Ênfase4 10" xfId="207" xr:uid="{00000000-0005-0000-0000-00005C000000}"/>
    <cellStyle name="20% - Ênfase4 10 2" xfId="209" xr:uid="{00000000-0005-0000-0000-00005D000000}"/>
    <cellStyle name="20% - Ênfase4 11" xfId="210" xr:uid="{00000000-0005-0000-0000-00005E000000}"/>
    <cellStyle name="20% - Ênfase4 12" xfId="213" xr:uid="{00000000-0005-0000-0000-00005F000000}"/>
    <cellStyle name="20% - Ênfase4 13" xfId="215" xr:uid="{00000000-0005-0000-0000-000060000000}"/>
    <cellStyle name="20% - Ênfase4 14" xfId="218" xr:uid="{00000000-0005-0000-0000-000061000000}"/>
    <cellStyle name="20% - Ênfase4 15" xfId="221" xr:uid="{00000000-0005-0000-0000-000062000000}"/>
    <cellStyle name="20% - Ênfase4 16" xfId="225" xr:uid="{00000000-0005-0000-0000-000063000000}"/>
    <cellStyle name="20% - Ênfase4 17" xfId="229" xr:uid="{00000000-0005-0000-0000-000064000000}"/>
    <cellStyle name="20% - Ênfase4 18" xfId="232" xr:uid="{00000000-0005-0000-0000-000065000000}"/>
    <cellStyle name="20% - Ênfase4 19" xfId="234" xr:uid="{00000000-0005-0000-0000-000066000000}"/>
    <cellStyle name="20% - Ênfase4 2" xfId="47" xr:uid="{00000000-0005-0000-0000-000067000000}"/>
    <cellStyle name="20% - Ênfase4 2 2" xfId="236" xr:uid="{00000000-0005-0000-0000-000068000000}"/>
    <cellStyle name="20% - Ênfase4 20" xfId="222" xr:uid="{00000000-0005-0000-0000-000069000000}"/>
    <cellStyle name="20% - Ênfase4 21" xfId="226" xr:uid="{00000000-0005-0000-0000-00006A000000}"/>
    <cellStyle name="20% - Ênfase4 22" xfId="230" xr:uid="{00000000-0005-0000-0000-00006B000000}"/>
    <cellStyle name="20% - Ênfase4 3" xfId="62" xr:uid="{00000000-0005-0000-0000-00006C000000}"/>
    <cellStyle name="20% - Ênfase4 3 2" xfId="33" xr:uid="{00000000-0005-0000-0000-00006D000000}"/>
    <cellStyle name="20% - Ênfase4 4" xfId="237" xr:uid="{00000000-0005-0000-0000-00006E000000}"/>
    <cellStyle name="20% - Ênfase4 4 2" xfId="238" xr:uid="{00000000-0005-0000-0000-00006F000000}"/>
    <cellStyle name="20% - Ênfase4 5" xfId="239" xr:uid="{00000000-0005-0000-0000-000070000000}"/>
    <cellStyle name="20% - Ênfase4 5 2" xfId="240" xr:uid="{00000000-0005-0000-0000-000071000000}"/>
    <cellStyle name="20% - Ênfase4 6" xfId="242" xr:uid="{00000000-0005-0000-0000-000072000000}"/>
    <cellStyle name="20% - Ênfase4 6 2" xfId="244" xr:uid="{00000000-0005-0000-0000-000073000000}"/>
    <cellStyle name="20% - Ênfase4 7" xfId="149" xr:uid="{00000000-0005-0000-0000-000074000000}"/>
    <cellStyle name="20% - Ênfase4 7 2" xfId="246" xr:uid="{00000000-0005-0000-0000-000075000000}"/>
    <cellStyle name="20% - Ênfase4 8" xfId="248" xr:uid="{00000000-0005-0000-0000-000076000000}"/>
    <cellStyle name="20% - Ênfase4 8 2" xfId="250" xr:uid="{00000000-0005-0000-0000-000077000000}"/>
    <cellStyle name="20% - Ênfase4 9" xfId="252" xr:uid="{00000000-0005-0000-0000-000078000000}"/>
    <cellStyle name="20% - Ênfase4 9 2" xfId="256" xr:uid="{00000000-0005-0000-0000-000079000000}"/>
    <cellStyle name="20% - Ênfase5 10" xfId="145" xr:uid="{00000000-0005-0000-0000-00007A000000}"/>
    <cellStyle name="20% - Ênfase5 10 2" xfId="99" xr:uid="{00000000-0005-0000-0000-00007B000000}"/>
    <cellStyle name="20% - Ênfase5 11" xfId="197" xr:uid="{00000000-0005-0000-0000-00007C000000}"/>
    <cellStyle name="20% - Ênfase5 12" xfId="205" xr:uid="{00000000-0005-0000-0000-00007D000000}"/>
    <cellStyle name="20% - Ênfase5 13" xfId="258" xr:uid="{00000000-0005-0000-0000-00007E000000}"/>
    <cellStyle name="20% - Ênfase5 14" xfId="260" xr:uid="{00000000-0005-0000-0000-00007F000000}"/>
    <cellStyle name="20% - Ênfase5 15" xfId="262" xr:uid="{00000000-0005-0000-0000-000080000000}"/>
    <cellStyle name="20% - Ênfase5 16" xfId="265" xr:uid="{00000000-0005-0000-0000-000081000000}"/>
    <cellStyle name="20% - Ênfase5 17" xfId="31" xr:uid="{00000000-0005-0000-0000-000082000000}"/>
    <cellStyle name="20% - Ênfase5 18" xfId="35" xr:uid="{00000000-0005-0000-0000-000083000000}"/>
    <cellStyle name="20% - Ênfase5 19" xfId="17" xr:uid="{00000000-0005-0000-0000-000084000000}"/>
    <cellStyle name="20% - Ênfase5 2" xfId="268" xr:uid="{00000000-0005-0000-0000-000085000000}"/>
    <cellStyle name="20% - Ênfase5 2 2" xfId="270" xr:uid="{00000000-0005-0000-0000-000086000000}"/>
    <cellStyle name="20% - Ênfase5 20" xfId="263" xr:uid="{00000000-0005-0000-0000-000087000000}"/>
    <cellStyle name="20% - Ênfase5 21" xfId="266" xr:uid="{00000000-0005-0000-0000-000088000000}"/>
    <cellStyle name="20% - Ênfase5 22" xfId="32" xr:uid="{00000000-0005-0000-0000-000089000000}"/>
    <cellStyle name="20% - Ênfase5 3" xfId="272" xr:uid="{00000000-0005-0000-0000-00008A000000}"/>
    <cellStyle name="20% - Ênfase5 3 2" xfId="169" xr:uid="{00000000-0005-0000-0000-00008B000000}"/>
    <cellStyle name="20% - Ênfase5 4" xfId="274" xr:uid="{00000000-0005-0000-0000-00008C000000}"/>
    <cellStyle name="20% - Ênfase5 4 2" xfId="278" xr:uid="{00000000-0005-0000-0000-00008D000000}"/>
    <cellStyle name="20% - Ênfase5 5" xfId="280" xr:uid="{00000000-0005-0000-0000-00008E000000}"/>
    <cellStyle name="20% - Ênfase5 5 2" xfId="282" xr:uid="{00000000-0005-0000-0000-00008F000000}"/>
    <cellStyle name="20% - Ênfase5 6" xfId="284" xr:uid="{00000000-0005-0000-0000-000090000000}"/>
    <cellStyle name="20% - Ênfase5 6 2" xfId="286" xr:uid="{00000000-0005-0000-0000-000091000000}"/>
    <cellStyle name="20% - Ênfase5 7" xfId="155" xr:uid="{00000000-0005-0000-0000-000092000000}"/>
    <cellStyle name="20% - Ênfase5 7 2" xfId="288" xr:uid="{00000000-0005-0000-0000-000093000000}"/>
    <cellStyle name="20% - Ênfase5 8" xfId="290" xr:uid="{00000000-0005-0000-0000-000094000000}"/>
    <cellStyle name="20% - Ênfase5 8 2" xfId="212" xr:uid="{00000000-0005-0000-0000-000095000000}"/>
    <cellStyle name="20% - Ênfase5 9" xfId="291" xr:uid="{00000000-0005-0000-0000-000096000000}"/>
    <cellStyle name="20% - Ênfase5 9 2" xfId="295" xr:uid="{00000000-0005-0000-0000-000097000000}"/>
    <cellStyle name="20% - Ênfase6 10" xfId="297" xr:uid="{00000000-0005-0000-0000-000098000000}"/>
    <cellStyle name="20% - Ênfase6 10 2" xfId="298" xr:uid="{00000000-0005-0000-0000-000099000000}"/>
    <cellStyle name="20% - Ênfase6 11" xfId="235" xr:uid="{00000000-0005-0000-0000-00009A000000}"/>
    <cellStyle name="20% - Ênfase6 12" xfId="299" xr:uid="{00000000-0005-0000-0000-00009B000000}"/>
    <cellStyle name="20% - Ênfase6 13" xfId="300" xr:uid="{00000000-0005-0000-0000-00009C000000}"/>
    <cellStyle name="20% - Ênfase6 14" xfId="301" xr:uid="{00000000-0005-0000-0000-00009D000000}"/>
    <cellStyle name="20% - Ênfase6 15" xfId="302" xr:uid="{00000000-0005-0000-0000-00009E000000}"/>
    <cellStyle name="20% - Ênfase6 16" xfId="304" xr:uid="{00000000-0005-0000-0000-00009F000000}"/>
    <cellStyle name="20% - Ênfase6 17" xfId="306" xr:uid="{00000000-0005-0000-0000-0000A0000000}"/>
    <cellStyle name="20% - Ênfase6 18" xfId="308" xr:uid="{00000000-0005-0000-0000-0000A1000000}"/>
    <cellStyle name="20% - Ênfase6 19" xfId="309" xr:uid="{00000000-0005-0000-0000-0000A2000000}"/>
    <cellStyle name="20% - Ênfase6 2" xfId="36" xr:uid="{00000000-0005-0000-0000-0000A3000000}"/>
    <cellStyle name="20% - Ênfase6 2 2" xfId="310" xr:uid="{00000000-0005-0000-0000-0000A4000000}"/>
    <cellStyle name="20% - Ênfase6 20" xfId="303" xr:uid="{00000000-0005-0000-0000-0000A5000000}"/>
    <cellStyle name="20% - Ênfase6 21" xfId="305" xr:uid="{00000000-0005-0000-0000-0000A6000000}"/>
    <cellStyle name="20% - Ênfase6 22" xfId="307" xr:uid="{00000000-0005-0000-0000-0000A7000000}"/>
    <cellStyle name="20% - Ênfase6 3" xfId="30" xr:uid="{00000000-0005-0000-0000-0000A8000000}"/>
    <cellStyle name="20% - Ênfase6 3 2" xfId="311" xr:uid="{00000000-0005-0000-0000-0000A9000000}"/>
    <cellStyle name="20% - Ênfase6 4" xfId="34" xr:uid="{00000000-0005-0000-0000-0000AA000000}"/>
    <cellStyle name="20% - Ênfase6 4 2" xfId="312" xr:uid="{00000000-0005-0000-0000-0000AB000000}"/>
    <cellStyle name="20% - Ênfase6 5" xfId="314" xr:uid="{00000000-0005-0000-0000-0000AC000000}"/>
    <cellStyle name="20% - Ênfase6 5 2" xfId="316" xr:uid="{00000000-0005-0000-0000-0000AD000000}"/>
    <cellStyle name="20% - Ênfase6 6" xfId="317" xr:uid="{00000000-0005-0000-0000-0000AE000000}"/>
    <cellStyle name="20% - Ênfase6 6 2" xfId="318" xr:uid="{00000000-0005-0000-0000-0000AF000000}"/>
    <cellStyle name="20% - Ênfase6 7" xfId="160" xr:uid="{00000000-0005-0000-0000-0000B0000000}"/>
    <cellStyle name="20% - Ênfase6 7 2" xfId="23" xr:uid="{00000000-0005-0000-0000-0000B1000000}"/>
    <cellStyle name="20% - Ênfase6 8" xfId="319" xr:uid="{00000000-0005-0000-0000-0000B2000000}"/>
    <cellStyle name="20% - Ênfase6 8 2" xfId="321" xr:uid="{00000000-0005-0000-0000-0000B3000000}"/>
    <cellStyle name="20% - Ênfase6 9" xfId="322" xr:uid="{00000000-0005-0000-0000-0000B4000000}"/>
    <cellStyle name="20% - Ênfase6 9 2" xfId="39" xr:uid="{00000000-0005-0000-0000-0000B5000000}"/>
    <cellStyle name="40% - Ênfase1 10" xfId="324" xr:uid="{00000000-0005-0000-0000-0000B6000000}"/>
    <cellStyle name="40% - Ênfase1 10 2" xfId="325" xr:uid="{00000000-0005-0000-0000-0000B7000000}"/>
    <cellStyle name="40% - Ênfase1 11" xfId="326" xr:uid="{00000000-0005-0000-0000-0000B8000000}"/>
    <cellStyle name="40% - Ênfase1 11 2" xfId="327" xr:uid="{00000000-0005-0000-0000-0000B9000000}"/>
    <cellStyle name="40% - Ênfase1 12" xfId="5" xr:uid="{00000000-0005-0000-0000-0000BA000000}"/>
    <cellStyle name="40% - Ênfase1 13" xfId="328" xr:uid="{00000000-0005-0000-0000-0000BB000000}"/>
    <cellStyle name="40% - Ênfase1 14" xfId="331" xr:uid="{00000000-0005-0000-0000-0000BC000000}"/>
    <cellStyle name="40% - Ênfase1 15" xfId="63" xr:uid="{00000000-0005-0000-0000-0000BD000000}"/>
    <cellStyle name="40% - Ênfase1 16" xfId="332" xr:uid="{00000000-0005-0000-0000-0000BE000000}"/>
    <cellStyle name="40% - Ênfase1 17" xfId="254" xr:uid="{00000000-0005-0000-0000-0000BF000000}"/>
    <cellStyle name="40% - Ênfase1 18" xfId="334" xr:uid="{00000000-0005-0000-0000-0000C0000000}"/>
    <cellStyle name="40% - Ênfase1 19" xfId="336" xr:uid="{00000000-0005-0000-0000-0000C1000000}"/>
    <cellStyle name="40% - Ênfase1 2" xfId="340" xr:uid="{00000000-0005-0000-0000-0000C2000000}"/>
    <cellStyle name="40% - Ênfase1 2 2" xfId="341" xr:uid="{00000000-0005-0000-0000-0000C3000000}"/>
    <cellStyle name="40% - Ênfase1 20" xfId="64" xr:uid="{00000000-0005-0000-0000-0000C4000000}"/>
    <cellStyle name="40% - Ênfase1 21" xfId="333" xr:uid="{00000000-0005-0000-0000-0000C5000000}"/>
    <cellStyle name="40% - Ênfase1 22" xfId="255" xr:uid="{00000000-0005-0000-0000-0000C6000000}"/>
    <cellStyle name="40% - Ênfase1 23" xfId="335" xr:uid="{00000000-0005-0000-0000-0000C7000000}"/>
    <cellStyle name="40% - Ênfase1 3" xfId="118" xr:uid="{00000000-0005-0000-0000-0000C8000000}"/>
    <cellStyle name="40% - Ênfase1 3 2" xfId="342" xr:uid="{00000000-0005-0000-0000-0000C9000000}"/>
    <cellStyle name="40% - Ênfase1 4" xfId="345" xr:uid="{00000000-0005-0000-0000-0000CA000000}"/>
    <cellStyle name="40% - Ênfase1 4 2" xfId="346" xr:uid="{00000000-0005-0000-0000-0000CB000000}"/>
    <cellStyle name="40% - Ênfase1 5" xfId="294" xr:uid="{00000000-0005-0000-0000-0000CC000000}"/>
    <cellStyle name="40% - Ênfase1 5 2" xfId="347" xr:uid="{00000000-0005-0000-0000-0000CD000000}"/>
    <cellStyle name="40% - Ênfase1 6" xfId="350" xr:uid="{00000000-0005-0000-0000-0000CE000000}"/>
    <cellStyle name="40% - Ênfase1 6 2" xfId="351" xr:uid="{00000000-0005-0000-0000-0000CF000000}"/>
    <cellStyle name="40% - Ênfase1 7" xfId="354" xr:uid="{00000000-0005-0000-0000-0000D0000000}"/>
    <cellStyle name="40% - Ênfase1 7 2" xfId="330" xr:uid="{00000000-0005-0000-0000-0000D1000000}"/>
    <cellStyle name="40% - Ênfase1 8" xfId="355" xr:uid="{00000000-0005-0000-0000-0000D2000000}"/>
    <cellStyle name="40% - Ênfase1 8 2" xfId="356" xr:uid="{00000000-0005-0000-0000-0000D3000000}"/>
    <cellStyle name="40% - Ênfase1 9" xfId="357" xr:uid="{00000000-0005-0000-0000-0000D4000000}"/>
    <cellStyle name="40% - Ênfase1 9 2" xfId="358" xr:uid="{00000000-0005-0000-0000-0000D5000000}"/>
    <cellStyle name="40% - Ênfase2 10" xfId="359" xr:uid="{00000000-0005-0000-0000-0000D6000000}"/>
    <cellStyle name="40% - Ênfase2 10 2" xfId="9" xr:uid="{00000000-0005-0000-0000-0000D7000000}"/>
    <cellStyle name="40% - Ênfase2 11" xfId="360" xr:uid="{00000000-0005-0000-0000-0000D8000000}"/>
    <cellStyle name="40% - Ênfase2 12" xfId="361" xr:uid="{00000000-0005-0000-0000-0000D9000000}"/>
    <cellStyle name="40% - Ênfase2 13" xfId="362" xr:uid="{00000000-0005-0000-0000-0000DA000000}"/>
    <cellStyle name="40% - Ênfase2 14" xfId="363" xr:uid="{00000000-0005-0000-0000-0000DB000000}"/>
    <cellStyle name="40% - Ênfase2 15" xfId="81" xr:uid="{00000000-0005-0000-0000-0000DC000000}"/>
    <cellStyle name="40% - Ênfase2 16" xfId="364" xr:uid="{00000000-0005-0000-0000-0000DD000000}"/>
    <cellStyle name="40% - Ênfase2 17" xfId="366" xr:uid="{00000000-0005-0000-0000-0000DE000000}"/>
    <cellStyle name="40% - Ênfase2 18" xfId="315" xr:uid="{00000000-0005-0000-0000-0000DF000000}"/>
    <cellStyle name="40% - Ênfase2 19" xfId="369" xr:uid="{00000000-0005-0000-0000-0000E0000000}"/>
    <cellStyle name="40% - Ênfase2 2" xfId="371" xr:uid="{00000000-0005-0000-0000-0000E1000000}"/>
    <cellStyle name="40% - Ênfase2 2 2" xfId="373" xr:uid="{00000000-0005-0000-0000-0000E2000000}"/>
    <cellStyle name="40% - Ênfase2 20" xfId="82" xr:uid="{00000000-0005-0000-0000-0000E3000000}"/>
    <cellStyle name="40% - Ênfase2 21" xfId="365" xr:uid="{00000000-0005-0000-0000-0000E4000000}"/>
    <cellStyle name="40% - Ênfase2 22" xfId="367" xr:uid="{00000000-0005-0000-0000-0000E5000000}"/>
    <cellStyle name="40% - Ênfase2 3" xfId="125" xr:uid="{00000000-0005-0000-0000-0000E6000000}"/>
    <cellStyle name="40% - Ênfase2 3 2" xfId="374" xr:uid="{00000000-0005-0000-0000-0000E7000000}"/>
    <cellStyle name="40% - Ênfase2 4" xfId="51" xr:uid="{00000000-0005-0000-0000-0000E8000000}"/>
    <cellStyle name="40% - Ênfase2 4 2" xfId="2" xr:uid="{00000000-0005-0000-0000-0000E9000000}"/>
    <cellStyle name="40% - Ênfase2 5" xfId="375" xr:uid="{00000000-0005-0000-0000-0000EA000000}"/>
    <cellStyle name="40% - Ênfase2 5 2" xfId="376" xr:uid="{00000000-0005-0000-0000-0000EB000000}"/>
    <cellStyle name="40% - Ênfase2 6" xfId="378" xr:uid="{00000000-0005-0000-0000-0000EC000000}"/>
    <cellStyle name="40% - Ênfase2 6 2" xfId="379" xr:uid="{00000000-0005-0000-0000-0000ED000000}"/>
    <cellStyle name="40% - Ênfase2 7" xfId="381" xr:uid="{00000000-0005-0000-0000-0000EE000000}"/>
    <cellStyle name="40% - Ênfase2 7 2" xfId="339" xr:uid="{00000000-0005-0000-0000-0000EF000000}"/>
    <cellStyle name="40% - Ênfase2 8" xfId="382" xr:uid="{00000000-0005-0000-0000-0000F0000000}"/>
    <cellStyle name="40% - Ênfase2 8 2" xfId="370" xr:uid="{00000000-0005-0000-0000-0000F1000000}"/>
    <cellStyle name="40% - Ênfase2 9" xfId="383" xr:uid="{00000000-0005-0000-0000-0000F2000000}"/>
    <cellStyle name="40% - Ênfase2 9 2" xfId="74" xr:uid="{00000000-0005-0000-0000-0000F3000000}"/>
    <cellStyle name="40% - Ênfase3 10" xfId="165" xr:uid="{00000000-0005-0000-0000-0000F4000000}"/>
    <cellStyle name="40% - Ênfase3 10 2" xfId="368" xr:uid="{00000000-0005-0000-0000-0000F5000000}"/>
    <cellStyle name="40% - Ênfase3 11" xfId="384" xr:uid="{00000000-0005-0000-0000-0000F6000000}"/>
    <cellStyle name="40% - Ênfase3 12" xfId="385" xr:uid="{00000000-0005-0000-0000-0000F7000000}"/>
    <cellStyle name="40% - Ênfase3 13" xfId="386" xr:uid="{00000000-0005-0000-0000-0000F8000000}"/>
    <cellStyle name="40% - Ênfase3 14" xfId="387" xr:uid="{00000000-0005-0000-0000-0000F9000000}"/>
    <cellStyle name="40% - Ênfase3 15" xfId="388" xr:uid="{00000000-0005-0000-0000-0000FA000000}"/>
    <cellStyle name="40% - Ênfase3 16" xfId="186" xr:uid="{00000000-0005-0000-0000-0000FB000000}"/>
    <cellStyle name="40% - Ênfase3 17" xfId="391" xr:uid="{00000000-0005-0000-0000-0000FC000000}"/>
    <cellStyle name="40% - Ênfase3 18" xfId="393" xr:uid="{00000000-0005-0000-0000-0000FD000000}"/>
    <cellStyle name="40% - Ênfase3 19" xfId="396" xr:uid="{00000000-0005-0000-0000-0000FE000000}"/>
    <cellStyle name="40% - Ênfase3 2" xfId="73" xr:uid="{00000000-0005-0000-0000-0000FF000000}"/>
    <cellStyle name="40% - Ênfase3 2 2" xfId="76" xr:uid="{00000000-0005-0000-0000-000000010000}"/>
    <cellStyle name="40% - Ênfase3 20" xfId="389" xr:uid="{00000000-0005-0000-0000-000001010000}"/>
    <cellStyle name="40% - Ênfase3 21" xfId="187" xr:uid="{00000000-0005-0000-0000-000002010000}"/>
    <cellStyle name="40% - Ênfase3 22" xfId="392" xr:uid="{00000000-0005-0000-0000-000003010000}"/>
    <cellStyle name="40% - Ênfase3 3" xfId="78" xr:uid="{00000000-0005-0000-0000-000004010000}"/>
    <cellStyle name="40% - Ênfase3 3 2" xfId="83" xr:uid="{00000000-0005-0000-0000-000005010000}"/>
    <cellStyle name="40% - Ênfase3 4" xfId="43" xr:uid="{00000000-0005-0000-0000-000006010000}"/>
    <cellStyle name="40% - Ênfase3 4 2" xfId="85" xr:uid="{00000000-0005-0000-0000-000007010000}"/>
    <cellStyle name="40% - Ênfase3 5" xfId="87" xr:uid="{00000000-0005-0000-0000-000008010000}"/>
    <cellStyle name="40% - Ênfase3 5 2" xfId="91" xr:uid="{00000000-0005-0000-0000-000009010000}"/>
    <cellStyle name="40% - Ênfase3 6" xfId="398" xr:uid="{00000000-0005-0000-0000-00000A010000}"/>
    <cellStyle name="40% - Ênfase3 6 2" xfId="400" xr:uid="{00000000-0005-0000-0000-00000B010000}"/>
    <cellStyle name="40% - Ênfase3 7" xfId="402" xr:uid="{00000000-0005-0000-0000-00000C010000}"/>
    <cellStyle name="40% - Ênfase3 7 2" xfId="21" xr:uid="{00000000-0005-0000-0000-00000D010000}"/>
    <cellStyle name="40% - Ênfase3 8" xfId="403" xr:uid="{00000000-0005-0000-0000-00000E010000}"/>
    <cellStyle name="40% - Ênfase3 8 2" xfId="390" xr:uid="{00000000-0005-0000-0000-00000F010000}"/>
    <cellStyle name="40% - Ênfase3 9" xfId="26" xr:uid="{00000000-0005-0000-0000-000010010000}"/>
    <cellStyle name="40% - Ênfase3 9 2" xfId="404" xr:uid="{00000000-0005-0000-0000-000011010000}"/>
    <cellStyle name="40% - Ênfase4 10" xfId="405" xr:uid="{00000000-0005-0000-0000-000012010000}"/>
    <cellStyle name="40% - Ênfase4 10 2" xfId="407" xr:uid="{00000000-0005-0000-0000-000013010000}"/>
    <cellStyle name="40% - Ênfase4 11" xfId="410" xr:uid="{00000000-0005-0000-0000-000014010000}"/>
    <cellStyle name="40% - Ênfase4 12" xfId="412" xr:uid="{00000000-0005-0000-0000-000015010000}"/>
    <cellStyle name="40% - Ênfase4 13" xfId="413" xr:uid="{00000000-0005-0000-0000-000016010000}"/>
    <cellStyle name="40% - Ênfase4 14" xfId="414" xr:uid="{00000000-0005-0000-0000-000017010000}"/>
    <cellStyle name="40% - Ênfase4 15" xfId="415" xr:uid="{00000000-0005-0000-0000-000018010000}"/>
    <cellStyle name="40% - Ênfase4 16" xfId="202" xr:uid="{00000000-0005-0000-0000-000019010000}"/>
    <cellStyle name="40% - Ênfase4 17" xfId="418" xr:uid="{00000000-0005-0000-0000-00001A010000}"/>
    <cellStyle name="40% - Ênfase4 18" xfId="421" xr:uid="{00000000-0005-0000-0000-00001B010000}"/>
    <cellStyle name="40% - Ênfase4 19" xfId="423" xr:uid="{00000000-0005-0000-0000-00001C010000}"/>
    <cellStyle name="40% - Ênfase4 2" xfId="138" xr:uid="{00000000-0005-0000-0000-00001D010000}"/>
    <cellStyle name="40% - Ênfase4 2 2" xfId="143" xr:uid="{00000000-0005-0000-0000-00001E010000}"/>
    <cellStyle name="40% - Ênfase4 20" xfId="416" xr:uid="{00000000-0005-0000-0000-00001F010000}"/>
    <cellStyle name="40% - Ênfase4 21" xfId="203" xr:uid="{00000000-0005-0000-0000-000020010000}"/>
    <cellStyle name="40% - Ênfase4 22" xfId="419" xr:uid="{00000000-0005-0000-0000-000021010000}"/>
    <cellStyle name="40% - Ênfase4 3" xfId="133" xr:uid="{00000000-0005-0000-0000-000022010000}"/>
    <cellStyle name="40% - Ênfase4 3 2" xfId="148" xr:uid="{00000000-0005-0000-0000-000023010000}"/>
    <cellStyle name="40% - Ênfase4 4" xfId="151" xr:uid="{00000000-0005-0000-0000-000024010000}"/>
    <cellStyle name="40% - Ênfase4 4 2" xfId="154" xr:uid="{00000000-0005-0000-0000-000025010000}"/>
    <cellStyle name="40% - Ênfase4 5" xfId="157" xr:uid="{00000000-0005-0000-0000-000026010000}"/>
    <cellStyle name="40% - Ênfase4 5 2" xfId="159" xr:uid="{00000000-0005-0000-0000-000027010000}"/>
    <cellStyle name="40% - Ênfase4 6" xfId="425" xr:uid="{00000000-0005-0000-0000-000028010000}"/>
    <cellStyle name="40% - Ênfase4 6 2" xfId="426" xr:uid="{00000000-0005-0000-0000-000029010000}"/>
    <cellStyle name="40% - Ênfase4 7" xfId="97" xr:uid="{00000000-0005-0000-0000-00002A010000}"/>
    <cellStyle name="40% - Ênfase4 7 2" xfId="296" xr:uid="{00000000-0005-0000-0000-00002B010000}"/>
    <cellStyle name="40% - Ênfase4 8" xfId="427" xr:uid="{00000000-0005-0000-0000-00002C010000}"/>
    <cellStyle name="40% - Ênfase4 8 2" xfId="428" xr:uid="{00000000-0005-0000-0000-00002D010000}"/>
    <cellStyle name="40% - Ênfase4 9" xfId="429" xr:uid="{00000000-0005-0000-0000-00002E010000}"/>
    <cellStyle name="40% - Ênfase4 9 2" xfId="430" xr:uid="{00000000-0005-0000-0000-00002F010000}"/>
    <cellStyle name="40% - Ênfase5 10" xfId="431" xr:uid="{00000000-0005-0000-0000-000030010000}"/>
    <cellStyle name="40% - Ênfase5 10 2" xfId="48" xr:uid="{00000000-0005-0000-0000-000031010000}"/>
    <cellStyle name="40% - Ênfase5 11" xfId="433" xr:uid="{00000000-0005-0000-0000-000032010000}"/>
    <cellStyle name="40% - Ênfase5 12" xfId="435" xr:uid="{00000000-0005-0000-0000-000033010000}"/>
    <cellStyle name="40% - Ênfase5 13" xfId="436" xr:uid="{00000000-0005-0000-0000-000034010000}"/>
    <cellStyle name="40% - Ênfase5 14" xfId="372" xr:uid="{00000000-0005-0000-0000-000035010000}"/>
    <cellStyle name="40% - Ênfase5 15" xfId="438" xr:uid="{00000000-0005-0000-0000-000036010000}"/>
    <cellStyle name="40% - Ênfase5 16" xfId="443" xr:uid="{00000000-0005-0000-0000-000037010000}"/>
    <cellStyle name="40% - Ênfase5 17" xfId="276" xr:uid="{00000000-0005-0000-0000-000038010000}"/>
    <cellStyle name="40% - Ênfase5 18" xfId="445" xr:uid="{00000000-0005-0000-0000-000039010000}"/>
    <cellStyle name="40% - Ênfase5 19" xfId="446" xr:uid="{00000000-0005-0000-0000-00003A010000}"/>
    <cellStyle name="40% - Ênfase5 2" xfId="192" xr:uid="{00000000-0005-0000-0000-00003B010000}"/>
    <cellStyle name="40% - Ênfase5 2 2" xfId="194" xr:uid="{00000000-0005-0000-0000-00003C010000}"/>
    <cellStyle name="40% - Ênfase5 20" xfId="439" xr:uid="{00000000-0005-0000-0000-00003D010000}"/>
    <cellStyle name="40% - Ênfase5 21" xfId="444" xr:uid="{00000000-0005-0000-0000-00003E010000}"/>
    <cellStyle name="40% - Ênfase5 22" xfId="277" xr:uid="{00000000-0005-0000-0000-00003F010000}"/>
    <cellStyle name="40% - Ênfase5 3" xfId="142" xr:uid="{00000000-0005-0000-0000-000040010000}"/>
    <cellStyle name="40% - Ênfase5 3 2" xfId="98" xr:uid="{00000000-0005-0000-0000-000041010000}"/>
    <cellStyle name="40% - Ênfase5 4" xfId="196" xr:uid="{00000000-0005-0000-0000-000042010000}"/>
    <cellStyle name="40% - Ênfase5 4 2" xfId="200" xr:uid="{00000000-0005-0000-0000-000043010000}"/>
    <cellStyle name="40% - Ênfase5 5" xfId="204" xr:uid="{00000000-0005-0000-0000-000044010000}"/>
    <cellStyle name="40% - Ênfase5 5 2" xfId="27" xr:uid="{00000000-0005-0000-0000-000045010000}"/>
    <cellStyle name="40% - Ênfase5 6" xfId="257" xr:uid="{00000000-0005-0000-0000-000046010000}"/>
    <cellStyle name="40% - Ênfase5 6 2" xfId="447" xr:uid="{00000000-0005-0000-0000-000047010000}"/>
    <cellStyle name="40% - Ênfase5 7" xfId="259" xr:uid="{00000000-0005-0000-0000-000048010000}"/>
    <cellStyle name="40% - Ênfase5 7 2" xfId="448" xr:uid="{00000000-0005-0000-0000-000049010000}"/>
    <cellStyle name="40% - Ênfase5 8" xfId="261" xr:uid="{00000000-0005-0000-0000-00004A010000}"/>
    <cellStyle name="40% - Ênfase5 8 2" xfId="166" xr:uid="{00000000-0005-0000-0000-00004B010000}"/>
    <cellStyle name="40% - Ênfase5 9" xfId="264" xr:uid="{00000000-0005-0000-0000-00004C010000}"/>
    <cellStyle name="40% - Ênfase5 9 2" xfId="442" xr:uid="{00000000-0005-0000-0000-00004D010000}"/>
    <cellStyle name="40% - Ênfase6 10" xfId="449" xr:uid="{00000000-0005-0000-0000-00004E010000}"/>
    <cellStyle name="40% - Ênfase6 10 2" xfId="313" xr:uid="{00000000-0005-0000-0000-00004F010000}"/>
    <cellStyle name="40% - Ênfase6 11" xfId="450" xr:uid="{00000000-0005-0000-0000-000050010000}"/>
    <cellStyle name="40% - Ênfase6 12" xfId="451" xr:uid="{00000000-0005-0000-0000-000051010000}"/>
    <cellStyle name="40% - Ênfase6 13" xfId="452" xr:uid="{00000000-0005-0000-0000-000052010000}"/>
    <cellStyle name="40% - Ênfase6 14" xfId="338" xr:uid="{00000000-0005-0000-0000-000053010000}"/>
    <cellStyle name="40% - Ênfase6 15" xfId="116" xr:uid="{00000000-0005-0000-0000-000054010000}"/>
    <cellStyle name="40% - Ênfase6 16" xfId="343" xr:uid="{00000000-0005-0000-0000-000055010000}"/>
    <cellStyle name="40% - Ênfase6 17" xfId="292" xr:uid="{00000000-0005-0000-0000-000056010000}"/>
    <cellStyle name="40% - Ênfase6 18" xfId="349" xr:uid="{00000000-0005-0000-0000-000057010000}"/>
    <cellStyle name="40% - Ênfase6 19" xfId="353" xr:uid="{00000000-0005-0000-0000-000058010000}"/>
    <cellStyle name="40% - Ênfase6 2" xfId="241" xr:uid="{00000000-0005-0000-0000-000059010000}"/>
    <cellStyle name="40% - Ênfase6 2 2" xfId="243" xr:uid="{00000000-0005-0000-0000-00005A010000}"/>
    <cellStyle name="40% - Ênfase6 20" xfId="117" xr:uid="{00000000-0005-0000-0000-00005B010000}"/>
    <cellStyle name="40% - Ênfase6 21" xfId="344" xr:uid="{00000000-0005-0000-0000-00005C010000}"/>
    <cellStyle name="40% - Ênfase6 22" xfId="293" xr:uid="{00000000-0005-0000-0000-00005D010000}"/>
    <cellStyle name="40% - Ênfase6 3" xfId="147" xr:uid="{00000000-0005-0000-0000-00005E010000}"/>
    <cellStyle name="40% - Ênfase6 3 2" xfId="245" xr:uid="{00000000-0005-0000-0000-00005F010000}"/>
    <cellStyle name="40% - Ênfase6 4" xfId="247" xr:uid="{00000000-0005-0000-0000-000060010000}"/>
    <cellStyle name="40% - Ênfase6 4 2" xfId="249" xr:uid="{00000000-0005-0000-0000-000061010000}"/>
    <cellStyle name="40% - Ênfase6 5" xfId="251" xr:uid="{00000000-0005-0000-0000-000062010000}"/>
    <cellStyle name="40% - Ênfase6 5 2" xfId="253" xr:uid="{00000000-0005-0000-0000-000063010000}"/>
    <cellStyle name="40% - Ênfase6 6" xfId="453" xr:uid="{00000000-0005-0000-0000-000064010000}"/>
    <cellStyle name="40% - Ênfase6 6 2" xfId="454" xr:uid="{00000000-0005-0000-0000-000065010000}"/>
    <cellStyle name="40% - Ênfase6 7" xfId="455" xr:uid="{00000000-0005-0000-0000-000066010000}"/>
    <cellStyle name="40% - Ênfase6 7 2" xfId="456" xr:uid="{00000000-0005-0000-0000-000067010000}"/>
    <cellStyle name="40% - Ênfase6 8" xfId="457" xr:uid="{00000000-0005-0000-0000-000068010000}"/>
    <cellStyle name="40% - Ênfase6 8 2" xfId="458" xr:uid="{00000000-0005-0000-0000-000069010000}"/>
    <cellStyle name="40% - Ênfase6 9" xfId="459" xr:uid="{00000000-0005-0000-0000-00006A010000}"/>
    <cellStyle name="40% - Ênfase6 9 2" xfId="460" xr:uid="{00000000-0005-0000-0000-00006B010000}"/>
    <cellStyle name="60% - Ênfase1 2" xfId="24" xr:uid="{00000000-0005-0000-0000-00006C010000}"/>
    <cellStyle name="60% - Ênfase1 3" xfId="14" xr:uid="{00000000-0005-0000-0000-00006D010000}"/>
    <cellStyle name="60% - Ênfase2 2" xfId="216" xr:uid="{00000000-0005-0000-0000-00006E010000}"/>
    <cellStyle name="60% - Ênfase2 3" xfId="219" xr:uid="{00000000-0005-0000-0000-00006F010000}"/>
    <cellStyle name="60% - Ênfase3 2" xfId="348" xr:uid="{00000000-0005-0000-0000-000070010000}"/>
    <cellStyle name="60% - Ênfase3 3" xfId="352" xr:uid="{00000000-0005-0000-0000-000071010000}"/>
    <cellStyle name="60% - Ênfase4 2" xfId="377" xr:uid="{00000000-0005-0000-0000-000072010000}"/>
    <cellStyle name="60% - Ênfase4 3" xfId="380" xr:uid="{00000000-0005-0000-0000-000073010000}"/>
    <cellStyle name="60% - Ênfase5 2" xfId="397" xr:uid="{00000000-0005-0000-0000-000074010000}"/>
    <cellStyle name="60% - Ênfase5 3" xfId="401" xr:uid="{00000000-0005-0000-0000-000075010000}"/>
    <cellStyle name="60% - Ênfase6 2" xfId="424" xr:uid="{00000000-0005-0000-0000-000076010000}"/>
    <cellStyle name="60% - Ênfase6 3" xfId="96" xr:uid="{00000000-0005-0000-0000-000077010000}"/>
    <cellStyle name="Bom 2" xfId="337" xr:uid="{00000000-0005-0000-0000-000078010000}"/>
    <cellStyle name="Bom 3" xfId="461" xr:uid="{00000000-0005-0000-0000-000079010000}"/>
    <cellStyle name="Cálculo 2" xfId="6" xr:uid="{00000000-0005-0000-0000-00007A010000}"/>
    <cellStyle name="Cálculo 3" xfId="329" xr:uid="{00000000-0005-0000-0000-00007B010000}"/>
    <cellStyle name="Célula de Verificação 2" xfId="15" xr:uid="{00000000-0005-0000-0000-00007C010000}"/>
    <cellStyle name="Célula de Verificação 3" xfId="462" xr:uid="{00000000-0005-0000-0000-00007D010000}"/>
    <cellStyle name="Célula Vinculada 2" xfId="464" xr:uid="{00000000-0005-0000-0000-00007E010000}"/>
    <cellStyle name="Célula Vinculada 3" xfId="466" xr:uid="{00000000-0005-0000-0000-00007F010000}"/>
    <cellStyle name="Ênfase1 2" xfId="406" xr:uid="{00000000-0005-0000-0000-000080010000}"/>
    <cellStyle name="Ênfase1 3" xfId="411" xr:uid="{00000000-0005-0000-0000-000081010000}"/>
    <cellStyle name="Ênfase2 2" xfId="467" xr:uid="{00000000-0005-0000-0000-000082010000}"/>
    <cellStyle name="Ênfase2 3" xfId="468" xr:uid="{00000000-0005-0000-0000-000083010000}"/>
    <cellStyle name="Ênfase3 2" xfId="470" xr:uid="{00000000-0005-0000-0000-000084010000}"/>
    <cellStyle name="Ênfase3 3" xfId="1" xr:uid="{00000000-0005-0000-0000-000085010000}"/>
    <cellStyle name="Ênfase4 2" xfId="471" xr:uid="{00000000-0005-0000-0000-000086010000}"/>
    <cellStyle name="Ênfase4 3" xfId="472" xr:uid="{00000000-0005-0000-0000-000087010000}"/>
    <cellStyle name="Ênfase5 2" xfId="473" xr:uid="{00000000-0005-0000-0000-000088010000}"/>
    <cellStyle name="Ênfase5 3" xfId="474" xr:uid="{00000000-0005-0000-0000-000089010000}"/>
    <cellStyle name="Ênfase6 2" xfId="432" xr:uid="{00000000-0005-0000-0000-00008A010000}"/>
    <cellStyle name="Ênfase6 3" xfId="434" xr:uid="{00000000-0005-0000-0000-00008B010000}"/>
    <cellStyle name="Entrada 2" xfId="475" xr:uid="{00000000-0005-0000-0000-00008C010000}"/>
    <cellStyle name="Entrada 3" xfId="476" xr:uid="{00000000-0005-0000-0000-00008D010000}"/>
    <cellStyle name="Excel Built-in Normal" xfId="477" xr:uid="{00000000-0005-0000-0000-00008E010000}"/>
    <cellStyle name="Excel_BuiltIn_Texto Explicativo 1" xfId="478" xr:uid="{00000000-0005-0000-0000-00008F010000}"/>
    <cellStyle name="Hiperlink" xfId="13" builtinId="8"/>
    <cellStyle name="Incorreto 2" xfId="479" xr:uid="{00000000-0005-0000-0000-000091010000}"/>
    <cellStyle name="Incorreto 3" xfId="469" xr:uid="{00000000-0005-0000-0000-000092010000}"/>
    <cellStyle name="Moeda" xfId="10" builtinId="4"/>
    <cellStyle name="Moeda [0] 2" xfId="482" xr:uid="{00000000-0005-0000-0000-000094010000}"/>
    <cellStyle name="Moeda 2" xfId="483" xr:uid="{00000000-0005-0000-0000-000095010000}"/>
    <cellStyle name="Moeda 3" xfId="484" xr:uid="{00000000-0005-0000-0000-000096010000}"/>
    <cellStyle name="Moeda 4" xfId="18" xr:uid="{00000000-0005-0000-0000-000097010000}"/>
    <cellStyle name="Moeda 5" xfId="67" xr:uid="{00000000-0005-0000-0000-000098010000}"/>
    <cellStyle name="Neutra 2" xfId="223" xr:uid="{00000000-0005-0000-0000-000099010000}"/>
    <cellStyle name="Neutra 3" xfId="227" xr:uid="{00000000-0005-0000-0000-00009A010000}"/>
    <cellStyle name="Normal" xfId="0" builtinId="0"/>
    <cellStyle name="Normal 10" xfId="485" xr:uid="{00000000-0005-0000-0000-00009C010000}"/>
    <cellStyle name="Normal 10 2" xfId="486" xr:uid="{00000000-0005-0000-0000-00009D010000}"/>
    <cellStyle name="Normal 10 3" xfId="29" xr:uid="{00000000-0005-0000-0000-00009E010000}"/>
    <cellStyle name="Normal 10 3 2" xfId="599" xr:uid="{00000000-0005-0000-0000-00009F010000}"/>
    <cellStyle name="Normal 11" xfId="90" xr:uid="{00000000-0005-0000-0000-0000A0010000}"/>
    <cellStyle name="Normal 11 2" xfId="487" xr:uid="{00000000-0005-0000-0000-0000A1010000}"/>
    <cellStyle name="Normal 12" xfId="488" xr:uid="{00000000-0005-0000-0000-0000A2010000}"/>
    <cellStyle name="Normal 12 2" xfId="489" xr:uid="{00000000-0005-0000-0000-0000A3010000}"/>
    <cellStyle name="Normal 13" xfId="490" xr:uid="{00000000-0005-0000-0000-0000A4010000}"/>
    <cellStyle name="Normal 13 2" xfId="163" xr:uid="{00000000-0005-0000-0000-0000A5010000}"/>
    <cellStyle name="Normal 14" xfId="22" xr:uid="{00000000-0005-0000-0000-0000A6010000}"/>
    <cellStyle name="Normal 14 2" xfId="440" xr:uid="{00000000-0005-0000-0000-0000A7010000}"/>
    <cellStyle name="Normal 15" xfId="492" xr:uid="{00000000-0005-0000-0000-0000A8010000}"/>
    <cellStyle name="Normal 15 2" xfId="493" xr:uid="{00000000-0005-0000-0000-0000A9010000}"/>
    <cellStyle name="Normal 16" xfId="408" xr:uid="{00000000-0005-0000-0000-0000AA010000}"/>
    <cellStyle name="Normal 16 2" xfId="494" xr:uid="{00000000-0005-0000-0000-0000AB010000}"/>
    <cellStyle name="Normal 17" xfId="496" xr:uid="{00000000-0005-0000-0000-0000AC010000}"/>
    <cellStyle name="Normal 17 2" xfId="497" xr:uid="{00000000-0005-0000-0000-0000AD010000}"/>
    <cellStyle name="Normal 18" xfId="499" xr:uid="{00000000-0005-0000-0000-0000AE010000}"/>
    <cellStyle name="Normal 18 2" xfId="208" xr:uid="{00000000-0005-0000-0000-0000AF010000}"/>
    <cellStyle name="Normal 19" xfId="114" xr:uid="{00000000-0005-0000-0000-0000B0010000}"/>
    <cellStyle name="Normal 19 2" xfId="121" xr:uid="{00000000-0005-0000-0000-0000B1010000}"/>
    <cellStyle name="Normal 2" xfId="465" xr:uid="{00000000-0005-0000-0000-0000B2010000}"/>
    <cellStyle name="Normal 2 2" xfId="500" xr:uid="{00000000-0005-0000-0000-0000B3010000}"/>
    <cellStyle name="Normal 2 2 2" xfId="501" xr:uid="{00000000-0005-0000-0000-0000B4010000}"/>
    <cellStyle name="Normal 2 3" xfId="267" xr:uid="{00000000-0005-0000-0000-0000B5010000}"/>
    <cellStyle name="Normal 2 3 2" xfId="269" xr:uid="{00000000-0005-0000-0000-0000B6010000}"/>
    <cellStyle name="Normal 2 4" xfId="271" xr:uid="{00000000-0005-0000-0000-0000B7010000}"/>
    <cellStyle name="Normal 2 4 2" xfId="168" xr:uid="{00000000-0005-0000-0000-0000B8010000}"/>
    <cellStyle name="Normal 2 5" xfId="273" xr:uid="{00000000-0005-0000-0000-0000B9010000}"/>
    <cellStyle name="Normal 2 5 2" xfId="275" xr:uid="{00000000-0005-0000-0000-0000BA010000}"/>
    <cellStyle name="Normal 2 6" xfId="279" xr:uid="{00000000-0005-0000-0000-0000BB010000}"/>
    <cellStyle name="Normal 2 6 2" xfId="281" xr:uid="{00000000-0005-0000-0000-0000BC010000}"/>
    <cellStyle name="Normal 2 7" xfId="283" xr:uid="{00000000-0005-0000-0000-0000BD010000}"/>
    <cellStyle name="Normal 2 7 2" xfId="285" xr:uid="{00000000-0005-0000-0000-0000BE010000}"/>
    <cellStyle name="Normal 2 8" xfId="153" xr:uid="{00000000-0005-0000-0000-0000BF010000}"/>
    <cellStyle name="Normal 2 8 2" xfId="287" xr:uid="{00000000-0005-0000-0000-0000C0010000}"/>
    <cellStyle name="Normal 2 9" xfId="289" xr:uid="{00000000-0005-0000-0000-0000C1010000}"/>
    <cellStyle name="Normal 2 9 2" xfId="211" xr:uid="{00000000-0005-0000-0000-0000C2010000}"/>
    <cellStyle name="Normal 2 9 3" xfId="214" xr:uid="{00000000-0005-0000-0000-0000C3010000}"/>
    <cellStyle name="Normal 2 9 4" xfId="217" xr:uid="{00000000-0005-0000-0000-0000C4010000}"/>
    <cellStyle name="Normal 2 9 5" xfId="220" xr:uid="{00000000-0005-0000-0000-0000C5010000}"/>
    <cellStyle name="Normal 2 9 6" xfId="224" xr:uid="{00000000-0005-0000-0000-0000C6010000}"/>
    <cellStyle name="Normal 2 9 7" xfId="228" xr:uid="{00000000-0005-0000-0000-0000C7010000}"/>
    <cellStyle name="Normal 2 9 8" xfId="231" xr:uid="{00000000-0005-0000-0000-0000C8010000}"/>
    <cellStyle name="Normal 2 9 9" xfId="233" xr:uid="{00000000-0005-0000-0000-0000C9010000}"/>
    <cellStyle name="Normal 20" xfId="491" xr:uid="{00000000-0005-0000-0000-0000CA010000}"/>
    <cellStyle name="Normal 21" xfId="409" xr:uid="{00000000-0005-0000-0000-0000CB010000}"/>
    <cellStyle name="Normal 22" xfId="495" xr:uid="{00000000-0005-0000-0000-0000CC010000}"/>
    <cellStyle name="Normal 23" xfId="498" xr:uid="{00000000-0005-0000-0000-0000CD010000}"/>
    <cellStyle name="Normal 24" xfId="115" xr:uid="{00000000-0005-0000-0000-0000CE010000}"/>
    <cellStyle name="Normal 25" xfId="124" xr:uid="{00000000-0005-0000-0000-0000CF010000}"/>
    <cellStyle name="Normal 26" xfId="129" xr:uid="{00000000-0005-0000-0000-0000D0010000}"/>
    <cellStyle name="Normal 27" xfId="132" xr:uid="{00000000-0005-0000-0000-0000D1010000}"/>
    <cellStyle name="Normal 28" xfId="141" xr:uid="{00000000-0005-0000-0000-0000D2010000}"/>
    <cellStyle name="Normal 29" xfId="137" xr:uid="{00000000-0005-0000-0000-0000D3010000}"/>
    <cellStyle name="Normal 3" xfId="502" xr:uid="{00000000-0005-0000-0000-0000D4010000}"/>
    <cellStyle name="Normal 30" xfId="123" xr:uid="{00000000-0005-0000-0000-0000D5010000}"/>
    <cellStyle name="Normal 31" xfId="128" xr:uid="{00000000-0005-0000-0000-0000D6010000}"/>
    <cellStyle name="Normal 32" xfId="131" xr:uid="{00000000-0005-0000-0000-0000D7010000}"/>
    <cellStyle name="Normal 33" xfId="140" xr:uid="{00000000-0005-0000-0000-0000D8010000}"/>
    <cellStyle name="Normal 34" xfId="136" xr:uid="{00000000-0005-0000-0000-0000D9010000}"/>
    <cellStyle name="Normal 35" xfId="503" xr:uid="{00000000-0005-0000-0000-0000DA010000}"/>
    <cellStyle name="Normal 35 2" xfId="594" xr:uid="{00000000-0005-0000-0000-0000DB010000}"/>
    <cellStyle name="Normal 36" xfId="505" xr:uid="{00000000-0005-0000-0000-0000DC010000}"/>
    <cellStyle name="Normal 37" xfId="507" xr:uid="{00000000-0005-0000-0000-0000DD010000}"/>
    <cellStyle name="Normal 38" xfId="93" xr:uid="{00000000-0005-0000-0000-0000DE010000}"/>
    <cellStyle name="Normal 39" xfId="509" xr:uid="{00000000-0005-0000-0000-0000DF010000}"/>
    <cellStyle name="Normal 4" xfId="511" xr:uid="{00000000-0005-0000-0000-0000E0010000}"/>
    <cellStyle name="Normal 40" xfId="504" xr:uid="{00000000-0005-0000-0000-0000E1010000}"/>
    <cellStyle name="Normal 41" xfId="506" xr:uid="{00000000-0005-0000-0000-0000E2010000}"/>
    <cellStyle name="Normal 42" xfId="508" xr:uid="{00000000-0005-0000-0000-0000E3010000}"/>
    <cellStyle name="Normal 43" xfId="94" xr:uid="{00000000-0005-0000-0000-0000E4010000}"/>
    <cellStyle name="Normal 44" xfId="510" xr:uid="{00000000-0005-0000-0000-0000E5010000}"/>
    <cellStyle name="Normal 45" xfId="600" xr:uid="{00000000-0005-0000-0000-0000E6010000}"/>
    <cellStyle name="Normal 46" xfId="598" xr:uid="{00000000-0005-0000-0000-0000E7010000}"/>
    <cellStyle name="Normal 5" xfId="512" xr:uid="{00000000-0005-0000-0000-0000E8010000}"/>
    <cellStyle name="Normal 5 2" xfId="16" xr:uid="{00000000-0005-0000-0000-0000E9010000}"/>
    <cellStyle name="Normal 5 2 2" xfId="395" xr:uid="{00000000-0005-0000-0000-0000EA010000}"/>
    <cellStyle name="Normal 5 3" xfId="513" xr:uid="{00000000-0005-0000-0000-0000EB010000}"/>
    <cellStyle name="Normal 6" xfId="514" xr:uid="{00000000-0005-0000-0000-0000EC010000}"/>
    <cellStyle name="Normal 6 2" xfId="515" xr:uid="{00000000-0005-0000-0000-0000ED010000}"/>
    <cellStyle name="Normal 7" xfId="480" xr:uid="{00000000-0005-0000-0000-0000EE010000}"/>
    <cellStyle name="Normal 7 2" xfId="12" xr:uid="{00000000-0005-0000-0000-0000EF010000}"/>
    <cellStyle name="Normal 8" xfId="518" xr:uid="{00000000-0005-0000-0000-0000F0010000}"/>
    <cellStyle name="Normal 8 2" xfId="521" xr:uid="{00000000-0005-0000-0000-0000F1010000}"/>
    <cellStyle name="Normal 9" xfId="524" xr:uid="{00000000-0005-0000-0000-0000F2010000}"/>
    <cellStyle name="Normal 9 2" xfId="526" xr:uid="{00000000-0005-0000-0000-0000F3010000}"/>
    <cellStyle name="Normal 9 2 2" xfId="597" xr:uid="{00000000-0005-0000-0000-0000F4010000}"/>
    <cellStyle name="Normal 9 3" xfId="527" xr:uid="{00000000-0005-0000-0000-0000F5010000}"/>
    <cellStyle name="Normal_Modelo Planilha Financeira" xfId="528" xr:uid="{00000000-0005-0000-0000-0000F6010000}"/>
    <cellStyle name="Nota 10" xfId="529" xr:uid="{00000000-0005-0000-0000-0000F7010000}"/>
    <cellStyle name="Nota 10 2" xfId="530" xr:uid="{00000000-0005-0000-0000-0000F8010000}"/>
    <cellStyle name="Nota 11" xfId="399" xr:uid="{00000000-0005-0000-0000-0000F9010000}"/>
    <cellStyle name="Nota 11 2" xfId="531" xr:uid="{00000000-0005-0000-0000-0000FA010000}"/>
    <cellStyle name="Nota 12" xfId="532" xr:uid="{00000000-0005-0000-0000-0000FB010000}"/>
    <cellStyle name="Nota 13" xfId="534" xr:uid="{00000000-0005-0000-0000-0000FC010000}"/>
    <cellStyle name="Nota 14" xfId="320" xr:uid="{00000000-0005-0000-0000-0000FD010000}"/>
    <cellStyle name="Nota 15" xfId="535" xr:uid="{00000000-0005-0000-0000-0000FE010000}"/>
    <cellStyle name="Nota 16" xfId="537" xr:uid="{00000000-0005-0000-0000-0000FF010000}"/>
    <cellStyle name="Nota 17" xfId="539" xr:uid="{00000000-0005-0000-0000-000000020000}"/>
    <cellStyle name="Nota 18" xfId="541" xr:uid="{00000000-0005-0000-0000-000001020000}"/>
    <cellStyle name="Nota 19" xfId="543" xr:uid="{00000000-0005-0000-0000-000002020000}"/>
    <cellStyle name="Nota 2" xfId="481" xr:uid="{00000000-0005-0000-0000-000003020000}"/>
    <cellStyle name="Nota 2 2" xfId="11" xr:uid="{00000000-0005-0000-0000-000004020000}"/>
    <cellStyle name="Nota 2 2 2" xfId="173" xr:uid="{00000000-0005-0000-0000-000005020000}"/>
    <cellStyle name="Nota 2 3" xfId="544" xr:uid="{00000000-0005-0000-0000-000006020000}"/>
    <cellStyle name="Nota 20" xfId="536" xr:uid="{00000000-0005-0000-0000-000007020000}"/>
    <cellStyle name="Nota 21" xfId="538" xr:uid="{00000000-0005-0000-0000-000008020000}"/>
    <cellStyle name="Nota 22" xfId="540" xr:uid="{00000000-0005-0000-0000-000009020000}"/>
    <cellStyle name="Nota 23" xfId="542" xr:uid="{00000000-0005-0000-0000-00000A020000}"/>
    <cellStyle name="Nota 3" xfId="516" xr:uid="{00000000-0005-0000-0000-00000B020000}"/>
    <cellStyle name="Nota 3 2" xfId="519" xr:uid="{00000000-0005-0000-0000-00000C020000}"/>
    <cellStyle name="Nota 4" xfId="522" xr:uid="{00000000-0005-0000-0000-00000D020000}"/>
    <cellStyle name="Nota 4 2" xfId="525" xr:uid="{00000000-0005-0000-0000-00000E020000}"/>
    <cellStyle name="Nota 5" xfId="545" xr:uid="{00000000-0005-0000-0000-00000F020000}"/>
    <cellStyle name="Nota 5 2" xfId="546" xr:uid="{00000000-0005-0000-0000-000010020000}"/>
    <cellStyle name="Nota 6" xfId="547" xr:uid="{00000000-0005-0000-0000-000011020000}"/>
    <cellStyle name="Nota 6 2" xfId="548" xr:uid="{00000000-0005-0000-0000-000012020000}"/>
    <cellStyle name="Nota 7" xfId="549" xr:uid="{00000000-0005-0000-0000-000013020000}"/>
    <cellStyle name="Nota 7 2" xfId="323" xr:uid="{00000000-0005-0000-0000-000014020000}"/>
    <cellStyle name="Nota 8" xfId="550" xr:uid="{00000000-0005-0000-0000-000015020000}"/>
    <cellStyle name="Nota 8 2" xfId="551" xr:uid="{00000000-0005-0000-0000-000016020000}"/>
    <cellStyle name="Nota 9" xfId="552" xr:uid="{00000000-0005-0000-0000-000017020000}"/>
    <cellStyle name="Nota 9 2" xfId="553" xr:uid="{00000000-0005-0000-0000-000018020000}"/>
    <cellStyle name="Porcentagem 2" xfId="554" xr:uid="{00000000-0005-0000-0000-000019020000}"/>
    <cellStyle name="Saída 2" xfId="437" xr:uid="{00000000-0005-0000-0000-00001A020000}"/>
    <cellStyle name="Saída 3" xfId="441" xr:uid="{00000000-0005-0000-0000-00001B020000}"/>
    <cellStyle name="Separador de milhares [0] 2" xfId="183" xr:uid="{00000000-0005-0000-0000-00001D020000}"/>
    <cellStyle name="Separador de milhares 2" xfId="120" xr:uid="{00000000-0005-0000-0000-00001E020000}"/>
    <cellStyle name="Separador de milhares 2 2" xfId="555" xr:uid="{00000000-0005-0000-0000-00001F020000}"/>
    <cellStyle name="Separador de milhares 2 3" xfId="556" xr:uid="{00000000-0005-0000-0000-000020020000}"/>
    <cellStyle name="Separador de milhares 3" xfId="558" xr:uid="{00000000-0005-0000-0000-000021020000}"/>
    <cellStyle name="Separador de milhares 3 10" xfId="559" xr:uid="{00000000-0005-0000-0000-000022020000}"/>
    <cellStyle name="Separador de milhares 3 10 2" xfId="596" xr:uid="{00000000-0005-0000-0000-000023020000}"/>
    <cellStyle name="Separador de milhares 3 2" xfId="560" xr:uid="{00000000-0005-0000-0000-000024020000}"/>
    <cellStyle name="Separador de milhares 4" xfId="562" xr:uid="{00000000-0005-0000-0000-000025020000}"/>
    <cellStyle name="Separador de milhares 4 2" xfId="517" xr:uid="{00000000-0005-0000-0000-000026020000}"/>
    <cellStyle name="Separador de milhares 4 2 2" xfId="520" xr:uid="{00000000-0005-0000-0000-000027020000}"/>
    <cellStyle name="Separador de milhares 4 3" xfId="523" xr:uid="{00000000-0005-0000-0000-000028020000}"/>
    <cellStyle name="TableStyleLight1" xfId="533" xr:uid="{00000000-0005-0000-0000-000029020000}"/>
    <cellStyle name="Texto de Aviso 2" xfId="563" xr:uid="{00000000-0005-0000-0000-00002A020000}"/>
    <cellStyle name="Texto de Aviso 3" xfId="25" xr:uid="{00000000-0005-0000-0000-00002B020000}"/>
    <cellStyle name="Texto Explicativo 2" xfId="394" xr:uid="{00000000-0005-0000-0000-00002C020000}"/>
    <cellStyle name="Texto Explicativo 3" xfId="564" xr:uid="{00000000-0005-0000-0000-00002D020000}"/>
    <cellStyle name="Título 1 2" xfId="565" xr:uid="{00000000-0005-0000-0000-00002E020000}"/>
    <cellStyle name="Título 1 3" xfId="566" xr:uid="{00000000-0005-0000-0000-00002F020000}"/>
    <cellStyle name="Título 2 2" xfId="567" xr:uid="{00000000-0005-0000-0000-000030020000}"/>
    <cellStyle name="Título 2 3" xfId="568" xr:uid="{00000000-0005-0000-0000-000031020000}"/>
    <cellStyle name="Título 3 2" xfId="557" xr:uid="{00000000-0005-0000-0000-000032020000}"/>
    <cellStyle name="Título 3 3" xfId="561" xr:uid="{00000000-0005-0000-0000-000033020000}"/>
    <cellStyle name="Título 4 2" xfId="49" xr:uid="{00000000-0005-0000-0000-000034020000}"/>
    <cellStyle name="Título 4 3" xfId="569" xr:uid="{00000000-0005-0000-0000-000035020000}"/>
    <cellStyle name="Título 5" xfId="53" xr:uid="{00000000-0005-0000-0000-000036020000}"/>
    <cellStyle name="Título 6" xfId="37" xr:uid="{00000000-0005-0000-0000-000037020000}"/>
    <cellStyle name="Título 7" xfId="40" xr:uid="{00000000-0005-0000-0000-000038020000}"/>
    <cellStyle name="Total 2" xfId="570" xr:uid="{00000000-0005-0000-0000-000039020000}"/>
    <cellStyle name="Total 3" xfId="571" xr:uid="{00000000-0005-0000-0000-00003A020000}"/>
    <cellStyle name="Vírgula" xfId="3" builtinId="3"/>
    <cellStyle name="Vírgula 10" xfId="572" xr:uid="{00000000-0005-0000-0000-00003B020000}"/>
    <cellStyle name="Vírgula 11" xfId="573" xr:uid="{00000000-0005-0000-0000-00003C020000}"/>
    <cellStyle name="Vírgula 12" xfId="574" xr:uid="{00000000-0005-0000-0000-00003D020000}"/>
    <cellStyle name="Vírgula 13" xfId="575" xr:uid="{00000000-0005-0000-0000-00003E020000}"/>
    <cellStyle name="Vírgula 14" xfId="576" xr:uid="{00000000-0005-0000-0000-00003F020000}"/>
    <cellStyle name="Vírgula 15" xfId="577" xr:uid="{00000000-0005-0000-0000-000040020000}"/>
    <cellStyle name="Vírgula 16" xfId="579" xr:uid="{00000000-0005-0000-0000-000041020000}"/>
    <cellStyle name="Vírgula 17" xfId="581" xr:uid="{00000000-0005-0000-0000-000042020000}"/>
    <cellStyle name="Vírgula 18" xfId="582" xr:uid="{00000000-0005-0000-0000-000043020000}"/>
    <cellStyle name="Vírgula 19" xfId="583" xr:uid="{00000000-0005-0000-0000-000044020000}"/>
    <cellStyle name="Vírgula 2" xfId="199" xr:uid="{00000000-0005-0000-0000-000045020000}"/>
    <cellStyle name="Vírgula 2 2" xfId="584" xr:uid="{00000000-0005-0000-0000-000046020000}"/>
    <cellStyle name="Vírgula 20" xfId="578" xr:uid="{00000000-0005-0000-0000-000047020000}"/>
    <cellStyle name="Vírgula 21" xfId="580" xr:uid="{00000000-0005-0000-0000-000048020000}"/>
    <cellStyle name="Vírgula 21 2" xfId="585" xr:uid="{00000000-0005-0000-0000-000049020000}"/>
    <cellStyle name="Vírgula 3" xfId="417" xr:uid="{00000000-0005-0000-0000-00004A020000}"/>
    <cellStyle name="Vírgula 3 2" xfId="586" xr:uid="{00000000-0005-0000-0000-00004B020000}"/>
    <cellStyle name="Vírgula 4" xfId="420" xr:uid="{00000000-0005-0000-0000-00004C020000}"/>
    <cellStyle name="Vírgula 4 2" xfId="587" xr:uid="{00000000-0005-0000-0000-00004D020000}"/>
    <cellStyle name="Vírgula 4 2 2" xfId="595" xr:uid="{00000000-0005-0000-0000-00004E020000}"/>
    <cellStyle name="Vírgula 4 3" xfId="7" xr:uid="{00000000-0005-0000-0000-00004F020000}"/>
    <cellStyle name="Vírgula 5" xfId="422" xr:uid="{00000000-0005-0000-0000-000050020000}"/>
    <cellStyle name="Vírgula 5 2" xfId="588" xr:uid="{00000000-0005-0000-0000-000051020000}"/>
    <cellStyle name="Vírgula 6" xfId="589" xr:uid="{00000000-0005-0000-0000-000052020000}"/>
    <cellStyle name="Vírgula 6 2" xfId="590" xr:uid="{00000000-0005-0000-0000-000053020000}"/>
    <cellStyle name="Vírgula 7" xfId="8" xr:uid="{00000000-0005-0000-0000-000054020000}"/>
    <cellStyle name="Vírgula 7 2" xfId="463" xr:uid="{00000000-0005-0000-0000-000055020000}"/>
    <cellStyle name="Vírgula 8" xfId="591" xr:uid="{00000000-0005-0000-0000-000056020000}"/>
    <cellStyle name="Vírgula 8 2" xfId="592" xr:uid="{00000000-0005-0000-0000-000057020000}"/>
    <cellStyle name="Vírgula 9" xfId="593" xr:uid="{00000000-0005-0000-0000-00005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9.png"/><Relationship Id="rId1" Type="http://schemas.openxmlformats.org/officeDocument/2006/relationships/image" Target="../media/image1.jpeg"/><Relationship Id="rId4" Type="http://schemas.openxmlformats.org/officeDocument/2006/relationships/image" Target="../media/image8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9.png"/><Relationship Id="rId1" Type="http://schemas.openxmlformats.org/officeDocument/2006/relationships/image" Target="../media/image1.jpeg"/><Relationship Id="rId4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9.png"/><Relationship Id="rId1" Type="http://schemas.openxmlformats.org/officeDocument/2006/relationships/image" Target="../media/image1.jpeg"/><Relationship Id="rId4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9.png"/><Relationship Id="rId1" Type="http://schemas.openxmlformats.org/officeDocument/2006/relationships/image" Target="../media/image1.jpeg"/><Relationship Id="rId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7.png"/><Relationship Id="rId1" Type="http://schemas.openxmlformats.org/officeDocument/2006/relationships/image" Target="../media/image6.jpeg"/><Relationship Id="rId4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7.png"/><Relationship Id="rId1" Type="http://schemas.openxmlformats.org/officeDocument/2006/relationships/image" Target="../media/image6.jpe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jpeg"/><Relationship Id="rId1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9.png"/><Relationship Id="rId1" Type="http://schemas.openxmlformats.org/officeDocument/2006/relationships/image" Target="../media/image1.jpe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66</xdr:row>
      <xdr:rowOff>76200</xdr:rowOff>
    </xdr:from>
    <xdr:to>
      <xdr:col>0</xdr:col>
      <xdr:colOff>1134745</xdr:colOff>
      <xdr:row>70</xdr:row>
      <xdr:rowOff>123825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973425"/>
          <a:ext cx="93472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119</xdr:row>
      <xdr:rowOff>57150</xdr:rowOff>
    </xdr:from>
    <xdr:to>
      <xdr:col>0</xdr:col>
      <xdr:colOff>1106170</xdr:colOff>
      <xdr:row>124</xdr:row>
      <xdr:rowOff>73660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813125"/>
          <a:ext cx="934720" cy="10166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66</xdr:row>
      <xdr:rowOff>76200</xdr:rowOff>
    </xdr:from>
    <xdr:to>
      <xdr:col>0</xdr:col>
      <xdr:colOff>1134745</xdr:colOff>
      <xdr:row>70</xdr:row>
      <xdr:rowOff>123825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973425"/>
          <a:ext cx="93472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119</xdr:row>
      <xdr:rowOff>57150</xdr:rowOff>
    </xdr:from>
    <xdr:to>
      <xdr:col>0</xdr:col>
      <xdr:colOff>1106170</xdr:colOff>
      <xdr:row>124</xdr:row>
      <xdr:rowOff>73660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813125"/>
          <a:ext cx="934720" cy="101663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66</xdr:row>
      <xdr:rowOff>95250</xdr:rowOff>
    </xdr:from>
    <xdr:to>
      <xdr:col>0</xdr:col>
      <xdr:colOff>1134745</xdr:colOff>
      <xdr:row>70</xdr:row>
      <xdr:rowOff>142875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992475"/>
          <a:ext cx="934720" cy="847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43130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43130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43130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43130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43130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43130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43130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78105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43130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78105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43130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78105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43130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78105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43130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78105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43130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78105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2878905</xdr:colOff>
      <xdr:row>0</xdr:row>
      <xdr:rowOff>181938</xdr:rowOff>
    </xdr:from>
    <xdr:to>
      <xdr:col>2</xdr:col>
      <xdr:colOff>535113</xdr:colOff>
      <xdr:row>3</xdr:row>
      <xdr:rowOff>171235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6205" y="181610"/>
          <a:ext cx="1028065" cy="789305"/>
        </a:xfrm>
        <a:prstGeom prst="rect">
          <a:avLst/>
        </a:prstGeom>
      </xdr:spPr>
    </xdr:pic>
    <xdr:clientData/>
  </xdr:twoCellAnchor>
  <xdr:twoCellAnchor editAs="oneCell">
    <xdr:from>
      <xdr:col>3</xdr:col>
      <xdr:colOff>224748</xdr:colOff>
      <xdr:row>0</xdr:row>
      <xdr:rowOff>192640</xdr:rowOff>
    </xdr:from>
    <xdr:to>
      <xdr:col>5</xdr:col>
      <xdr:colOff>460198</xdr:colOff>
      <xdr:row>3</xdr:row>
      <xdr:rowOff>128426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96255" y="192405"/>
          <a:ext cx="1321435" cy="735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738455</xdr:colOff>
      <xdr:row>0</xdr:row>
      <xdr:rowOff>256854</xdr:rowOff>
    </xdr:from>
    <xdr:to>
      <xdr:col>1</xdr:col>
      <xdr:colOff>2365197</xdr:colOff>
      <xdr:row>3</xdr:row>
      <xdr:rowOff>107022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85620" y="256540"/>
          <a:ext cx="1626870" cy="650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235450</xdr:colOff>
      <xdr:row>0</xdr:row>
      <xdr:rowOff>246152</xdr:rowOff>
    </xdr:from>
    <xdr:to>
      <xdr:col>8</xdr:col>
      <xdr:colOff>103384</xdr:colOff>
      <xdr:row>3</xdr:row>
      <xdr:rowOff>179448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302500" y="245745"/>
          <a:ext cx="896620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0</xdr:row>
      <xdr:rowOff>28575</xdr:rowOff>
    </xdr:from>
    <xdr:to>
      <xdr:col>5</xdr:col>
      <xdr:colOff>267970</xdr:colOff>
      <xdr:row>4</xdr:row>
      <xdr:rowOff>168910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2857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0</xdr:row>
      <xdr:rowOff>180975</xdr:rowOff>
    </xdr:from>
    <xdr:to>
      <xdr:col>6</xdr:col>
      <xdr:colOff>992527</xdr:colOff>
      <xdr:row>4</xdr:row>
      <xdr:rowOff>33605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77075" y="180975"/>
          <a:ext cx="1316355" cy="6140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514349</xdr:colOff>
      <xdr:row>0</xdr:row>
      <xdr:rowOff>171450</xdr:rowOff>
    </xdr:from>
    <xdr:to>
      <xdr:col>3</xdr:col>
      <xdr:colOff>933449</xdr:colOff>
      <xdr:row>3</xdr:row>
      <xdr:rowOff>152400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85540" y="171450"/>
          <a:ext cx="1476375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428624</xdr:colOff>
      <xdr:row>0</xdr:row>
      <xdr:rowOff>95250</xdr:rowOff>
    </xdr:from>
    <xdr:to>
      <xdr:col>8</xdr:col>
      <xdr:colOff>352424</xdr:colOff>
      <xdr:row>4</xdr:row>
      <xdr:rowOff>104775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86190" y="95250"/>
          <a:ext cx="981075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1899241</xdr:colOff>
      <xdr:row>0</xdr:row>
      <xdr:rowOff>83954</xdr:rowOff>
    </xdr:from>
    <xdr:to>
      <xdr:col>4</xdr:col>
      <xdr:colOff>96801</xdr:colOff>
      <xdr:row>4</xdr:row>
      <xdr:rowOff>134902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4050" y="83820"/>
          <a:ext cx="864870" cy="850900"/>
        </a:xfrm>
        <a:prstGeom prst="rect">
          <a:avLst/>
        </a:prstGeom>
      </xdr:spPr>
    </xdr:pic>
    <xdr:clientData/>
  </xdr:twoCellAnchor>
  <xdr:twoCellAnchor editAs="oneCell">
    <xdr:from>
      <xdr:col>4</xdr:col>
      <xdr:colOff>608493</xdr:colOff>
      <xdr:row>0</xdr:row>
      <xdr:rowOff>175882</xdr:rowOff>
    </xdr:from>
    <xdr:to>
      <xdr:col>4</xdr:col>
      <xdr:colOff>1924870</xdr:colOff>
      <xdr:row>4</xdr:row>
      <xdr:rowOff>108035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380730" y="175260"/>
          <a:ext cx="1316355" cy="7327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66452</xdr:colOff>
      <xdr:row>1</xdr:row>
      <xdr:rowOff>110757</xdr:rowOff>
    </xdr:from>
    <xdr:to>
      <xdr:col>3</xdr:col>
      <xdr:colOff>1583807</xdr:colOff>
      <xdr:row>4</xdr:row>
      <xdr:rowOff>22151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71440" y="310515"/>
          <a:ext cx="1517650" cy="511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310115</xdr:colOff>
      <xdr:row>0</xdr:row>
      <xdr:rowOff>132908</xdr:rowOff>
    </xdr:from>
    <xdr:to>
      <xdr:col>5</xdr:col>
      <xdr:colOff>1295842</xdr:colOff>
      <xdr:row>4</xdr:row>
      <xdr:rowOff>160036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44430" y="132715"/>
          <a:ext cx="985520" cy="827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352424</xdr:colOff>
      <xdr:row>0</xdr:row>
      <xdr:rowOff>57151</xdr:rowOff>
    </xdr:from>
    <xdr:to>
      <xdr:col>3</xdr:col>
      <xdr:colOff>247649</xdr:colOff>
      <xdr:row>4</xdr:row>
      <xdr:rowOff>152401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165" y="57150"/>
          <a:ext cx="847725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257175</xdr:colOff>
      <xdr:row>1</xdr:row>
      <xdr:rowOff>38100</xdr:rowOff>
    </xdr:from>
    <xdr:to>
      <xdr:col>5</xdr:col>
      <xdr:colOff>609600</xdr:colOff>
      <xdr:row>4</xdr:row>
      <xdr:rowOff>33606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34075" y="228600"/>
          <a:ext cx="1190625" cy="5664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1495425</xdr:colOff>
      <xdr:row>0</xdr:row>
      <xdr:rowOff>161925</xdr:rowOff>
    </xdr:from>
    <xdr:to>
      <xdr:col>1</xdr:col>
      <xdr:colOff>2828925</xdr:colOff>
      <xdr:row>3</xdr:row>
      <xdr:rowOff>152400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0" y="161925"/>
          <a:ext cx="1333500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1019175</xdr:colOff>
      <xdr:row>0</xdr:row>
      <xdr:rowOff>95250</xdr:rowOff>
    </xdr:from>
    <xdr:to>
      <xdr:col>5</xdr:col>
      <xdr:colOff>1914525</xdr:colOff>
      <xdr:row>4</xdr:row>
      <xdr:rowOff>69215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34275" y="95250"/>
          <a:ext cx="895350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0</xdr:row>
      <xdr:rowOff>66676</xdr:rowOff>
    </xdr:from>
    <xdr:to>
      <xdr:col>2</xdr:col>
      <xdr:colOff>1019175</xdr:colOff>
      <xdr:row>4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0740" y="66675"/>
          <a:ext cx="953135" cy="923925"/>
        </a:xfrm>
        <a:prstGeom prst="rect">
          <a:avLst/>
        </a:prstGeom>
      </xdr:spPr>
    </xdr:pic>
    <xdr:clientData/>
  </xdr:twoCellAnchor>
  <xdr:twoCellAnchor editAs="oneCell">
    <xdr:from>
      <xdr:col>4</xdr:col>
      <xdr:colOff>3009899</xdr:colOff>
      <xdr:row>1</xdr:row>
      <xdr:rowOff>38100</xdr:rowOff>
    </xdr:from>
    <xdr:to>
      <xdr:col>5</xdr:col>
      <xdr:colOff>581025</xdr:colOff>
      <xdr:row>4</xdr:row>
      <xdr:rowOff>9524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162665" y="228600"/>
          <a:ext cx="1381760" cy="5899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590550</xdr:colOff>
      <xdr:row>1</xdr:row>
      <xdr:rowOff>38100</xdr:rowOff>
    </xdr:from>
    <xdr:to>
      <xdr:col>1</xdr:col>
      <xdr:colOff>485775</xdr:colOff>
      <xdr:row>4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0550" y="228600"/>
          <a:ext cx="1628775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1438275</xdr:colOff>
      <xdr:row>0</xdr:row>
      <xdr:rowOff>104775</xdr:rowOff>
    </xdr:from>
    <xdr:to>
      <xdr:col>6</xdr:col>
      <xdr:colOff>813435</xdr:colOff>
      <xdr:row>5</xdr:row>
      <xdr:rowOff>31115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401675" y="104775"/>
          <a:ext cx="1232535" cy="926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180976</xdr:rowOff>
    </xdr:from>
    <xdr:to>
      <xdr:col>1</xdr:col>
      <xdr:colOff>657225</xdr:colOff>
      <xdr:row>4</xdr:row>
      <xdr:rowOff>180976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180975"/>
          <a:ext cx="809625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1285876</xdr:colOff>
      <xdr:row>1</xdr:row>
      <xdr:rowOff>123826</xdr:rowOff>
    </xdr:from>
    <xdr:to>
      <xdr:col>4</xdr:col>
      <xdr:colOff>447675</xdr:colOff>
      <xdr:row>4</xdr:row>
      <xdr:rowOff>66676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77050" y="314325"/>
          <a:ext cx="110490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104776</xdr:colOff>
      <xdr:row>1</xdr:row>
      <xdr:rowOff>123825</xdr:rowOff>
    </xdr:from>
    <xdr:to>
      <xdr:col>0</xdr:col>
      <xdr:colOff>1381126</xdr:colOff>
      <xdr:row>3</xdr:row>
      <xdr:rowOff>180975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4775" y="314325"/>
          <a:ext cx="1276350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552451</xdr:colOff>
      <xdr:row>1</xdr:row>
      <xdr:rowOff>76200</xdr:rowOff>
    </xdr:from>
    <xdr:to>
      <xdr:col>4</xdr:col>
      <xdr:colOff>1447801</xdr:colOff>
      <xdr:row>5</xdr:row>
      <xdr:rowOff>21590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86725" y="266700"/>
          <a:ext cx="895350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1466849</xdr:colOff>
      <xdr:row>1</xdr:row>
      <xdr:rowOff>1</xdr:rowOff>
    </xdr:from>
    <xdr:to>
      <xdr:col>1</xdr:col>
      <xdr:colOff>609599</xdr:colOff>
      <xdr:row>4</xdr:row>
      <xdr:rowOff>190501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215" y="190500"/>
          <a:ext cx="847725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1457325</xdr:colOff>
      <xdr:row>1</xdr:row>
      <xdr:rowOff>123826</xdr:rowOff>
    </xdr:from>
    <xdr:to>
      <xdr:col>4</xdr:col>
      <xdr:colOff>514350</xdr:colOff>
      <xdr:row>4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48500" y="314325"/>
          <a:ext cx="1000125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1</xdr:row>
      <xdr:rowOff>171450</xdr:rowOff>
    </xdr:from>
    <xdr:to>
      <xdr:col>0</xdr:col>
      <xdr:colOff>1371600</xdr:colOff>
      <xdr:row>4</xdr:row>
      <xdr:rowOff>28575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0" y="361950"/>
          <a:ext cx="1276350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638175</xdr:colOff>
      <xdr:row>1</xdr:row>
      <xdr:rowOff>76200</xdr:rowOff>
    </xdr:from>
    <xdr:to>
      <xdr:col>4</xdr:col>
      <xdr:colOff>1533525</xdr:colOff>
      <xdr:row>5</xdr:row>
      <xdr:rowOff>21590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172450" y="266700"/>
          <a:ext cx="895350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2276475</xdr:colOff>
      <xdr:row>0</xdr:row>
      <xdr:rowOff>123825</xdr:rowOff>
    </xdr:from>
    <xdr:to>
      <xdr:col>1</xdr:col>
      <xdr:colOff>3429000</xdr:colOff>
      <xdr:row>4</xdr:row>
      <xdr:rowOff>38100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81325" y="123825"/>
          <a:ext cx="1152525" cy="676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933450</xdr:colOff>
      <xdr:row>0</xdr:row>
      <xdr:rowOff>95250</xdr:rowOff>
    </xdr:from>
    <xdr:to>
      <xdr:col>1</xdr:col>
      <xdr:colOff>1790699</xdr:colOff>
      <xdr:row>4</xdr:row>
      <xdr:rowOff>76199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" y="95250"/>
          <a:ext cx="856615" cy="7423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47625</xdr:rowOff>
    </xdr:from>
    <xdr:to>
      <xdr:col>1</xdr:col>
      <xdr:colOff>571500</xdr:colOff>
      <xdr:row>3</xdr:row>
      <xdr:rowOff>114300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38125"/>
          <a:ext cx="1276350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133350</xdr:colOff>
      <xdr:row>0</xdr:row>
      <xdr:rowOff>133350</xdr:rowOff>
    </xdr:from>
    <xdr:to>
      <xdr:col>2</xdr:col>
      <xdr:colOff>1028700</xdr:colOff>
      <xdr:row>4</xdr:row>
      <xdr:rowOff>107315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505325" y="133350"/>
          <a:ext cx="895350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2886075</xdr:colOff>
      <xdr:row>0</xdr:row>
      <xdr:rowOff>161925</xdr:rowOff>
    </xdr:from>
    <xdr:to>
      <xdr:col>0</xdr:col>
      <xdr:colOff>3762375</xdr:colOff>
      <xdr:row>5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61925"/>
          <a:ext cx="876300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1438276</xdr:colOff>
      <xdr:row>1</xdr:row>
      <xdr:rowOff>28574</xdr:rowOff>
    </xdr:from>
    <xdr:to>
      <xdr:col>5</xdr:col>
      <xdr:colOff>1123950</xdr:colOff>
      <xdr:row>4</xdr:row>
      <xdr:rowOff>53339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10775" y="218440"/>
          <a:ext cx="1209675" cy="615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981075</xdr:colOff>
      <xdr:row>1</xdr:row>
      <xdr:rowOff>133350</xdr:rowOff>
    </xdr:from>
    <xdr:to>
      <xdr:col>0</xdr:col>
      <xdr:colOff>2466975</xdr:colOff>
      <xdr:row>4</xdr:row>
      <xdr:rowOff>66675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1075" y="323850"/>
          <a:ext cx="1485900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1485900</xdr:colOff>
      <xdr:row>0</xdr:row>
      <xdr:rowOff>161925</xdr:rowOff>
    </xdr:from>
    <xdr:to>
      <xdr:col>6</xdr:col>
      <xdr:colOff>933450</xdr:colOff>
      <xdr:row>5</xdr:row>
      <xdr:rowOff>19050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582400" y="161925"/>
          <a:ext cx="9715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1316377</xdr:colOff>
      <xdr:row>3</xdr:row>
      <xdr:rowOff>14555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648825" y="0"/>
          <a:ext cx="1927" cy="7384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4</xdr:col>
      <xdr:colOff>868</xdr:colOff>
      <xdr:row>2</xdr:row>
      <xdr:rowOff>71705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334375" y="0"/>
          <a:ext cx="868" cy="60510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42900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4</xdr:col>
      <xdr:colOff>9524</xdr:colOff>
      <xdr:row>0</xdr:row>
      <xdr:rowOff>31750</xdr:rowOff>
    </xdr:from>
    <xdr:to>
      <xdr:col>4</xdr:col>
      <xdr:colOff>12699</xdr:colOff>
      <xdr:row>3</xdr:row>
      <xdr:rowOff>165100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0574" y="31750"/>
          <a:ext cx="3175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1316377</xdr:colOff>
      <xdr:row>3</xdr:row>
      <xdr:rowOff>14555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715500" y="0"/>
          <a:ext cx="1927" cy="7384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4</xdr:col>
      <xdr:colOff>4043</xdr:colOff>
      <xdr:row>2</xdr:row>
      <xdr:rowOff>71705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401050" y="0"/>
          <a:ext cx="4043" cy="60510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42900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0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5" y="0"/>
          <a:ext cx="0" cy="7239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3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0"/>
          <a:ext cx="0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1316377</xdr:colOff>
      <xdr:row>3</xdr:row>
      <xdr:rowOff>5030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449300" y="0"/>
          <a:ext cx="1905" cy="737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190500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55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2</xdr:row>
      <xdr:rowOff>71705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410700" y="0"/>
          <a:ext cx="1905" cy="604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3</xdr:row>
      <xdr:rowOff>123825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0"/>
          <a:ext cx="0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1316377</xdr:colOff>
      <xdr:row>3</xdr:row>
      <xdr:rowOff>5030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696575" y="0"/>
          <a:ext cx="1927" cy="7384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190500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2</xdr:row>
      <xdr:rowOff>5030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981950" y="0"/>
          <a:ext cx="1927" cy="6051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262205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6051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157430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557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76200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262205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6051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157430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557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28575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252680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6622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157430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557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28575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252680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6622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157430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557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drive.google.com/file/d/1kLonOQqifZftGbjiIQN_sUGaHpreFqS3/view?usp=sharing" TargetMode="External"/><Relationship Id="rId1" Type="http://schemas.openxmlformats.org/officeDocument/2006/relationships/hyperlink" Target="https://drive.google.com/open?id=1z5iERD74HUScDR_XvYS57oj8IIzNW1io" TargetMode="External"/><Relationship Id="rId4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2"/>
  <sheetViews>
    <sheetView topLeftCell="A16" workbookViewId="0">
      <selection activeCell="D32" sqref="D32:E32"/>
    </sheetView>
  </sheetViews>
  <sheetFormatPr defaultColWidth="9.140625" defaultRowHeight="15"/>
  <cols>
    <col min="1" max="1" width="19.140625" style="1" customWidth="1"/>
    <col min="2" max="2" width="37.5703125" style="1" customWidth="1"/>
    <col min="3" max="3" width="62.28515625" style="1" customWidth="1"/>
    <col min="4" max="4" width="23.5703125" style="1" customWidth="1"/>
    <col min="5" max="5" width="15.140625" style="1" customWidth="1"/>
    <col min="6" max="6" width="13.42578125" style="1" customWidth="1"/>
    <col min="7" max="16384" width="9.140625" style="1"/>
  </cols>
  <sheetData>
    <row r="1" spans="1:10" ht="15.75">
      <c r="A1" s="571"/>
      <c r="B1" s="605" t="s">
        <v>0</v>
      </c>
      <c r="C1" s="605"/>
      <c r="D1" s="606" t="s">
        <v>1</v>
      </c>
      <c r="E1" s="606"/>
      <c r="F1" s="185"/>
      <c r="G1" s="185"/>
      <c r="H1" s="185"/>
    </row>
    <row r="2" spans="1:10" ht="15.75">
      <c r="A2" s="572"/>
      <c r="B2" s="591" t="s">
        <v>2</v>
      </c>
      <c r="C2" s="592"/>
      <c r="D2" s="574" t="s">
        <v>3</v>
      </c>
      <c r="E2" s="574" t="s">
        <v>4</v>
      </c>
      <c r="F2" s="185"/>
      <c r="G2" s="186"/>
      <c r="H2" s="186"/>
    </row>
    <row r="3" spans="1:10">
      <c r="A3" s="572"/>
      <c r="B3" s="593" t="s">
        <v>5</v>
      </c>
      <c r="C3" s="593"/>
      <c r="D3" s="574"/>
      <c r="E3" s="574"/>
      <c r="F3" s="185"/>
      <c r="G3" s="186"/>
      <c r="H3" s="186"/>
    </row>
    <row r="4" spans="1:10">
      <c r="A4" s="572"/>
      <c r="B4" s="187"/>
      <c r="C4" s="187"/>
      <c r="D4" s="575" t="s">
        <v>675</v>
      </c>
      <c r="E4" s="576">
        <v>3</v>
      </c>
      <c r="F4" s="185"/>
      <c r="G4" s="645"/>
      <c r="H4" s="645"/>
    </row>
    <row r="5" spans="1:10" ht="15.75" customHeight="1">
      <c r="A5" s="573"/>
      <c r="B5" s="596" t="s">
        <v>6</v>
      </c>
      <c r="C5" s="597"/>
      <c r="D5" s="575"/>
      <c r="E5" s="576"/>
      <c r="F5" s="185"/>
      <c r="G5" s="645"/>
      <c r="H5" s="645"/>
    </row>
    <row r="6" spans="1:10" ht="18.75">
      <c r="A6" s="598" t="s">
        <v>7</v>
      </c>
      <c r="B6" s="598"/>
      <c r="C6" s="188" t="s">
        <v>8</v>
      </c>
      <c r="D6" s="189" t="s">
        <v>9</v>
      </c>
      <c r="E6" s="190" t="s">
        <v>10</v>
      </c>
      <c r="F6" s="185"/>
      <c r="G6" s="191"/>
      <c r="H6" s="191"/>
    </row>
    <row r="7" spans="1:10" ht="33" customHeight="1">
      <c r="A7" s="599" t="s">
        <v>459</v>
      </c>
      <c r="B7" s="600"/>
      <c r="C7" s="236" t="s">
        <v>463</v>
      </c>
      <c r="D7" s="192"/>
      <c r="E7" s="193"/>
      <c r="F7" s="185"/>
      <c r="G7" s="194"/>
      <c r="H7" s="191"/>
    </row>
    <row r="8" spans="1:10" ht="15.75">
      <c r="A8" s="639" t="s">
        <v>11</v>
      </c>
      <c r="B8" s="639"/>
      <c r="C8" s="639"/>
      <c r="D8" s="577" t="s">
        <v>12</v>
      </c>
      <c r="E8" s="577"/>
      <c r="F8" s="191"/>
      <c r="G8" s="191"/>
      <c r="H8" s="191"/>
    </row>
    <row r="9" spans="1:10" ht="15.75">
      <c r="A9" s="602" t="s">
        <v>13</v>
      </c>
      <c r="B9" s="602"/>
      <c r="C9" s="602"/>
      <c r="D9" s="577"/>
      <c r="E9" s="577"/>
      <c r="F9" s="191"/>
      <c r="G9" s="191"/>
      <c r="H9" s="191"/>
    </row>
    <row r="10" spans="1:10" ht="18.75">
      <c r="A10" s="638" t="s">
        <v>14</v>
      </c>
      <c r="B10" s="638"/>
      <c r="C10" s="638"/>
      <c r="D10" s="640">
        <f>170000+891287.27</f>
        <v>1061287.27</v>
      </c>
      <c r="E10" s="641"/>
      <c r="F10" s="191"/>
      <c r="G10" s="191"/>
      <c r="H10" s="195"/>
      <c r="J10" s="1" t="s">
        <v>674</v>
      </c>
    </row>
    <row r="11" spans="1:10" ht="18.75">
      <c r="A11" s="642" t="s">
        <v>15</v>
      </c>
      <c r="B11" s="642"/>
      <c r="C11" s="642"/>
      <c r="D11" s="643">
        <v>0</v>
      </c>
      <c r="E11" s="644"/>
      <c r="F11" s="191"/>
      <c r="G11" s="191"/>
      <c r="H11" s="195"/>
    </row>
    <row r="12" spans="1:10" ht="18.75">
      <c r="A12" s="642" t="s">
        <v>16</v>
      </c>
      <c r="B12" s="642"/>
      <c r="C12" s="642"/>
      <c r="D12" s="613">
        <v>0</v>
      </c>
      <c r="E12" s="613"/>
      <c r="F12" s="191"/>
      <c r="G12" s="191"/>
      <c r="H12" s="195"/>
    </row>
    <row r="13" spans="1:10" ht="18.75">
      <c r="A13" s="638" t="s">
        <v>17</v>
      </c>
      <c r="B13" s="638"/>
      <c r="C13" s="638"/>
      <c r="D13" s="579">
        <v>0</v>
      </c>
      <c r="E13" s="579"/>
      <c r="F13" s="191"/>
      <c r="G13" s="191"/>
      <c r="H13" s="195"/>
    </row>
    <row r="14" spans="1:10" ht="18.75">
      <c r="A14" s="633" t="s">
        <v>18</v>
      </c>
      <c r="B14" s="633"/>
      <c r="C14" s="633"/>
      <c r="D14" s="634">
        <v>0</v>
      </c>
      <c r="E14" s="634"/>
      <c r="F14" s="191"/>
      <c r="G14" s="191"/>
      <c r="H14" s="195"/>
    </row>
    <row r="15" spans="1:10" ht="18.75">
      <c r="A15" s="635" t="s">
        <v>19</v>
      </c>
      <c r="B15" s="635"/>
      <c r="C15" s="635"/>
      <c r="D15" s="636">
        <f>SUM(D10:E13)-D14</f>
        <v>1061287.27</v>
      </c>
      <c r="E15" s="637"/>
      <c r="F15" s="196"/>
      <c r="G15" s="191"/>
      <c r="H15" s="195"/>
    </row>
    <row r="16" spans="1:10" ht="18.75">
      <c r="A16" s="638" t="s">
        <v>20</v>
      </c>
      <c r="B16" s="638"/>
      <c r="C16" s="638"/>
      <c r="D16" s="579">
        <f>'APLICAÇÃO FINANCEIRA'!E24</f>
        <v>58.019999999999996</v>
      </c>
      <c r="E16" s="579"/>
      <c r="F16" s="196"/>
      <c r="G16" s="191"/>
      <c r="H16" s="195"/>
    </row>
    <row r="17" spans="1:8" ht="18.75">
      <c r="A17" s="638" t="s">
        <v>21</v>
      </c>
      <c r="B17" s="638"/>
      <c r="C17" s="638"/>
      <c r="D17" s="579">
        <v>0</v>
      </c>
      <c r="E17" s="579"/>
      <c r="F17" s="191"/>
      <c r="G17" s="191"/>
      <c r="H17" s="195"/>
    </row>
    <row r="18" spans="1:8" ht="18.75">
      <c r="A18" s="638" t="s">
        <v>22</v>
      </c>
      <c r="B18" s="638"/>
      <c r="C18" s="638"/>
      <c r="D18" s="579">
        <v>0</v>
      </c>
      <c r="E18" s="579"/>
      <c r="F18" s="191"/>
      <c r="G18" s="191"/>
      <c r="H18" s="195"/>
    </row>
    <row r="19" spans="1:8" ht="18.75">
      <c r="A19" s="629" t="s">
        <v>23</v>
      </c>
      <c r="B19" s="629"/>
      <c r="C19" s="629"/>
      <c r="D19" s="610">
        <f>SUM(D16:E18)</f>
        <v>58.019999999999996</v>
      </c>
      <c r="E19" s="610"/>
      <c r="F19" s="196"/>
      <c r="G19" s="191"/>
      <c r="H19" s="195"/>
    </row>
    <row r="20" spans="1:8" ht="18.75">
      <c r="A20" s="630" t="s">
        <v>24</v>
      </c>
      <c r="B20" s="630"/>
      <c r="C20" s="630"/>
      <c r="D20" s="582">
        <f>D15+D19</f>
        <v>1061345.29</v>
      </c>
      <c r="E20" s="582"/>
      <c r="F20" s="196"/>
      <c r="G20" s="191"/>
      <c r="H20" s="195"/>
    </row>
    <row r="21" spans="1:8" ht="18.75">
      <c r="A21" s="631"/>
      <c r="B21" s="631"/>
      <c r="C21" s="631"/>
      <c r="D21" s="197"/>
      <c r="E21" s="198"/>
      <c r="F21" s="191"/>
      <c r="G21" s="191"/>
      <c r="H21" s="195"/>
    </row>
    <row r="22" spans="1:8" ht="18.75">
      <c r="A22" s="602" t="s">
        <v>25</v>
      </c>
      <c r="B22" s="602"/>
      <c r="C22" s="602"/>
      <c r="D22" s="632" t="s">
        <v>12</v>
      </c>
      <c r="E22" s="632"/>
      <c r="F22" s="191"/>
      <c r="G22" s="191"/>
      <c r="H22" s="195"/>
    </row>
    <row r="23" spans="1:8" ht="18.75">
      <c r="A23" s="607" t="s">
        <v>26</v>
      </c>
      <c r="B23" s="607"/>
      <c r="C23" s="607"/>
      <c r="D23" s="623">
        <f>D24+SUM(D30:E33)</f>
        <v>421171.19334240002</v>
      </c>
      <c r="E23" s="623"/>
      <c r="F23" s="196"/>
      <c r="G23" s="191"/>
      <c r="H23" s="195"/>
    </row>
    <row r="24" spans="1:8" ht="18.75">
      <c r="A24" s="620" t="s">
        <v>27</v>
      </c>
      <c r="B24" s="620"/>
      <c r="C24" s="620"/>
      <c r="D24" s="621">
        <f>D25+D28+D29</f>
        <v>273472.06</v>
      </c>
      <c r="E24" s="621"/>
      <c r="F24" s="196"/>
      <c r="G24" s="191"/>
      <c r="H24" s="195"/>
    </row>
    <row r="25" spans="1:8" ht="18.75">
      <c r="A25" s="627" t="s">
        <v>28</v>
      </c>
      <c r="B25" s="627"/>
      <c r="C25" s="627"/>
      <c r="D25" s="628">
        <f>D26+D27</f>
        <v>0</v>
      </c>
      <c r="E25" s="628"/>
      <c r="F25" s="196"/>
      <c r="G25" s="191"/>
      <c r="H25" s="195"/>
    </row>
    <row r="26" spans="1:8" ht="18.75">
      <c r="A26" s="619" t="s">
        <v>29</v>
      </c>
      <c r="B26" s="619"/>
      <c r="C26" s="619"/>
      <c r="D26" s="579">
        <v>0</v>
      </c>
      <c r="E26" s="579"/>
      <c r="F26" s="196"/>
      <c r="G26" s="191"/>
      <c r="H26" s="195"/>
    </row>
    <row r="27" spans="1:8" ht="18.75">
      <c r="A27" s="619" t="s">
        <v>30</v>
      </c>
      <c r="B27" s="619"/>
      <c r="C27" s="619"/>
      <c r="D27" s="579">
        <v>0</v>
      </c>
      <c r="E27" s="579"/>
      <c r="F27" s="191"/>
      <c r="G27" s="191"/>
      <c r="H27" s="195"/>
    </row>
    <row r="28" spans="1:8" ht="18.75">
      <c r="A28" s="619" t="s">
        <v>31</v>
      </c>
      <c r="B28" s="619"/>
      <c r="C28" s="619"/>
      <c r="D28" s="579">
        <v>0</v>
      </c>
      <c r="E28" s="579"/>
      <c r="F28" s="191"/>
      <c r="G28" s="191"/>
      <c r="H28" s="195"/>
    </row>
    <row r="29" spans="1:8" ht="18.75">
      <c r="A29" s="619" t="s">
        <v>32</v>
      </c>
      <c r="B29" s="619"/>
      <c r="C29" s="619"/>
      <c r="D29" s="579">
        <v>273472.06</v>
      </c>
      <c r="E29" s="579"/>
      <c r="F29" s="191"/>
      <c r="G29" s="191"/>
      <c r="H29" s="195"/>
    </row>
    <row r="30" spans="1:8" ht="18.75">
      <c r="A30" s="619" t="s">
        <v>33</v>
      </c>
      <c r="B30" s="619"/>
      <c r="C30" s="619"/>
      <c r="D30" s="580">
        <f>'CÁLCULO FOLHA DE PAGAMENTO'!G69</f>
        <v>21778.8056</v>
      </c>
      <c r="E30" s="580"/>
      <c r="F30" s="196"/>
      <c r="G30" s="191"/>
      <c r="H30" s="195"/>
    </row>
    <row r="31" spans="1:8" ht="18.75">
      <c r="A31" s="619" t="s">
        <v>34</v>
      </c>
      <c r="B31" s="619"/>
      <c r="C31" s="619"/>
      <c r="D31" s="580">
        <f>'CÁLCULO FOLHA DE PAGAMENTO'!G70</f>
        <v>0</v>
      </c>
      <c r="E31" s="580"/>
      <c r="F31" s="196"/>
      <c r="G31" s="191"/>
      <c r="H31" s="195"/>
    </row>
    <row r="32" spans="1:8" ht="18.75">
      <c r="A32" s="619" t="s">
        <v>35</v>
      </c>
      <c r="B32" s="619"/>
      <c r="C32" s="619"/>
      <c r="D32" s="580">
        <f>'CÁLCULO FOLHA DE PAGAMENTO'!G73</f>
        <v>49063.74</v>
      </c>
      <c r="E32" s="580"/>
      <c r="F32" s="196"/>
      <c r="G32" s="191"/>
      <c r="H32" s="195"/>
    </row>
    <row r="33" spans="1:8" ht="18.75">
      <c r="A33" s="619" t="s">
        <v>36</v>
      </c>
      <c r="B33" s="619"/>
      <c r="C33" s="619"/>
      <c r="D33" s="580">
        <f>IF(E6="NÃO",(IF($E$4&gt;1,(8.333+11.111+1.56+0.194+4+2+$D$116)*$D$24/100,(8.333+11.111+1.56+0.194+4+9.08)*$D$24/100)),IF(E6="SIM",(IF($E$4&gt;1,(8.333+11.111+1.56+4+2+$D$116)*$D$24/100,(8.333+11.111+1.56+4+9.08)*$D$24/100))))</f>
        <v>76856.587742400006</v>
      </c>
      <c r="E33" s="580"/>
      <c r="F33" s="196"/>
      <c r="G33" s="191"/>
      <c r="H33" s="195"/>
    </row>
    <row r="34" spans="1:8" ht="18.75">
      <c r="A34" s="607" t="s">
        <v>37</v>
      </c>
      <c r="B34" s="607"/>
      <c r="C34" s="607"/>
      <c r="D34" s="623">
        <f>SUM(D35:E41)</f>
        <v>130165.53</v>
      </c>
      <c r="E34" s="623"/>
      <c r="F34" s="196"/>
      <c r="G34" s="191"/>
      <c r="H34" s="195"/>
    </row>
    <row r="35" spans="1:8" ht="18.75">
      <c r="A35" s="619" t="s">
        <v>38</v>
      </c>
      <c r="B35" s="619"/>
      <c r="C35" s="619"/>
      <c r="D35" s="579">
        <v>69405.48</v>
      </c>
      <c r="E35" s="579"/>
      <c r="F35" s="196"/>
      <c r="G35" s="191"/>
      <c r="H35" s="195"/>
    </row>
    <row r="36" spans="1:8" ht="18.75">
      <c r="A36" s="619" t="s">
        <v>39</v>
      </c>
      <c r="B36" s="619"/>
      <c r="C36" s="619"/>
      <c r="D36" s="579">
        <v>31057.58</v>
      </c>
      <c r="E36" s="579"/>
      <c r="F36" s="191"/>
      <c r="G36" s="191"/>
      <c r="H36" s="195"/>
    </row>
    <row r="37" spans="1:8" ht="18.75">
      <c r="A37" s="619" t="s">
        <v>40</v>
      </c>
      <c r="B37" s="619"/>
      <c r="C37" s="619"/>
      <c r="D37" s="579">
        <v>1387.41</v>
      </c>
      <c r="E37" s="579"/>
      <c r="F37" s="191"/>
      <c r="G37" s="191"/>
      <c r="H37" s="195"/>
    </row>
    <row r="38" spans="1:8" ht="18.75">
      <c r="A38" s="619" t="s">
        <v>41</v>
      </c>
      <c r="B38" s="619"/>
      <c r="C38" s="619"/>
      <c r="D38" s="579">
        <v>28315.06</v>
      </c>
      <c r="E38" s="579"/>
      <c r="F38" s="191"/>
      <c r="G38" s="191"/>
      <c r="H38" s="195"/>
    </row>
    <row r="39" spans="1:8" ht="18.75">
      <c r="A39" s="619" t="s">
        <v>42</v>
      </c>
      <c r="B39" s="619"/>
      <c r="C39" s="619"/>
      <c r="D39" s="579"/>
      <c r="E39" s="579"/>
      <c r="F39" s="191"/>
      <c r="G39" s="191"/>
      <c r="H39" s="195"/>
    </row>
    <row r="40" spans="1:8" ht="18.75">
      <c r="A40" s="619" t="s">
        <v>43</v>
      </c>
      <c r="B40" s="619"/>
      <c r="C40" s="619"/>
      <c r="D40" s="579">
        <v>0</v>
      </c>
      <c r="E40" s="579"/>
      <c r="F40" s="191"/>
      <c r="G40" s="191"/>
      <c r="H40" s="195"/>
    </row>
    <row r="41" spans="1:8" ht="18.75">
      <c r="A41" s="619" t="s">
        <v>44</v>
      </c>
      <c r="B41" s="619"/>
      <c r="C41" s="619"/>
      <c r="D41" s="579">
        <v>0</v>
      </c>
      <c r="E41" s="579"/>
      <c r="F41" s="191"/>
      <c r="G41" s="191"/>
      <c r="H41" s="195"/>
    </row>
    <row r="42" spans="1:8" ht="18.75">
      <c r="A42" s="607" t="s">
        <v>45</v>
      </c>
      <c r="B42" s="607"/>
      <c r="C42" s="607"/>
      <c r="D42" s="623">
        <f>SUM(D43:E47)+D48+D54+D55</f>
        <v>12827.58</v>
      </c>
      <c r="E42" s="623"/>
      <c r="F42" s="196"/>
      <c r="G42" s="191"/>
      <c r="H42" s="195"/>
    </row>
    <row r="43" spans="1:8" ht="18.75">
      <c r="A43" s="619" t="s">
        <v>46</v>
      </c>
      <c r="B43" s="619"/>
      <c r="C43" s="619"/>
      <c r="D43" s="579">
        <v>3671.75</v>
      </c>
      <c r="E43" s="579"/>
      <c r="F43" s="196"/>
      <c r="G43" s="191"/>
      <c r="H43" s="195"/>
    </row>
    <row r="44" spans="1:8" ht="18.75">
      <c r="A44" s="619" t="s">
        <v>47</v>
      </c>
      <c r="B44" s="619"/>
      <c r="C44" s="619"/>
      <c r="D44" s="579">
        <v>1273.8499999999999</v>
      </c>
      <c r="E44" s="579"/>
      <c r="F44" s="191"/>
      <c r="G44" s="191"/>
      <c r="H44" s="195"/>
    </row>
    <row r="45" spans="1:8" ht="18.75">
      <c r="A45" s="619" t="s">
        <v>48</v>
      </c>
      <c r="B45" s="619"/>
      <c r="C45" s="619"/>
      <c r="D45" s="579">
        <v>404.73</v>
      </c>
      <c r="E45" s="579"/>
      <c r="F45" s="191"/>
      <c r="G45" s="191"/>
      <c r="H45" s="195"/>
    </row>
    <row r="46" spans="1:8" ht="18.75">
      <c r="A46" s="619" t="s">
        <v>49</v>
      </c>
      <c r="B46" s="619"/>
      <c r="C46" s="619"/>
      <c r="D46" s="579">
        <v>4385.08</v>
      </c>
      <c r="E46" s="579"/>
      <c r="F46" s="191"/>
      <c r="G46" s="191"/>
      <c r="H46" s="195"/>
    </row>
    <row r="47" spans="1:8" ht="18.75">
      <c r="A47" s="619" t="s">
        <v>50</v>
      </c>
      <c r="B47" s="619"/>
      <c r="C47" s="619"/>
      <c r="D47" s="579">
        <v>0</v>
      </c>
      <c r="E47" s="579"/>
      <c r="F47" s="191"/>
      <c r="G47" s="191"/>
      <c r="H47" s="195"/>
    </row>
    <row r="48" spans="1:8" ht="18.75">
      <c r="A48" s="627" t="s">
        <v>51</v>
      </c>
      <c r="B48" s="627"/>
      <c r="C48" s="627"/>
      <c r="D48" s="628">
        <f>SUM(D49:E53)</f>
        <v>609.73</v>
      </c>
      <c r="E48" s="628"/>
      <c r="F48" s="196"/>
      <c r="G48" s="191"/>
      <c r="H48" s="195"/>
    </row>
    <row r="49" spans="1:8" ht="18.75">
      <c r="A49" s="619" t="s">
        <v>52</v>
      </c>
      <c r="B49" s="619"/>
      <c r="C49" s="619"/>
      <c r="D49" s="579">
        <v>609.73</v>
      </c>
      <c r="E49" s="579"/>
      <c r="F49" s="196"/>
      <c r="G49" s="191"/>
      <c r="H49" s="195"/>
    </row>
    <row r="50" spans="1:8" ht="18.75">
      <c r="A50" s="619" t="s">
        <v>53</v>
      </c>
      <c r="B50" s="619"/>
      <c r="C50" s="619"/>
      <c r="D50" s="579">
        <v>0</v>
      </c>
      <c r="E50" s="579"/>
      <c r="F50" s="191"/>
      <c r="G50" s="191"/>
      <c r="H50" s="195"/>
    </row>
    <row r="51" spans="1:8" ht="18.75">
      <c r="A51" s="619" t="s">
        <v>54</v>
      </c>
      <c r="B51" s="619"/>
      <c r="C51" s="619"/>
      <c r="D51" s="579">
        <v>0</v>
      </c>
      <c r="E51" s="579"/>
      <c r="F51" s="191"/>
      <c r="G51" s="191"/>
      <c r="H51" s="195"/>
    </row>
    <row r="52" spans="1:8" ht="18.75">
      <c r="A52" s="619" t="s">
        <v>55</v>
      </c>
      <c r="B52" s="619"/>
      <c r="C52" s="619"/>
      <c r="D52" s="579">
        <v>0</v>
      </c>
      <c r="E52" s="579"/>
      <c r="F52" s="191"/>
      <c r="G52" s="191"/>
      <c r="H52" s="195"/>
    </row>
    <row r="53" spans="1:8" ht="18.75">
      <c r="A53" s="619" t="s">
        <v>56</v>
      </c>
      <c r="B53" s="619"/>
      <c r="C53" s="619"/>
      <c r="D53" s="579">
        <v>0</v>
      </c>
      <c r="E53" s="579"/>
      <c r="F53" s="191"/>
      <c r="G53" s="191"/>
      <c r="H53" s="195"/>
    </row>
    <row r="54" spans="1:8" ht="18.75">
      <c r="A54" s="616" t="s">
        <v>57</v>
      </c>
      <c r="B54" s="616"/>
      <c r="C54" s="616"/>
      <c r="D54" s="579">
        <v>2145.7600000000002</v>
      </c>
      <c r="E54" s="579"/>
      <c r="F54" s="199"/>
      <c r="G54" s="199"/>
      <c r="H54" s="200"/>
    </row>
    <row r="55" spans="1:8" ht="18.75">
      <c r="A55" s="619" t="s">
        <v>58</v>
      </c>
      <c r="B55" s="619"/>
      <c r="C55" s="619"/>
      <c r="D55" s="579">
        <v>336.68</v>
      </c>
      <c r="E55" s="579"/>
      <c r="F55" s="191"/>
      <c r="G55" s="191"/>
      <c r="H55" s="195"/>
    </row>
    <row r="56" spans="1:8" ht="18.75">
      <c r="A56" s="607" t="s">
        <v>59</v>
      </c>
      <c r="B56" s="607"/>
      <c r="C56" s="607"/>
      <c r="D56" s="623">
        <f>D57+D58+D61</f>
        <v>0</v>
      </c>
      <c r="E56" s="623"/>
      <c r="F56" s="196"/>
      <c r="G56" s="191"/>
      <c r="H56" s="195"/>
    </row>
    <row r="57" spans="1:8" ht="18.75">
      <c r="A57" s="619" t="s">
        <v>60</v>
      </c>
      <c r="B57" s="619"/>
      <c r="C57" s="619"/>
      <c r="D57" s="579">
        <v>0</v>
      </c>
      <c r="E57" s="579"/>
      <c r="F57" s="196"/>
      <c r="G57" s="191"/>
      <c r="H57" s="195"/>
    </row>
    <row r="58" spans="1:8" ht="18.75">
      <c r="A58" s="624" t="s">
        <v>61</v>
      </c>
      <c r="B58" s="624"/>
      <c r="C58" s="624"/>
      <c r="D58" s="625">
        <f>SUM(D59:E60)</f>
        <v>0</v>
      </c>
      <c r="E58" s="625"/>
      <c r="F58" s="196"/>
      <c r="G58" s="191"/>
      <c r="H58" s="195"/>
    </row>
    <row r="59" spans="1:8" ht="18.75">
      <c r="A59" s="619" t="s">
        <v>62</v>
      </c>
      <c r="B59" s="619"/>
      <c r="C59" s="619"/>
      <c r="D59" s="579">
        <v>0</v>
      </c>
      <c r="E59" s="579"/>
      <c r="F59" s="196"/>
      <c r="G59" s="191"/>
      <c r="H59" s="195"/>
    </row>
    <row r="60" spans="1:8" ht="18.75">
      <c r="A60" s="619" t="s">
        <v>63</v>
      </c>
      <c r="B60" s="619"/>
      <c r="C60" s="619"/>
      <c r="D60" s="579">
        <v>0</v>
      </c>
      <c r="E60" s="579"/>
      <c r="F60" s="191"/>
      <c r="G60" s="191"/>
      <c r="H60" s="195"/>
    </row>
    <row r="61" spans="1:8" ht="18.75">
      <c r="A61" s="624" t="s">
        <v>64</v>
      </c>
      <c r="B61" s="624"/>
      <c r="C61" s="624"/>
      <c r="D61" s="625">
        <f>SUM(D62:E63)</f>
        <v>0</v>
      </c>
      <c r="E61" s="625"/>
      <c r="F61" s="196"/>
      <c r="G61" s="191"/>
      <c r="H61" s="195"/>
    </row>
    <row r="62" spans="1:8" ht="18.75">
      <c r="A62" s="619" t="s">
        <v>65</v>
      </c>
      <c r="B62" s="619"/>
      <c r="C62" s="619"/>
      <c r="D62" s="579">
        <v>0</v>
      </c>
      <c r="E62" s="579"/>
      <c r="F62" s="196"/>
      <c r="G62" s="191"/>
      <c r="H62" s="195"/>
    </row>
    <row r="63" spans="1:8" ht="18.75">
      <c r="A63" s="626" t="s">
        <v>66</v>
      </c>
      <c r="B63" s="626"/>
      <c r="C63" s="626"/>
      <c r="D63" s="579">
        <v>0</v>
      </c>
      <c r="E63" s="579"/>
      <c r="F63" s="191"/>
      <c r="G63" s="191"/>
      <c r="H63" s="195"/>
    </row>
    <row r="64" spans="1:8" ht="15.75">
      <c r="A64" s="201"/>
      <c r="B64" s="201"/>
      <c r="C64" s="202"/>
      <c r="D64" s="604"/>
      <c r="E64" s="604"/>
      <c r="F64" s="195"/>
      <c r="G64" s="191"/>
      <c r="H64" s="195"/>
    </row>
    <row r="65" spans="1:8" ht="24" customHeight="1">
      <c r="A65" s="566" t="s">
        <v>67</v>
      </c>
      <c r="B65" s="566"/>
      <c r="C65" s="203" t="s">
        <v>68</v>
      </c>
      <c r="D65" s="567" t="s">
        <v>67</v>
      </c>
      <c r="E65" s="567"/>
      <c r="F65" s="204"/>
      <c r="G65" s="191"/>
      <c r="H65" s="195"/>
    </row>
    <row r="66" spans="1:8" ht="39" customHeight="1">
      <c r="A66" s="568" t="s">
        <v>69</v>
      </c>
      <c r="B66" s="568"/>
      <c r="C66" s="205" t="s">
        <v>70</v>
      </c>
      <c r="D66" s="569" t="s">
        <v>71</v>
      </c>
      <c r="E66" s="570"/>
      <c r="F66" s="191"/>
      <c r="G66" s="191"/>
      <c r="H66" s="195"/>
    </row>
    <row r="67" spans="1:8" ht="15.75">
      <c r="A67" s="571"/>
      <c r="B67" s="605" t="s">
        <v>0</v>
      </c>
      <c r="C67" s="605"/>
      <c r="D67" s="606" t="s">
        <v>1</v>
      </c>
      <c r="E67" s="606"/>
      <c r="F67" s="191"/>
      <c r="G67" s="191"/>
      <c r="H67" s="195"/>
    </row>
    <row r="68" spans="1:8" ht="15.75" customHeight="1">
      <c r="A68" s="572"/>
      <c r="B68" s="591" t="s">
        <v>2</v>
      </c>
      <c r="C68" s="592"/>
      <c r="D68" s="574" t="s">
        <v>3</v>
      </c>
      <c r="E68" s="574" t="s">
        <v>4</v>
      </c>
      <c r="F68" s="191"/>
      <c r="G68" s="191"/>
      <c r="H68" s="195"/>
    </row>
    <row r="69" spans="1:8" ht="15.75">
      <c r="A69" s="572"/>
      <c r="B69" s="593" t="s">
        <v>5</v>
      </c>
      <c r="C69" s="593"/>
      <c r="D69" s="574"/>
      <c r="E69" s="574"/>
      <c r="F69" s="191"/>
      <c r="G69" s="191"/>
      <c r="H69" s="195"/>
    </row>
    <row r="70" spans="1:8" ht="15.75" customHeight="1">
      <c r="A70" s="572"/>
      <c r="B70" s="187"/>
      <c r="C70" s="187"/>
      <c r="D70" s="575" t="s">
        <v>675</v>
      </c>
      <c r="E70" s="576">
        <f>E4</f>
        <v>3</v>
      </c>
      <c r="F70" s="191"/>
      <c r="G70" s="191"/>
      <c r="H70" s="195"/>
    </row>
    <row r="71" spans="1:8" ht="15.75" customHeight="1">
      <c r="A71" s="573"/>
      <c r="B71" s="596" t="s">
        <v>6</v>
      </c>
      <c r="C71" s="597"/>
      <c r="D71" s="575"/>
      <c r="E71" s="576"/>
      <c r="F71" s="191"/>
      <c r="G71" s="191"/>
      <c r="H71" s="195"/>
    </row>
    <row r="72" spans="1:8" ht="15.75">
      <c r="A72" s="598" t="s">
        <v>7</v>
      </c>
      <c r="B72" s="598"/>
      <c r="C72" s="574" t="s">
        <v>8</v>
      </c>
      <c r="D72" s="574"/>
      <c r="E72" s="574"/>
      <c r="F72" s="191"/>
      <c r="G72" s="191"/>
      <c r="H72" s="195"/>
    </row>
    <row r="73" spans="1:8" ht="33" customHeight="1">
      <c r="A73" s="599" t="s">
        <v>459</v>
      </c>
      <c r="B73" s="600"/>
      <c r="C73" s="601" t="s">
        <v>463</v>
      </c>
      <c r="D73" s="601"/>
      <c r="E73" s="601"/>
      <c r="F73" s="191"/>
      <c r="G73" s="191"/>
      <c r="H73" s="195"/>
    </row>
    <row r="74" spans="1:8" ht="15.75">
      <c r="A74" s="602" t="s">
        <v>72</v>
      </c>
      <c r="B74" s="602"/>
      <c r="C74" s="602"/>
      <c r="D74" s="583" t="s">
        <v>12</v>
      </c>
      <c r="E74" s="583"/>
      <c r="F74" s="191"/>
      <c r="G74" s="191"/>
      <c r="H74" s="195"/>
    </row>
    <row r="75" spans="1:8" ht="18.75">
      <c r="A75" s="607" t="s">
        <v>73</v>
      </c>
      <c r="B75" s="607"/>
      <c r="C75" s="607"/>
      <c r="D75" s="623">
        <f>SUM(D76:E80)</f>
        <v>27914.880000000001</v>
      </c>
      <c r="E75" s="623"/>
      <c r="F75" s="196"/>
      <c r="G75" s="191"/>
      <c r="H75" s="195"/>
    </row>
    <row r="76" spans="1:8" ht="18.75">
      <c r="A76" s="619" t="s">
        <v>74</v>
      </c>
      <c r="B76" s="619"/>
      <c r="C76" s="619"/>
      <c r="D76" s="579">
        <f>190+310+57.12+5.46</f>
        <v>562.58000000000004</v>
      </c>
      <c r="E76" s="579"/>
      <c r="F76" s="196"/>
      <c r="G76" s="191"/>
      <c r="H76" s="195"/>
    </row>
    <row r="77" spans="1:8" ht="18.75">
      <c r="A77" s="619" t="s">
        <v>75</v>
      </c>
      <c r="B77" s="619"/>
      <c r="C77" s="619"/>
      <c r="D77" s="579">
        <v>1367.99</v>
      </c>
      <c r="E77" s="579"/>
      <c r="F77" s="191"/>
      <c r="G77" s="191"/>
      <c r="H77" s="195"/>
    </row>
    <row r="78" spans="1:8" ht="18.75">
      <c r="A78" s="619" t="s">
        <v>76</v>
      </c>
      <c r="B78" s="619"/>
      <c r="C78" s="619"/>
      <c r="D78" s="579">
        <f>16958.45+30.92</f>
        <v>16989.37</v>
      </c>
      <c r="E78" s="579"/>
      <c r="F78" s="191"/>
      <c r="G78" s="191"/>
      <c r="H78" s="195"/>
    </row>
    <row r="79" spans="1:8" ht="18.75">
      <c r="A79" s="619" t="s">
        <v>77</v>
      </c>
      <c r="B79" s="619"/>
      <c r="C79" s="619"/>
      <c r="D79" s="579">
        <f>2388.9+3289.51+480+1036.29+1500</f>
        <v>8694.7000000000007</v>
      </c>
      <c r="E79" s="579"/>
      <c r="F79" s="191"/>
      <c r="G79" s="191"/>
      <c r="H79" s="195"/>
    </row>
    <row r="80" spans="1:8" ht="18.75">
      <c r="A80" s="619" t="s">
        <v>78</v>
      </c>
      <c r="B80" s="619"/>
      <c r="C80" s="619"/>
      <c r="D80" s="579">
        <f>9.96+10.7+42.93+32.75+20.17+28.1+87.92+11.94+20.96+12.8+11.58+10.43</f>
        <v>300.24</v>
      </c>
      <c r="E80" s="579"/>
      <c r="F80" s="191"/>
      <c r="G80" s="191"/>
      <c r="H80" s="195"/>
    </row>
    <row r="81" spans="1:8" ht="18.75">
      <c r="A81" s="617" t="s">
        <v>79</v>
      </c>
      <c r="B81" s="617"/>
      <c r="C81" s="617"/>
      <c r="D81" s="618">
        <f>D82+D89+D91</f>
        <v>505450.22</v>
      </c>
      <c r="E81" s="618"/>
      <c r="F81" s="196"/>
      <c r="G81" s="191"/>
      <c r="H81" s="195"/>
    </row>
    <row r="82" spans="1:8" ht="18.75">
      <c r="A82" s="620" t="s">
        <v>80</v>
      </c>
      <c r="B82" s="620"/>
      <c r="C82" s="620"/>
      <c r="D82" s="621">
        <f>SUM(D83:E88)</f>
        <v>284595.74</v>
      </c>
      <c r="E82" s="621"/>
      <c r="F82" s="196"/>
      <c r="G82" s="191"/>
      <c r="H82" s="195"/>
    </row>
    <row r="83" spans="1:8" ht="18.75">
      <c r="A83" s="619" t="s">
        <v>81</v>
      </c>
      <c r="B83" s="619"/>
      <c r="C83" s="619"/>
      <c r="D83" s="579">
        <f>6420+21331.68+5136+4512+29475.84+41163.6+41287.68+21175.68+10303.92+7643.76+2599.92+9648+10807.92+27531.84</f>
        <v>239037.84000000003</v>
      </c>
      <c r="E83" s="579"/>
      <c r="F83" s="196"/>
      <c r="G83" s="191"/>
      <c r="H83" s="195"/>
    </row>
    <row r="84" spans="1:8" ht="18.75">
      <c r="A84" s="619" t="s">
        <v>82</v>
      </c>
      <c r="B84" s="619"/>
      <c r="C84" s="619"/>
      <c r="D84" s="579">
        <v>0</v>
      </c>
      <c r="E84" s="579"/>
      <c r="F84" s="191"/>
      <c r="G84" s="191"/>
      <c r="H84" s="195"/>
    </row>
    <row r="85" spans="1:8" ht="18.75">
      <c r="A85" s="619" t="s">
        <v>83</v>
      </c>
      <c r="B85" s="619"/>
      <c r="C85" s="619"/>
      <c r="D85" s="579">
        <v>20284.86</v>
      </c>
      <c r="E85" s="579"/>
      <c r="F85" s="191"/>
      <c r="G85" s="191"/>
      <c r="H85" s="195"/>
    </row>
    <row r="86" spans="1:8" ht="18.75">
      <c r="A86" s="619" t="s">
        <v>84</v>
      </c>
      <c r="B86" s="619"/>
      <c r="C86" s="619"/>
      <c r="D86" s="579">
        <v>3273.04</v>
      </c>
      <c r="E86" s="579"/>
      <c r="F86" s="191"/>
      <c r="G86" s="191"/>
      <c r="H86" s="195"/>
    </row>
    <row r="87" spans="1:8" ht="18.75">
      <c r="A87" s="616" t="s">
        <v>85</v>
      </c>
      <c r="B87" s="616"/>
      <c r="C87" s="616"/>
      <c r="D87" s="579">
        <v>22000</v>
      </c>
      <c r="E87" s="579"/>
      <c r="F87" s="191"/>
      <c r="G87" s="191"/>
      <c r="H87" s="195"/>
    </row>
    <row r="88" spans="1:8" ht="18.75">
      <c r="A88" s="619" t="s">
        <v>86</v>
      </c>
      <c r="B88" s="619"/>
      <c r="C88" s="619"/>
      <c r="D88" s="579">
        <v>0</v>
      </c>
      <c r="E88" s="579"/>
      <c r="F88" s="191"/>
      <c r="G88" s="191"/>
      <c r="H88" s="195"/>
    </row>
    <row r="89" spans="1:8" ht="18.75">
      <c r="A89" s="620" t="s">
        <v>87</v>
      </c>
      <c r="B89" s="620"/>
      <c r="C89" s="620"/>
      <c r="D89" s="621">
        <f>D90</f>
        <v>0</v>
      </c>
      <c r="E89" s="621"/>
      <c r="F89" s="196"/>
      <c r="G89" s="191"/>
      <c r="H89" s="195"/>
    </row>
    <row r="90" spans="1:8" ht="18.75">
      <c r="A90" s="619" t="s">
        <v>88</v>
      </c>
      <c r="B90" s="619"/>
      <c r="C90" s="619"/>
      <c r="D90" s="579">
        <v>0</v>
      </c>
      <c r="E90" s="579"/>
      <c r="F90" s="196"/>
      <c r="G90" s="191"/>
      <c r="H90" s="195"/>
    </row>
    <row r="91" spans="1:8" ht="18.75">
      <c r="A91" s="620" t="s">
        <v>89</v>
      </c>
      <c r="B91" s="620"/>
      <c r="C91" s="620"/>
      <c r="D91" s="621">
        <f>SUM(D92:E97)</f>
        <v>220854.47999999998</v>
      </c>
      <c r="E91" s="621"/>
      <c r="F91" s="196"/>
      <c r="G91" s="191"/>
      <c r="H91" s="195"/>
    </row>
    <row r="92" spans="1:8" ht="18.75">
      <c r="A92" s="619" t="s">
        <v>90</v>
      </c>
      <c r="B92" s="619"/>
      <c r="C92" s="619"/>
      <c r="D92" s="579">
        <v>3000</v>
      </c>
      <c r="E92" s="579"/>
      <c r="F92" s="196"/>
      <c r="G92" s="191"/>
      <c r="H92" s="195"/>
    </row>
    <row r="93" spans="1:8" ht="18.75">
      <c r="A93" s="619" t="s">
        <v>91</v>
      </c>
      <c r="B93" s="619"/>
      <c r="C93" s="619"/>
      <c r="D93" s="579">
        <v>2418</v>
      </c>
      <c r="E93" s="579"/>
      <c r="F93" s="191"/>
      <c r="G93" s="191"/>
      <c r="H93" s="195"/>
    </row>
    <row r="94" spans="1:8" ht="18.75">
      <c r="A94" s="619" t="s">
        <v>92</v>
      </c>
      <c r="B94" s="619"/>
      <c r="C94" s="619"/>
      <c r="D94" s="579">
        <f>12092.9+998+820</f>
        <v>13910.9</v>
      </c>
      <c r="E94" s="579"/>
      <c r="F94" s="191"/>
      <c r="G94" s="191"/>
      <c r="H94" s="195"/>
    </row>
    <row r="95" spans="1:8" ht="18.75">
      <c r="A95" s="622" t="s">
        <v>93</v>
      </c>
      <c r="B95" s="622"/>
      <c r="C95" s="622"/>
      <c r="D95" s="579">
        <v>0</v>
      </c>
      <c r="E95" s="579"/>
      <c r="F95" s="191"/>
      <c r="G95" s="191"/>
      <c r="H95" s="195"/>
    </row>
    <row r="96" spans="1:8" ht="18.75">
      <c r="A96" s="619" t="s">
        <v>94</v>
      </c>
      <c r="B96" s="619"/>
      <c r="C96" s="619"/>
      <c r="D96" s="579">
        <f>37000+28500+84000+20000+3375+14000+13000</f>
        <v>199875</v>
      </c>
      <c r="E96" s="579"/>
      <c r="F96" s="191"/>
      <c r="G96" s="191"/>
      <c r="H96" s="195"/>
    </row>
    <row r="97" spans="1:8" ht="18.75">
      <c r="A97" s="619" t="s">
        <v>95</v>
      </c>
      <c r="B97" s="619"/>
      <c r="C97" s="619"/>
      <c r="D97" s="579">
        <f>1650.58</f>
        <v>1650.58</v>
      </c>
      <c r="E97" s="579"/>
      <c r="F97" s="191"/>
      <c r="G97" s="191"/>
      <c r="H97" s="195"/>
    </row>
    <row r="98" spans="1:8" ht="18.75">
      <c r="A98" s="617" t="s">
        <v>96</v>
      </c>
      <c r="B98" s="617"/>
      <c r="C98" s="617"/>
      <c r="D98" s="618">
        <f>SUM(D99:E104)</f>
        <v>23507.38</v>
      </c>
      <c r="E98" s="618"/>
      <c r="F98" s="196"/>
      <c r="G98" s="191"/>
      <c r="H98" s="195"/>
    </row>
    <row r="99" spans="1:8" ht="18.75">
      <c r="A99" s="616" t="s">
        <v>97</v>
      </c>
      <c r="B99" s="616"/>
      <c r="C99" s="616"/>
      <c r="D99" s="579">
        <f>1600+500</f>
        <v>2100</v>
      </c>
      <c r="E99" s="579"/>
      <c r="F99" s="196"/>
      <c r="G99" s="191"/>
      <c r="H99" s="195"/>
    </row>
    <row r="100" spans="1:8" ht="18.75">
      <c r="A100" s="616" t="s">
        <v>98</v>
      </c>
      <c r="B100" s="616"/>
      <c r="C100" s="616"/>
      <c r="D100" s="579"/>
      <c r="E100" s="579"/>
      <c r="F100" s="191"/>
      <c r="G100" s="191"/>
      <c r="H100" s="195"/>
    </row>
    <row r="101" spans="1:8" ht="18.75">
      <c r="A101" s="616" t="s">
        <v>99</v>
      </c>
      <c r="B101" s="616"/>
      <c r="C101" s="616"/>
      <c r="D101" s="579">
        <f>14000+500+6607.38</f>
        <v>21107.38</v>
      </c>
      <c r="E101" s="579"/>
      <c r="F101" s="191"/>
      <c r="G101" s="191"/>
      <c r="H101" s="195"/>
    </row>
    <row r="102" spans="1:8" ht="18.75">
      <c r="A102" s="616" t="s">
        <v>100</v>
      </c>
      <c r="B102" s="616"/>
      <c r="C102" s="616"/>
      <c r="D102" s="579"/>
      <c r="E102" s="579"/>
      <c r="F102" s="191"/>
      <c r="G102" s="191"/>
      <c r="H102" s="195"/>
    </row>
    <row r="103" spans="1:8" ht="18.75">
      <c r="A103" s="616" t="s">
        <v>101</v>
      </c>
      <c r="B103" s="616"/>
      <c r="C103" s="616"/>
      <c r="D103" s="579">
        <v>300</v>
      </c>
      <c r="E103" s="579"/>
      <c r="F103" s="191"/>
      <c r="G103" s="191"/>
      <c r="H103" s="195"/>
    </row>
    <row r="104" spans="1:8" ht="18.75">
      <c r="A104" s="616" t="s">
        <v>102</v>
      </c>
      <c r="B104" s="616"/>
      <c r="C104" s="616"/>
      <c r="D104" s="579">
        <v>0</v>
      </c>
      <c r="E104" s="579"/>
      <c r="F104" s="191"/>
      <c r="G104" s="191"/>
      <c r="H104" s="195"/>
    </row>
    <row r="105" spans="1:8" ht="18.75">
      <c r="A105" s="617" t="s">
        <v>103</v>
      </c>
      <c r="B105" s="617"/>
      <c r="C105" s="617"/>
      <c r="D105" s="618">
        <f>SUM(D106:E109)</f>
        <v>0</v>
      </c>
      <c r="E105" s="618"/>
      <c r="F105" s="196"/>
      <c r="G105" s="191"/>
      <c r="H105" s="195"/>
    </row>
    <row r="106" spans="1:8" ht="18.75">
      <c r="A106" s="612" t="s">
        <v>104</v>
      </c>
      <c r="B106" s="612"/>
      <c r="C106" s="612"/>
      <c r="D106" s="613">
        <v>0</v>
      </c>
      <c r="E106" s="613"/>
      <c r="F106" s="196"/>
      <c r="G106" s="185"/>
      <c r="H106" s="185"/>
    </row>
    <row r="107" spans="1:8" ht="18.75">
      <c r="A107" s="612" t="s">
        <v>105</v>
      </c>
      <c r="B107" s="612"/>
      <c r="C107" s="612"/>
      <c r="D107" s="613">
        <v>0</v>
      </c>
      <c r="E107" s="613"/>
      <c r="F107" s="185"/>
      <c r="G107" s="185"/>
      <c r="H107" s="185"/>
    </row>
    <row r="108" spans="1:8" ht="18.75">
      <c r="A108" s="612" t="s">
        <v>106</v>
      </c>
      <c r="B108" s="612"/>
      <c r="C108" s="612"/>
      <c r="D108" s="613">
        <v>0</v>
      </c>
      <c r="E108" s="613"/>
      <c r="F108" s="185"/>
      <c r="G108" s="185"/>
      <c r="H108" s="185"/>
    </row>
    <row r="109" spans="1:8" ht="18.75">
      <c r="A109" s="612" t="s">
        <v>107</v>
      </c>
      <c r="B109" s="612"/>
      <c r="C109" s="612"/>
      <c r="D109" s="613">
        <v>0</v>
      </c>
      <c r="E109" s="613"/>
      <c r="F109" s="185"/>
      <c r="G109" s="185"/>
      <c r="H109" s="185"/>
    </row>
    <row r="110" spans="1:8" ht="18.75">
      <c r="A110" s="614" t="s">
        <v>108</v>
      </c>
      <c r="B110" s="614"/>
      <c r="C110" s="614"/>
      <c r="D110" s="615">
        <f>D12</f>
        <v>0</v>
      </c>
      <c r="E110" s="615"/>
      <c r="F110" s="196"/>
      <c r="G110" s="206"/>
      <c r="H110" s="185"/>
    </row>
    <row r="111" spans="1:8" ht="18.75">
      <c r="A111" s="607" t="s">
        <v>109</v>
      </c>
      <c r="B111" s="607"/>
      <c r="C111" s="607"/>
      <c r="D111" s="608">
        <v>0</v>
      </c>
      <c r="E111" s="608"/>
      <c r="F111" s="196"/>
      <c r="G111" s="191"/>
      <c r="H111" s="195"/>
    </row>
    <row r="112" spans="1:8" ht="18.75">
      <c r="A112" s="602" t="s">
        <v>110</v>
      </c>
      <c r="B112" s="602"/>
      <c r="C112" s="602"/>
      <c r="D112" s="582">
        <f>D23+D34+D42+D56+D75+D81+D98+D105+D110+D111</f>
        <v>1121036.7833423999</v>
      </c>
      <c r="E112" s="582"/>
      <c r="F112" s="196"/>
      <c r="G112" s="191"/>
      <c r="H112" s="195"/>
    </row>
    <row r="113" spans="1:8" ht="18.75">
      <c r="A113" s="609" t="s">
        <v>111</v>
      </c>
      <c r="B113" s="609"/>
      <c r="C113" s="609"/>
      <c r="D113" s="610">
        <f>D20-D112</f>
        <v>-59691.49334239983</v>
      </c>
      <c r="E113" s="610"/>
      <c r="F113" s="196"/>
      <c r="G113" s="191"/>
      <c r="H113" s="195"/>
    </row>
    <row r="114" spans="1:8" ht="18.75">
      <c r="A114" s="611" t="s">
        <v>112</v>
      </c>
      <c r="B114" s="611"/>
      <c r="C114" s="611"/>
      <c r="D114" s="579">
        <v>0</v>
      </c>
      <c r="E114" s="579"/>
      <c r="F114" s="191"/>
      <c r="G114" s="191"/>
      <c r="H114" s="191"/>
    </row>
    <row r="115" spans="1:8" ht="18.75">
      <c r="A115" s="611" t="s">
        <v>113</v>
      </c>
      <c r="B115" s="611"/>
      <c r="C115" s="611"/>
      <c r="D115" s="579">
        <v>0</v>
      </c>
      <c r="E115" s="579"/>
      <c r="F115" s="185"/>
      <c r="G115" s="185"/>
      <c r="H115" s="185"/>
    </row>
    <row r="116" spans="1:8" ht="18.75">
      <c r="A116" s="602" t="s">
        <v>114</v>
      </c>
      <c r="B116" s="602"/>
      <c r="C116" s="602"/>
      <c r="D116" s="603">
        <v>1.1000000000000001</v>
      </c>
      <c r="E116" s="603"/>
      <c r="F116" s="185"/>
      <c r="G116" s="185"/>
      <c r="H116" s="185"/>
    </row>
    <row r="117" spans="1:8" ht="15.75">
      <c r="A117" s="207"/>
      <c r="B117" s="208"/>
      <c r="C117" s="202"/>
      <c r="D117" s="604"/>
      <c r="E117" s="604"/>
      <c r="F117" s="209"/>
      <c r="G117" s="209"/>
      <c r="H117" s="209"/>
    </row>
    <row r="118" spans="1:8" ht="33.75" customHeight="1">
      <c r="A118" s="566" t="s">
        <v>67</v>
      </c>
      <c r="B118" s="566"/>
      <c r="C118" s="203" t="s">
        <v>68</v>
      </c>
      <c r="D118" s="567" t="s">
        <v>67</v>
      </c>
      <c r="E118" s="567"/>
      <c r="F118" s="209"/>
      <c r="G118" s="209"/>
      <c r="H118" s="209"/>
    </row>
    <row r="119" spans="1:8" ht="32.25" customHeight="1">
      <c r="A119" s="568" t="s">
        <v>69</v>
      </c>
      <c r="B119" s="568"/>
      <c r="C119" s="205" t="s">
        <v>70</v>
      </c>
      <c r="D119" s="569" t="s">
        <v>71</v>
      </c>
      <c r="E119" s="570"/>
      <c r="F119" s="209"/>
      <c r="G119" s="209"/>
      <c r="H119" s="209"/>
    </row>
    <row r="120" spans="1:8" ht="15.75">
      <c r="A120" s="571"/>
      <c r="B120" s="605" t="s">
        <v>0</v>
      </c>
      <c r="C120" s="605"/>
      <c r="D120" s="606" t="s">
        <v>1</v>
      </c>
      <c r="E120" s="606"/>
      <c r="F120" s="209"/>
      <c r="G120" s="209"/>
      <c r="H120" s="209"/>
    </row>
    <row r="121" spans="1:8" ht="15.75" customHeight="1">
      <c r="A121" s="572"/>
      <c r="B121" s="591" t="s">
        <v>2</v>
      </c>
      <c r="C121" s="592"/>
      <c r="D121" s="574" t="s">
        <v>3</v>
      </c>
      <c r="E121" s="574" t="s">
        <v>4</v>
      </c>
      <c r="F121" s="209"/>
      <c r="G121" s="209"/>
      <c r="H121" s="209"/>
    </row>
    <row r="122" spans="1:8" ht="15.75">
      <c r="A122" s="572"/>
      <c r="B122" s="593" t="s">
        <v>5</v>
      </c>
      <c r="C122" s="593"/>
      <c r="D122" s="574"/>
      <c r="E122" s="574"/>
      <c r="F122" s="209"/>
      <c r="G122" s="209"/>
      <c r="H122" s="209"/>
    </row>
    <row r="123" spans="1:8" ht="15.75" customHeight="1">
      <c r="A123" s="572"/>
      <c r="B123" s="594" t="s">
        <v>115</v>
      </c>
      <c r="C123" s="595"/>
      <c r="D123" s="575" t="s">
        <v>673</v>
      </c>
      <c r="E123" s="576">
        <f>E4</f>
        <v>3</v>
      </c>
      <c r="F123" s="209"/>
      <c r="G123" s="209"/>
      <c r="H123" s="209"/>
    </row>
    <row r="124" spans="1:8" ht="15.75" customHeight="1">
      <c r="A124" s="573"/>
      <c r="B124" s="596" t="s">
        <v>6</v>
      </c>
      <c r="C124" s="597"/>
      <c r="D124" s="575"/>
      <c r="E124" s="576"/>
      <c r="F124" s="209"/>
      <c r="G124" s="209"/>
      <c r="H124" s="209"/>
    </row>
    <row r="125" spans="1:8" ht="15.75">
      <c r="A125" s="598" t="s">
        <v>7</v>
      </c>
      <c r="B125" s="598"/>
      <c r="C125" s="574" t="s">
        <v>8</v>
      </c>
      <c r="D125" s="574"/>
      <c r="E125" s="574"/>
      <c r="F125" s="209"/>
      <c r="G125" s="209"/>
      <c r="H125" s="209"/>
    </row>
    <row r="126" spans="1:8" ht="36.75" customHeight="1">
      <c r="A126" s="599" t="s">
        <v>459</v>
      </c>
      <c r="B126" s="600"/>
      <c r="C126" s="601" t="s">
        <v>463</v>
      </c>
      <c r="D126" s="601"/>
      <c r="E126" s="601"/>
      <c r="F126" s="209"/>
      <c r="G126" s="209"/>
      <c r="H126" s="209"/>
    </row>
    <row r="127" spans="1:8" ht="21">
      <c r="A127" s="210" t="s">
        <v>116</v>
      </c>
      <c r="B127" s="186"/>
      <c r="C127" s="186"/>
      <c r="D127" s="186"/>
      <c r="E127" s="211"/>
      <c r="F127" s="185"/>
    </row>
    <row r="128" spans="1:8" ht="15.75">
      <c r="A128" s="583" t="s">
        <v>11</v>
      </c>
      <c r="B128" s="583"/>
      <c r="C128" s="583"/>
      <c r="D128" s="577" t="s">
        <v>12</v>
      </c>
      <c r="E128" s="577"/>
      <c r="F128" s="185"/>
    </row>
    <row r="129" spans="1:6" ht="18.75">
      <c r="A129" s="590" t="s">
        <v>117</v>
      </c>
      <c r="B129" s="590"/>
      <c r="C129" s="590"/>
      <c r="D129" s="580">
        <f>'FUNDO FIXO'!C61</f>
        <v>-2.61</v>
      </c>
      <c r="E129" s="580"/>
      <c r="F129" s="212"/>
    </row>
    <row r="130" spans="1:6" ht="18.75">
      <c r="A130" s="590" t="s">
        <v>118</v>
      </c>
      <c r="B130" s="590"/>
      <c r="C130" s="590"/>
      <c r="D130" s="580">
        <f>'FUNDO FIXO'!C62</f>
        <v>1999.0400000000002</v>
      </c>
      <c r="E130" s="580"/>
      <c r="F130" s="185"/>
    </row>
    <row r="131" spans="1:6" ht="18.75">
      <c r="A131" s="590" t="s">
        <v>119</v>
      </c>
      <c r="B131" s="590"/>
      <c r="C131" s="590"/>
      <c r="D131" s="580">
        <f>'FUNDO FIXO'!C63</f>
        <v>2000</v>
      </c>
      <c r="E131" s="580"/>
      <c r="F131" s="185"/>
    </row>
    <row r="132" spans="1:6" ht="18.75">
      <c r="A132" s="581" t="s">
        <v>120</v>
      </c>
      <c r="B132" s="581"/>
      <c r="C132" s="581"/>
      <c r="D132" s="582">
        <f>D129-D130+D131</f>
        <v>-1.6500000000000909</v>
      </c>
      <c r="E132" s="582"/>
      <c r="F132" s="196"/>
    </row>
    <row r="133" spans="1:6" ht="15.75">
      <c r="A133" s="213"/>
      <c r="B133" s="214"/>
      <c r="C133" s="214"/>
      <c r="D133" s="215"/>
      <c r="E133" s="216"/>
      <c r="F133" s="196"/>
    </row>
    <row r="134" spans="1:6" ht="21">
      <c r="A134" s="217" t="s">
        <v>121</v>
      </c>
      <c r="B134" s="214"/>
      <c r="C134" s="214"/>
      <c r="D134" s="215"/>
      <c r="E134" s="216"/>
      <c r="F134" s="185"/>
    </row>
    <row r="135" spans="1:6" ht="15.75">
      <c r="A135" s="583" t="s">
        <v>11</v>
      </c>
      <c r="B135" s="583"/>
      <c r="C135" s="583"/>
      <c r="D135" s="577" t="s">
        <v>12</v>
      </c>
      <c r="E135" s="577"/>
      <c r="F135" s="185"/>
    </row>
    <row r="136" spans="1:6" ht="18.75">
      <c r="A136" s="590" t="s">
        <v>117</v>
      </c>
      <c r="B136" s="590"/>
      <c r="C136" s="590"/>
      <c r="D136" s="580">
        <f>'1 CONTA CORRENTE (D E C)'!D13+'2 CONTA CORRENTE (D E C)'!D13</f>
        <v>0</v>
      </c>
      <c r="E136" s="580"/>
      <c r="F136" s="212"/>
    </row>
    <row r="137" spans="1:6" ht="18.75">
      <c r="A137" s="590" t="s">
        <v>118</v>
      </c>
      <c r="B137" s="590"/>
      <c r="C137" s="590"/>
      <c r="D137" s="580">
        <f>'1 CONTA CORRENTE (D E C)'!C249+'2 CONTA CORRENTE (D E C)'!C249</f>
        <v>1244950.2000000007</v>
      </c>
      <c r="E137" s="580"/>
      <c r="F137" s="185"/>
    </row>
    <row r="138" spans="1:6" ht="18.75">
      <c r="A138" s="590" t="s">
        <v>119</v>
      </c>
      <c r="B138" s="590"/>
      <c r="C138" s="590"/>
      <c r="D138" s="580">
        <f>'1 CONTA CORRENTE (D E C)'!D249+'2 CONTA CORRENTE (D E C)'!D249</f>
        <v>1244950.2</v>
      </c>
      <c r="E138" s="580"/>
      <c r="F138" s="185"/>
    </row>
    <row r="139" spans="1:6" ht="18.75">
      <c r="A139" s="581" t="s">
        <v>120</v>
      </c>
      <c r="B139" s="581"/>
      <c r="C139" s="581"/>
      <c r="D139" s="582">
        <f>D136-D137+D138</f>
        <v>0</v>
      </c>
      <c r="E139" s="582"/>
      <c r="F139" s="196"/>
    </row>
    <row r="140" spans="1:6" ht="15.75">
      <c r="A140" s="213"/>
      <c r="B140" s="214"/>
      <c r="C140" s="214"/>
      <c r="D140" s="215"/>
      <c r="E140" s="216"/>
      <c r="F140" s="196"/>
    </row>
    <row r="141" spans="1:6" ht="21">
      <c r="A141" s="217" t="s">
        <v>122</v>
      </c>
      <c r="B141" s="214"/>
      <c r="C141" s="214"/>
      <c r="D141" s="215"/>
      <c r="E141" s="216"/>
      <c r="F141" s="185"/>
    </row>
    <row r="142" spans="1:6" ht="15.75">
      <c r="A142" s="583" t="s">
        <v>11</v>
      </c>
      <c r="B142" s="583"/>
      <c r="C142" s="583"/>
      <c r="D142" s="577" t="s">
        <v>12</v>
      </c>
      <c r="E142" s="577"/>
      <c r="F142" s="185"/>
    </row>
    <row r="143" spans="1:6" ht="18.75">
      <c r="A143" s="590" t="s">
        <v>123</v>
      </c>
      <c r="B143" s="590"/>
      <c r="C143" s="590"/>
      <c r="D143" s="580">
        <f>'SALDO DE ESTOQUE'!C20</f>
        <v>3353.6599999999971</v>
      </c>
      <c r="E143" s="580"/>
      <c r="F143" s="196"/>
    </row>
    <row r="144" spans="1:6" ht="18.75">
      <c r="A144" s="590" t="s">
        <v>124</v>
      </c>
      <c r="B144" s="590"/>
      <c r="C144" s="590"/>
      <c r="D144" s="580">
        <f>'SALDO DE ESTOQUE'!C36</f>
        <v>36692.239999999998</v>
      </c>
      <c r="E144" s="580"/>
      <c r="F144" s="196"/>
    </row>
    <row r="145" spans="1:8" ht="18.75">
      <c r="A145" s="581" t="s">
        <v>125</v>
      </c>
      <c r="B145" s="581"/>
      <c r="C145" s="581"/>
      <c r="D145" s="582">
        <f>SUM(D143:E144)</f>
        <v>40045.899999999994</v>
      </c>
      <c r="E145" s="582"/>
      <c r="F145" s="196"/>
    </row>
    <row r="146" spans="1:8" ht="18.75">
      <c r="A146" s="218"/>
      <c r="B146" s="219"/>
      <c r="C146" s="219"/>
      <c r="D146" s="220"/>
      <c r="E146" s="221"/>
      <c r="F146" s="196"/>
    </row>
    <row r="147" spans="1:8" ht="21">
      <c r="A147" s="217" t="s">
        <v>126</v>
      </c>
      <c r="B147" s="214"/>
      <c r="C147" s="214"/>
      <c r="D147" s="215"/>
      <c r="E147" s="216"/>
      <c r="F147" s="185"/>
    </row>
    <row r="148" spans="1:8" ht="15.75">
      <c r="A148" s="583" t="s">
        <v>11</v>
      </c>
      <c r="B148" s="583"/>
      <c r="C148" s="583"/>
      <c r="D148" s="577" t="s">
        <v>12</v>
      </c>
      <c r="E148" s="577"/>
      <c r="F148" s="185"/>
    </row>
    <row r="149" spans="1:8" ht="18.75">
      <c r="A149" s="590" t="s">
        <v>117</v>
      </c>
      <c r="B149" s="590"/>
      <c r="C149" s="590"/>
      <c r="D149" s="580">
        <f>'APLICAÇÃO FINANCEIRA'!B24</f>
        <v>2477.6</v>
      </c>
      <c r="E149" s="580"/>
      <c r="F149" s="212"/>
    </row>
    <row r="150" spans="1:8" ht="18.75">
      <c r="A150" s="590" t="s">
        <v>127</v>
      </c>
      <c r="B150" s="590"/>
      <c r="C150" s="590"/>
      <c r="D150" s="580">
        <f>'APLICAÇÃO FINANCEIRA'!C24</f>
        <v>180501.27</v>
      </c>
      <c r="E150" s="580"/>
      <c r="F150" s="185"/>
    </row>
    <row r="151" spans="1:8" ht="18.75">
      <c r="A151" s="590" t="s">
        <v>128</v>
      </c>
      <c r="B151" s="590"/>
      <c r="C151" s="590"/>
      <c r="D151" s="580">
        <f>'APLICAÇÃO FINANCEIRA'!D24</f>
        <v>180149.25</v>
      </c>
      <c r="E151" s="580"/>
      <c r="F151" s="185"/>
    </row>
    <row r="152" spans="1:8" ht="18.75">
      <c r="A152" s="590" t="s">
        <v>129</v>
      </c>
      <c r="B152" s="590"/>
      <c r="C152" s="590"/>
      <c r="D152" s="580">
        <f>'APLICAÇÃO FINANCEIRA'!E24</f>
        <v>58.019999999999996</v>
      </c>
      <c r="E152" s="580"/>
      <c r="F152" s="185"/>
    </row>
    <row r="153" spans="1:8" ht="18.75">
      <c r="A153" s="590" t="s">
        <v>130</v>
      </c>
      <c r="B153" s="590"/>
      <c r="C153" s="590"/>
      <c r="D153" s="580">
        <f>'APLICAÇÃO FINANCEIRA'!F24</f>
        <v>37.81</v>
      </c>
      <c r="E153" s="580"/>
      <c r="F153" s="185"/>
    </row>
    <row r="154" spans="1:8" ht="18.75">
      <c r="A154" s="581" t="s">
        <v>131</v>
      </c>
      <c r="B154" s="581"/>
      <c r="C154" s="581"/>
      <c r="D154" s="582">
        <f>D149-D150+D151+D152-D153</f>
        <v>2145.7900000000163</v>
      </c>
      <c r="E154" s="582"/>
      <c r="F154" s="196"/>
    </row>
    <row r="155" spans="1:8" ht="15.75">
      <c r="A155" s="222"/>
      <c r="B155" s="214"/>
      <c r="C155" s="214"/>
      <c r="D155" s="215"/>
      <c r="E155" s="216"/>
      <c r="F155" s="196"/>
    </row>
    <row r="156" spans="1:8" ht="18.75">
      <c r="A156" s="583" t="s">
        <v>132</v>
      </c>
      <c r="B156" s="583"/>
      <c r="C156" s="583"/>
      <c r="D156" s="582">
        <f>D154+D139+D132+D145</f>
        <v>42190.040000000008</v>
      </c>
      <c r="E156" s="582"/>
      <c r="F156" s="196"/>
    </row>
    <row r="157" spans="1:8" ht="15.75">
      <c r="A157" s="589"/>
      <c r="B157" s="589"/>
      <c r="C157" s="589"/>
      <c r="D157" s="215"/>
      <c r="E157" s="216"/>
      <c r="F157" s="196"/>
      <c r="G157" s="185"/>
      <c r="H157" s="185"/>
    </row>
    <row r="158" spans="1:8" ht="21">
      <c r="A158" s="223" t="s">
        <v>133</v>
      </c>
      <c r="B158" s="214"/>
      <c r="C158" s="214"/>
      <c r="D158" s="215"/>
      <c r="E158" s="224"/>
      <c r="F158" s="185"/>
      <c r="G158" s="185"/>
      <c r="H158" s="185"/>
    </row>
    <row r="159" spans="1:8" ht="15.75">
      <c r="A159" s="586" t="s">
        <v>11</v>
      </c>
      <c r="B159" s="586"/>
      <c r="C159" s="586"/>
      <c r="D159" s="585" t="s">
        <v>12</v>
      </c>
      <c r="E159" s="585"/>
      <c r="F159" s="185"/>
      <c r="G159" s="185"/>
      <c r="H159" s="185"/>
    </row>
    <row r="160" spans="1:8" ht="18.75">
      <c r="A160" s="587" t="s">
        <v>134</v>
      </c>
      <c r="B160" s="587"/>
      <c r="C160" s="587"/>
      <c r="D160" s="588">
        <v>120858.95</v>
      </c>
      <c r="E160" s="588"/>
      <c r="F160" s="185"/>
      <c r="G160" s="185"/>
      <c r="H160" s="185"/>
    </row>
    <row r="161" spans="1:8" ht="18.75">
      <c r="A161" s="587" t="s">
        <v>135</v>
      </c>
      <c r="B161" s="587"/>
      <c r="C161" s="587"/>
      <c r="D161" s="588">
        <v>1247948.4099999999</v>
      </c>
      <c r="E161" s="588"/>
      <c r="F161" s="185"/>
      <c r="G161" s="185"/>
      <c r="H161" s="185"/>
    </row>
    <row r="162" spans="1:8" ht="18.75">
      <c r="A162" s="587" t="s">
        <v>136</v>
      </c>
      <c r="B162" s="587"/>
      <c r="C162" s="587"/>
      <c r="D162" s="588">
        <v>662848.44999999995</v>
      </c>
      <c r="E162" s="588"/>
      <c r="F162" s="185"/>
      <c r="G162" s="185"/>
      <c r="H162" s="185"/>
    </row>
    <row r="163" spans="1:8" ht="18.75">
      <c r="A163" s="587" t="s">
        <v>137</v>
      </c>
      <c r="B163" s="587"/>
      <c r="C163" s="587"/>
      <c r="D163" s="588">
        <v>2388.9</v>
      </c>
      <c r="E163" s="588"/>
      <c r="F163" s="225"/>
      <c r="G163" s="185"/>
      <c r="H163" s="185"/>
    </row>
    <row r="164" spans="1:8" ht="18.75">
      <c r="A164" s="583" t="s">
        <v>138</v>
      </c>
      <c r="B164" s="583"/>
      <c r="C164" s="583"/>
      <c r="D164" s="582">
        <f>SUM(D160:E163)</f>
        <v>2034044.7099999997</v>
      </c>
      <c r="E164" s="582"/>
      <c r="F164" s="196"/>
      <c r="G164" s="185"/>
      <c r="H164" s="185"/>
    </row>
    <row r="165" spans="1:8" ht="15.75">
      <c r="A165" s="213"/>
      <c r="B165" s="214"/>
      <c r="C165" s="214"/>
      <c r="D165" s="215"/>
      <c r="E165" s="216"/>
      <c r="F165" s="196"/>
      <c r="G165" s="185"/>
      <c r="H165" s="224"/>
    </row>
    <row r="166" spans="1:8" ht="21">
      <c r="A166" s="223" t="s">
        <v>139</v>
      </c>
      <c r="B166" s="214"/>
      <c r="C166" s="214"/>
      <c r="D166" s="215"/>
      <c r="E166" s="224"/>
      <c r="F166" s="185"/>
      <c r="G166" s="185"/>
      <c r="H166" s="185"/>
    </row>
    <row r="167" spans="1:8" ht="15.75">
      <c r="A167" s="586" t="s">
        <v>11</v>
      </c>
      <c r="B167" s="586"/>
      <c r="C167" s="586"/>
      <c r="D167" s="585" t="s">
        <v>12</v>
      </c>
      <c r="E167" s="585"/>
      <c r="F167" s="185"/>
      <c r="G167" s="185"/>
      <c r="H167" s="185"/>
    </row>
    <row r="168" spans="1:8" ht="18.75">
      <c r="A168" s="578" t="s">
        <v>117</v>
      </c>
      <c r="B168" s="578"/>
      <c r="C168" s="578"/>
      <c r="D168" s="579">
        <v>486292.63</v>
      </c>
      <c r="E168" s="579"/>
      <c r="F168" s="212"/>
      <c r="G168" s="185"/>
      <c r="H168" s="185"/>
    </row>
    <row r="169" spans="1:8" ht="18.75">
      <c r="A169" s="578" t="s">
        <v>140</v>
      </c>
      <c r="B169" s="578"/>
      <c r="C169" s="578"/>
      <c r="D169" s="580">
        <f>D33</f>
        <v>76856.587742400006</v>
      </c>
      <c r="E169" s="580"/>
      <c r="F169" s="196"/>
      <c r="G169" s="185"/>
      <c r="H169" s="185"/>
    </row>
    <row r="170" spans="1:8" ht="18.75">
      <c r="A170" s="578" t="s">
        <v>141</v>
      </c>
      <c r="B170" s="578"/>
      <c r="C170" s="578"/>
      <c r="D170" s="580">
        <f>'CÁLCULO FOLHA DE PAGAMENTO'!H14</f>
        <v>21243.535200000002</v>
      </c>
      <c r="E170" s="580"/>
      <c r="F170" s="196"/>
      <c r="G170" s="185"/>
      <c r="H170" s="185"/>
    </row>
    <row r="171" spans="1:8" ht="18.75">
      <c r="A171" s="578" t="s">
        <v>142</v>
      </c>
      <c r="B171" s="578"/>
      <c r="C171" s="578"/>
      <c r="D171" s="580">
        <f>'CÁLCULO FOLHA DE PAGAMENTO'!H16</f>
        <v>0</v>
      </c>
      <c r="E171" s="580"/>
      <c r="F171" s="196"/>
      <c r="G171" s="185"/>
      <c r="H171" s="185"/>
    </row>
    <row r="172" spans="1:8" ht="18.75">
      <c r="A172" s="578" t="s">
        <v>143</v>
      </c>
      <c r="B172" s="578"/>
      <c r="C172" s="578"/>
      <c r="D172" s="580">
        <f>'CÁLCULO FOLHA DE PAGAMENTO'!H18</f>
        <v>7944.6620000000003</v>
      </c>
      <c r="E172" s="580"/>
      <c r="F172" s="196"/>
      <c r="G172" s="185"/>
      <c r="H172" s="185"/>
    </row>
    <row r="173" spans="1:8" ht="18.75">
      <c r="A173" s="581" t="s">
        <v>144</v>
      </c>
      <c r="B173" s="581"/>
      <c r="C173" s="581"/>
      <c r="D173" s="582">
        <f>D168+D169-D170-D171-D172</f>
        <v>533961.02054239996</v>
      </c>
      <c r="E173" s="582"/>
      <c r="F173" s="196"/>
      <c r="G173" s="185"/>
      <c r="H173" s="185"/>
    </row>
    <row r="174" spans="1:8" ht="15.75">
      <c r="A174" s="213"/>
      <c r="B174" s="214"/>
      <c r="C174" s="214"/>
      <c r="D174" s="226"/>
      <c r="E174" s="227"/>
      <c r="F174" s="196"/>
      <c r="G174" s="185"/>
      <c r="H174" s="185"/>
    </row>
    <row r="175" spans="1:8" ht="21">
      <c r="A175" s="584" t="s">
        <v>145</v>
      </c>
      <c r="B175" s="584"/>
      <c r="C175" s="584"/>
      <c r="D175" s="215"/>
      <c r="E175" s="224"/>
      <c r="F175" s="185"/>
      <c r="G175" s="185"/>
      <c r="H175" s="185"/>
    </row>
    <row r="176" spans="1:8" ht="15.75">
      <c r="A176" s="586" t="s">
        <v>11</v>
      </c>
      <c r="B176" s="586"/>
      <c r="C176" s="586"/>
      <c r="D176" s="585" t="s">
        <v>12</v>
      </c>
      <c r="E176" s="585"/>
      <c r="F176" s="185"/>
      <c r="G176" s="185"/>
      <c r="H176" s="185"/>
    </row>
    <row r="177" spans="1:8" ht="18.75">
      <c r="A177" s="578" t="s">
        <v>146</v>
      </c>
      <c r="B177" s="578"/>
      <c r="C177" s="578"/>
      <c r="D177" s="579">
        <v>0</v>
      </c>
      <c r="E177" s="579"/>
      <c r="F177" s="185"/>
      <c r="G177" s="185"/>
      <c r="H177" s="185"/>
    </row>
    <row r="178" spans="1:8" ht="18.75">
      <c r="A178" s="578" t="s">
        <v>147</v>
      </c>
      <c r="B178" s="578"/>
      <c r="C178" s="578"/>
      <c r="D178" s="579">
        <v>0</v>
      </c>
      <c r="E178" s="579"/>
      <c r="F178" s="185"/>
      <c r="G178" s="185"/>
      <c r="H178" s="185"/>
    </row>
    <row r="179" spans="1:8" ht="18.75">
      <c r="A179" s="578" t="s">
        <v>148</v>
      </c>
      <c r="B179" s="578"/>
      <c r="C179" s="578"/>
      <c r="D179" s="579">
        <v>0</v>
      </c>
      <c r="E179" s="579"/>
      <c r="F179" s="185"/>
      <c r="G179" s="185"/>
      <c r="H179" s="185"/>
    </row>
    <row r="180" spans="1:8" ht="18.75">
      <c r="A180" s="578" t="s">
        <v>149</v>
      </c>
      <c r="B180" s="578"/>
      <c r="C180" s="578"/>
      <c r="D180" s="579">
        <v>0</v>
      </c>
      <c r="E180" s="579"/>
      <c r="F180" s="185"/>
      <c r="G180" s="185"/>
      <c r="H180" s="185"/>
    </row>
    <row r="181" spans="1:8" ht="18.75">
      <c r="A181" s="578" t="s">
        <v>150</v>
      </c>
      <c r="B181" s="578"/>
      <c r="C181" s="578"/>
      <c r="D181" s="579">
        <v>0</v>
      </c>
      <c r="E181" s="579"/>
      <c r="F181" s="185"/>
      <c r="G181" s="185"/>
      <c r="H181" s="185"/>
    </row>
    <row r="182" spans="1:8" ht="18.75">
      <c r="A182" s="583" t="s">
        <v>138</v>
      </c>
      <c r="B182" s="583"/>
      <c r="C182" s="583"/>
      <c r="D182" s="582">
        <f>SUM(D177:E181)</f>
        <v>0</v>
      </c>
      <c r="E182" s="582"/>
      <c r="F182" s="196"/>
      <c r="G182" s="185"/>
      <c r="H182" s="228"/>
    </row>
    <row r="183" spans="1:8" ht="18.75">
      <c r="A183" s="229"/>
      <c r="B183" s="229"/>
      <c r="C183" s="229"/>
      <c r="D183" s="230"/>
      <c r="E183" s="230"/>
      <c r="F183" s="196"/>
      <c r="G183" s="185"/>
      <c r="H183" s="185"/>
    </row>
    <row r="184" spans="1:8" ht="21">
      <c r="A184" s="584" t="s">
        <v>151</v>
      </c>
      <c r="B184" s="584"/>
      <c r="C184" s="584"/>
      <c r="D184" s="584"/>
      <c r="E184" s="584"/>
      <c r="F184" s="185"/>
      <c r="G184" s="185"/>
      <c r="H184" s="185"/>
    </row>
    <row r="185" spans="1:8" ht="15.75">
      <c r="A185" s="583" t="s">
        <v>11</v>
      </c>
      <c r="B185" s="583"/>
      <c r="C185" s="583"/>
      <c r="D185" s="585" t="s">
        <v>12</v>
      </c>
      <c r="E185" s="585"/>
      <c r="F185" s="185"/>
      <c r="G185" s="185"/>
      <c r="H185" s="185"/>
    </row>
    <row r="186" spans="1:8" ht="18.75">
      <c r="A186" s="578" t="s">
        <v>117</v>
      </c>
      <c r="B186" s="578"/>
      <c r="C186" s="578"/>
      <c r="D186" s="579">
        <v>0</v>
      </c>
      <c r="E186" s="579"/>
      <c r="F186" s="212"/>
      <c r="G186" s="185"/>
      <c r="H186" s="185"/>
    </row>
    <row r="187" spans="1:8" ht="18.75">
      <c r="A187" s="578" t="s">
        <v>152</v>
      </c>
      <c r="B187" s="578"/>
      <c r="C187" s="578"/>
      <c r="D187" s="579">
        <v>0</v>
      </c>
      <c r="E187" s="579"/>
      <c r="F187" s="185"/>
      <c r="G187" s="185"/>
      <c r="H187" s="185"/>
    </row>
    <row r="188" spans="1:8" ht="18.75">
      <c r="A188" s="578" t="s">
        <v>153</v>
      </c>
      <c r="B188" s="578"/>
      <c r="C188" s="578"/>
      <c r="D188" s="580">
        <f>D182</f>
        <v>0</v>
      </c>
      <c r="E188" s="580"/>
      <c r="F188" s="196"/>
      <c r="G188" s="185"/>
      <c r="H188" s="185"/>
    </row>
    <row r="189" spans="1:8" ht="18.75">
      <c r="A189" s="581" t="s">
        <v>154</v>
      </c>
      <c r="B189" s="581"/>
      <c r="C189" s="581"/>
      <c r="D189" s="582">
        <f>D186+D187-D188</f>
        <v>0</v>
      </c>
      <c r="E189" s="582"/>
      <c r="F189" s="196"/>
      <c r="G189" s="185"/>
      <c r="H189" s="185"/>
    </row>
    <row r="190" spans="1:8" ht="15.75">
      <c r="A190" s="231"/>
      <c r="B190" s="231"/>
      <c r="C190" s="232"/>
      <c r="D190" s="567"/>
      <c r="E190" s="567"/>
      <c r="F190" s="185"/>
      <c r="G190" s="185"/>
      <c r="H190" s="228"/>
    </row>
    <row r="191" spans="1:8" ht="15.75">
      <c r="A191" s="566" t="s">
        <v>67</v>
      </c>
      <c r="B191" s="566"/>
      <c r="C191" s="203" t="s">
        <v>68</v>
      </c>
      <c r="D191" s="567" t="s">
        <v>67</v>
      </c>
      <c r="E191" s="567"/>
      <c r="F191" s="185"/>
      <c r="G191" s="185"/>
      <c r="H191" s="228"/>
    </row>
    <row r="192" spans="1:8" ht="36.75" customHeight="1">
      <c r="A192" s="568" t="s">
        <v>69</v>
      </c>
      <c r="B192" s="568"/>
      <c r="C192" s="205" t="s">
        <v>70</v>
      </c>
      <c r="D192" s="569" t="s">
        <v>71</v>
      </c>
      <c r="E192" s="570"/>
      <c r="F192" s="185"/>
      <c r="G192" s="185"/>
      <c r="H192" s="228"/>
    </row>
  </sheetData>
  <sheetProtection password="B090" sheet="1" objects="1"/>
  <mergeCells count="351">
    <mergeCell ref="B1:C1"/>
    <mergeCell ref="D1:E1"/>
    <mergeCell ref="B2:C2"/>
    <mergeCell ref="B3:C3"/>
    <mergeCell ref="G4:H4"/>
    <mergeCell ref="B5:C5"/>
    <mergeCell ref="G5:H5"/>
    <mergeCell ref="A6:B6"/>
    <mergeCell ref="A7:B7"/>
    <mergeCell ref="A8:C8"/>
    <mergeCell ref="A9:C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A50:C50"/>
    <mergeCell ref="D50:E50"/>
    <mergeCell ref="A51:C51"/>
    <mergeCell ref="D51:E51"/>
    <mergeCell ref="A52:C52"/>
    <mergeCell ref="D52:E52"/>
    <mergeCell ref="A53:C53"/>
    <mergeCell ref="D53:E53"/>
    <mergeCell ref="A54:C54"/>
    <mergeCell ref="D54:E54"/>
    <mergeCell ref="A55:C55"/>
    <mergeCell ref="D55:E55"/>
    <mergeCell ref="A56:C56"/>
    <mergeCell ref="D56:E56"/>
    <mergeCell ref="A57:C57"/>
    <mergeCell ref="D57:E57"/>
    <mergeCell ref="A58:C58"/>
    <mergeCell ref="D58:E58"/>
    <mergeCell ref="A59:C59"/>
    <mergeCell ref="D59:E59"/>
    <mergeCell ref="A60:C60"/>
    <mergeCell ref="D60:E60"/>
    <mergeCell ref="A61:C61"/>
    <mergeCell ref="D61:E61"/>
    <mergeCell ref="A62:C62"/>
    <mergeCell ref="D62:E62"/>
    <mergeCell ref="A63:C63"/>
    <mergeCell ref="D63:E63"/>
    <mergeCell ref="D64:E64"/>
    <mergeCell ref="A65:B65"/>
    <mergeCell ref="D65:E65"/>
    <mergeCell ref="A66:B66"/>
    <mergeCell ref="D66:E66"/>
    <mergeCell ref="B67:C67"/>
    <mergeCell ref="D67:E67"/>
    <mergeCell ref="B68:C68"/>
    <mergeCell ref="B69:C69"/>
    <mergeCell ref="B71:C71"/>
    <mergeCell ref="A72:B72"/>
    <mergeCell ref="C72:E72"/>
    <mergeCell ref="A73:B73"/>
    <mergeCell ref="C73:E73"/>
    <mergeCell ref="A74:C74"/>
    <mergeCell ref="D74:E74"/>
    <mergeCell ref="A75:C75"/>
    <mergeCell ref="D75:E75"/>
    <mergeCell ref="A76:C76"/>
    <mergeCell ref="D76:E76"/>
    <mergeCell ref="A77:C77"/>
    <mergeCell ref="D77:E77"/>
    <mergeCell ref="A78:C78"/>
    <mergeCell ref="D78:E78"/>
    <mergeCell ref="A79:C79"/>
    <mergeCell ref="D79:E79"/>
    <mergeCell ref="A80:C80"/>
    <mergeCell ref="D80:E80"/>
    <mergeCell ref="A81:C81"/>
    <mergeCell ref="D81:E81"/>
    <mergeCell ref="A82:C82"/>
    <mergeCell ref="D82:E82"/>
    <mergeCell ref="A83:C83"/>
    <mergeCell ref="D83:E83"/>
    <mergeCell ref="A84:C84"/>
    <mergeCell ref="D84:E84"/>
    <mergeCell ref="A85:C85"/>
    <mergeCell ref="D85:E85"/>
    <mergeCell ref="A86:C86"/>
    <mergeCell ref="D86:E86"/>
    <mergeCell ref="A87:C87"/>
    <mergeCell ref="D87:E87"/>
    <mergeCell ref="A88:C88"/>
    <mergeCell ref="D88:E88"/>
    <mergeCell ref="A89:C89"/>
    <mergeCell ref="D89:E89"/>
    <mergeCell ref="A90:C90"/>
    <mergeCell ref="D90:E90"/>
    <mergeCell ref="A91:C91"/>
    <mergeCell ref="D91:E91"/>
    <mergeCell ref="A92:C92"/>
    <mergeCell ref="D92:E92"/>
    <mergeCell ref="A93:C93"/>
    <mergeCell ref="D93:E93"/>
    <mergeCell ref="A94:C94"/>
    <mergeCell ref="D94:E94"/>
    <mergeCell ref="A95:C95"/>
    <mergeCell ref="D95:E95"/>
    <mergeCell ref="A96:C96"/>
    <mergeCell ref="D96:E96"/>
    <mergeCell ref="A97:C97"/>
    <mergeCell ref="D97:E97"/>
    <mergeCell ref="A98:C98"/>
    <mergeCell ref="D98:E98"/>
    <mergeCell ref="A99:C99"/>
    <mergeCell ref="D99:E99"/>
    <mergeCell ref="A100:C100"/>
    <mergeCell ref="D100:E100"/>
    <mergeCell ref="A101:C101"/>
    <mergeCell ref="D101:E101"/>
    <mergeCell ref="A102:C102"/>
    <mergeCell ref="D102:E102"/>
    <mergeCell ref="A103:C103"/>
    <mergeCell ref="D103:E103"/>
    <mergeCell ref="A104:C104"/>
    <mergeCell ref="D104:E104"/>
    <mergeCell ref="A105:C105"/>
    <mergeCell ref="D105:E105"/>
    <mergeCell ref="A106:C106"/>
    <mergeCell ref="D106:E106"/>
    <mergeCell ref="A107:C107"/>
    <mergeCell ref="D107:E107"/>
    <mergeCell ref="A108:C108"/>
    <mergeCell ref="D108:E108"/>
    <mergeCell ref="A109:C109"/>
    <mergeCell ref="D109:E109"/>
    <mergeCell ref="A110:C110"/>
    <mergeCell ref="D110:E110"/>
    <mergeCell ref="A111:C111"/>
    <mergeCell ref="D111:E111"/>
    <mergeCell ref="A112:C112"/>
    <mergeCell ref="D112:E112"/>
    <mergeCell ref="A113:C113"/>
    <mergeCell ref="D113:E113"/>
    <mergeCell ref="A114:C114"/>
    <mergeCell ref="D114:E114"/>
    <mergeCell ref="A115:C115"/>
    <mergeCell ref="D115:E115"/>
    <mergeCell ref="A116:C116"/>
    <mergeCell ref="D116:E116"/>
    <mergeCell ref="D117:E117"/>
    <mergeCell ref="A118:B118"/>
    <mergeCell ref="D118:E118"/>
    <mergeCell ref="A119:B119"/>
    <mergeCell ref="D119:E119"/>
    <mergeCell ref="B120:C120"/>
    <mergeCell ref="D120:E120"/>
    <mergeCell ref="B121:C121"/>
    <mergeCell ref="B122:C122"/>
    <mergeCell ref="B123:C123"/>
    <mergeCell ref="B124:C124"/>
    <mergeCell ref="A125:B125"/>
    <mergeCell ref="C125:E125"/>
    <mergeCell ref="A126:B126"/>
    <mergeCell ref="C126:E126"/>
    <mergeCell ref="A128:C128"/>
    <mergeCell ref="D128:E128"/>
    <mergeCell ref="A129:C129"/>
    <mergeCell ref="D129:E129"/>
    <mergeCell ref="A130:C130"/>
    <mergeCell ref="D130:E130"/>
    <mergeCell ref="A131:C131"/>
    <mergeCell ref="D131:E131"/>
    <mergeCell ref="A132:C132"/>
    <mergeCell ref="D132:E132"/>
    <mergeCell ref="A135:C135"/>
    <mergeCell ref="D135:E135"/>
    <mergeCell ref="A136:C136"/>
    <mergeCell ref="D136:E136"/>
    <mergeCell ref="A137:C137"/>
    <mergeCell ref="D137:E137"/>
    <mergeCell ref="A138:C138"/>
    <mergeCell ref="D138:E138"/>
    <mergeCell ref="A139:C139"/>
    <mergeCell ref="D139:E139"/>
    <mergeCell ref="A142:C142"/>
    <mergeCell ref="D142:E142"/>
    <mergeCell ref="A143:C143"/>
    <mergeCell ref="D143:E143"/>
    <mergeCell ref="A144:C144"/>
    <mergeCell ref="D144:E144"/>
    <mergeCell ref="A145:C145"/>
    <mergeCell ref="D145:E145"/>
    <mergeCell ref="A148:C148"/>
    <mergeCell ref="D148:E148"/>
    <mergeCell ref="A149:C149"/>
    <mergeCell ref="D149:E149"/>
    <mergeCell ref="A150:C150"/>
    <mergeCell ref="D150:E150"/>
    <mergeCell ref="A151:C151"/>
    <mergeCell ref="D151:E151"/>
    <mergeCell ref="A152:C152"/>
    <mergeCell ref="D152:E152"/>
    <mergeCell ref="A153:C153"/>
    <mergeCell ref="D153:E153"/>
    <mergeCell ref="A154:C154"/>
    <mergeCell ref="D154:E154"/>
    <mergeCell ref="A156:C156"/>
    <mergeCell ref="D156:E156"/>
    <mergeCell ref="A157:C157"/>
    <mergeCell ref="A159:C159"/>
    <mergeCell ref="D159:E159"/>
    <mergeCell ref="A160:C160"/>
    <mergeCell ref="D160:E160"/>
    <mergeCell ref="A161:C161"/>
    <mergeCell ref="D161:E161"/>
    <mergeCell ref="A162:C162"/>
    <mergeCell ref="D162:E162"/>
    <mergeCell ref="A163:C163"/>
    <mergeCell ref="D163:E163"/>
    <mergeCell ref="A164:C164"/>
    <mergeCell ref="D164:E164"/>
    <mergeCell ref="A167:C167"/>
    <mergeCell ref="D167:E167"/>
    <mergeCell ref="A168:C168"/>
    <mergeCell ref="D168:E168"/>
    <mergeCell ref="A169:C169"/>
    <mergeCell ref="D169:E169"/>
    <mergeCell ref="A170:C170"/>
    <mergeCell ref="D170:E170"/>
    <mergeCell ref="A171:C171"/>
    <mergeCell ref="D171:E171"/>
    <mergeCell ref="A172:C172"/>
    <mergeCell ref="D172:E172"/>
    <mergeCell ref="A173:C173"/>
    <mergeCell ref="D173:E173"/>
    <mergeCell ref="A175:C175"/>
    <mergeCell ref="A176:C176"/>
    <mergeCell ref="D176:E176"/>
    <mergeCell ref="A177:C177"/>
    <mergeCell ref="D177:E177"/>
    <mergeCell ref="A178:C178"/>
    <mergeCell ref="D178:E178"/>
    <mergeCell ref="A179:C179"/>
    <mergeCell ref="D179:E179"/>
    <mergeCell ref="A188:C188"/>
    <mergeCell ref="D188:E188"/>
    <mergeCell ref="A189:C189"/>
    <mergeCell ref="D189:E189"/>
    <mergeCell ref="D190:E190"/>
    <mergeCell ref="A180:C180"/>
    <mergeCell ref="D180:E180"/>
    <mergeCell ref="A181:C181"/>
    <mergeCell ref="D181:E181"/>
    <mergeCell ref="A182:C182"/>
    <mergeCell ref="D182:E182"/>
    <mergeCell ref="A184:E184"/>
    <mergeCell ref="A185:C185"/>
    <mergeCell ref="D185:E185"/>
    <mergeCell ref="A191:B191"/>
    <mergeCell ref="D191:E191"/>
    <mergeCell ref="A192:B192"/>
    <mergeCell ref="D192:E192"/>
    <mergeCell ref="A1:A5"/>
    <mergeCell ref="A67:A71"/>
    <mergeCell ref="A120:A124"/>
    <mergeCell ref="D2:D3"/>
    <mergeCell ref="D4:D5"/>
    <mergeCell ref="D68:D69"/>
    <mergeCell ref="D70:D71"/>
    <mergeCell ref="D121:D122"/>
    <mergeCell ref="D123:D124"/>
    <mergeCell ref="E2:E3"/>
    <mergeCell ref="E4:E5"/>
    <mergeCell ref="E68:E69"/>
    <mergeCell ref="E70:E71"/>
    <mergeCell ref="E121:E122"/>
    <mergeCell ref="E123:E124"/>
    <mergeCell ref="D8:E9"/>
    <mergeCell ref="A186:C186"/>
    <mergeCell ref="D186:E186"/>
    <mergeCell ref="A187:C187"/>
    <mergeCell ref="D187:E187"/>
  </mergeCells>
  <pageMargins left="0.511811024" right="0.511811024" top="0.78740157499999996" bottom="0.78740157499999996" header="0.31496062000000002" footer="0.31496062000000002"/>
  <pageSetup paperSize="9" scale="55" orientation="portrait" horizontalDpi="4294967294" verticalDpi="4294967294" r:id="rId1"/>
  <rowBreaks count="2" manualBreakCount="2">
    <brk id="66" max="16383" man="1"/>
    <brk id="119" max="16383" man="1"/>
  </rowBreaks>
  <colBreaks count="1" manualBreakCount="1">
    <brk id="5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15"/>
  <sheetViews>
    <sheetView topLeftCell="B1" workbookViewId="0">
      <selection activeCell="D30" sqref="D30"/>
    </sheetView>
  </sheetViews>
  <sheetFormatPr defaultColWidth="9" defaultRowHeight="15"/>
  <cols>
    <col min="1" max="1" width="35.5703125" style="2" customWidth="1"/>
    <col min="2" max="2" width="57.42578125" style="2" customWidth="1"/>
    <col min="3" max="3" width="26" style="2" customWidth="1"/>
    <col min="4" max="4" width="19" style="2" customWidth="1"/>
    <col min="5" max="5" width="28" style="2" customWidth="1"/>
    <col min="6" max="6" width="35" style="2" customWidth="1"/>
    <col min="7" max="7" width="23.42578125" style="2" customWidth="1"/>
    <col min="8" max="8" width="31.140625" style="2" customWidth="1"/>
    <col min="9" max="9" width="14.28515625" style="2" customWidth="1"/>
    <col min="10" max="10" width="28.5703125" style="2" customWidth="1"/>
    <col min="11" max="11" width="11.5703125" style="2" customWidth="1"/>
    <col min="12" max="259" width="9.140625" style="2"/>
    <col min="260" max="261" width="14.28515625" style="2" customWidth="1"/>
    <col min="262" max="262" width="20.7109375" style="2" customWidth="1"/>
    <col min="263" max="263" width="50.7109375" style="2" customWidth="1"/>
    <col min="264" max="264" width="18.42578125" style="2" customWidth="1"/>
    <col min="265" max="265" width="14.28515625" style="2" customWidth="1"/>
    <col min="266" max="266" width="28.5703125" style="2" customWidth="1"/>
    <col min="267" max="267" width="11.5703125" style="2" customWidth="1"/>
    <col min="268" max="515" width="9.140625" style="2"/>
    <col min="516" max="517" width="14.28515625" style="2" customWidth="1"/>
    <col min="518" max="518" width="20.7109375" style="2" customWidth="1"/>
    <col min="519" max="519" width="50.7109375" style="2" customWidth="1"/>
    <col min="520" max="520" width="18.42578125" style="2" customWidth="1"/>
    <col min="521" max="521" width="14.28515625" style="2" customWidth="1"/>
    <col min="522" max="522" width="28.5703125" style="2" customWidth="1"/>
    <col min="523" max="523" width="11.5703125" style="2" customWidth="1"/>
    <col min="524" max="771" width="9.140625" style="2"/>
    <col min="772" max="773" width="14.28515625" style="2" customWidth="1"/>
    <col min="774" max="774" width="20.7109375" style="2" customWidth="1"/>
    <col min="775" max="775" width="50.7109375" style="2" customWidth="1"/>
    <col min="776" max="776" width="18.42578125" style="2" customWidth="1"/>
    <col min="777" max="777" width="14.28515625" style="2" customWidth="1"/>
    <col min="778" max="778" width="28.5703125" style="2" customWidth="1"/>
    <col min="779" max="779" width="11.5703125" style="2" customWidth="1"/>
    <col min="780" max="1027" width="9.140625" style="2"/>
    <col min="1028" max="1029" width="14.28515625" style="2" customWidth="1"/>
    <col min="1030" max="1030" width="20.7109375" style="2" customWidth="1"/>
    <col min="1031" max="1031" width="50.7109375" style="2" customWidth="1"/>
    <col min="1032" max="1032" width="18.42578125" style="2" customWidth="1"/>
    <col min="1033" max="1033" width="14.28515625" style="2" customWidth="1"/>
    <col min="1034" max="1034" width="28.5703125" style="2" customWidth="1"/>
    <col min="1035" max="1035" width="11.5703125" style="2" customWidth="1"/>
    <col min="1036" max="1283" width="9.140625" style="2"/>
    <col min="1284" max="1285" width="14.28515625" style="2" customWidth="1"/>
    <col min="1286" max="1286" width="20.7109375" style="2" customWidth="1"/>
    <col min="1287" max="1287" width="50.7109375" style="2" customWidth="1"/>
    <col min="1288" max="1288" width="18.42578125" style="2" customWidth="1"/>
    <col min="1289" max="1289" width="14.28515625" style="2" customWidth="1"/>
    <col min="1290" max="1290" width="28.5703125" style="2" customWidth="1"/>
    <col min="1291" max="1291" width="11.5703125" style="2" customWidth="1"/>
    <col min="1292" max="1539" width="9.140625" style="2"/>
    <col min="1540" max="1541" width="14.28515625" style="2" customWidth="1"/>
    <col min="1542" max="1542" width="20.7109375" style="2" customWidth="1"/>
    <col min="1543" max="1543" width="50.7109375" style="2" customWidth="1"/>
    <col min="1544" max="1544" width="18.42578125" style="2" customWidth="1"/>
    <col min="1545" max="1545" width="14.28515625" style="2" customWidth="1"/>
    <col min="1546" max="1546" width="28.5703125" style="2" customWidth="1"/>
    <col min="1547" max="1547" width="11.5703125" style="2" customWidth="1"/>
    <col min="1548" max="1795" width="9.140625" style="2"/>
    <col min="1796" max="1797" width="14.28515625" style="2" customWidth="1"/>
    <col min="1798" max="1798" width="20.7109375" style="2" customWidth="1"/>
    <col min="1799" max="1799" width="50.7109375" style="2" customWidth="1"/>
    <col min="1800" max="1800" width="18.42578125" style="2" customWidth="1"/>
    <col min="1801" max="1801" width="14.28515625" style="2" customWidth="1"/>
    <col min="1802" max="1802" width="28.5703125" style="2" customWidth="1"/>
    <col min="1803" max="1803" width="11.5703125" style="2" customWidth="1"/>
    <col min="1804" max="2051" width="9.140625" style="2"/>
    <col min="2052" max="2053" width="14.28515625" style="2" customWidth="1"/>
    <col min="2054" max="2054" width="20.7109375" style="2" customWidth="1"/>
    <col min="2055" max="2055" width="50.7109375" style="2" customWidth="1"/>
    <col min="2056" max="2056" width="18.42578125" style="2" customWidth="1"/>
    <col min="2057" max="2057" width="14.28515625" style="2" customWidth="1"/>
    <col min="2058" max="2058" width="28.5703125" style="2" customWidth="1"/>
    <col min="2059" max="2059" width="11.5703125" style="2" customWidth="1"/>
    <col min="2060" max="2307" width="9.140625" style="2"/>
    <col min="2308" max="2309" width="14.28515625" style="2" customWidth="1"/>
    <col min="2310" max="2310" width="20.7109375" style="2" customWidth="1"/>
    <col min="2311" max="2311" width="50.7109375" style="2" customWidth="1"/>
    <col min="2312" max="2312" width="18.42578125" style="2" customWidth="1"/>
    <col min="2313" max="2313" width="14.28515625" style="2" customWidth="1"/>
    <col min="2314" max="2314" width="28.5703125" style="2" customWidth="1"/>
    <col min="2315" max="2315" width="11.5703125" style="2" customWidth="1"/>
    <col min="2316" max="2563" width="9.140625" style="2"/>
    <col min="2564" max="2565" width="14.28515625" style="2" customWidth="1"/>
    <col min="2566" max="2566" width="20.7109375" style="2" customWidth="1"/>
    <col min="2567" max="2567" width="50.7109375" style="2" customWidth="1"/>
    <col min="2568" max="2568" width="18.42578125" style="2" customWidth="1"/>
    <col min="2569" max="2569" width="14.28515625" style="2" customWidth="1"/>
    <col min="2570" max="2570" width="28.5703125" style="2" customWidth="1"/>
    <col min="2571" max="2571" width="11.5703125" style="2" customWidth="1"/>
    <col min="2572" max="2819" width="9.140625" style="2"/>
    <col min="2820" max="2821" width="14.28515625" style="2" customWidth="1"/>
    <col min="2822" max="2822" width="20.7109375" style="2" customWidth="1"/>
    <col min="2823" max="2823" width="50.7109375" style="2" customWidth="1"/>
    <col min="2824" max="2824" width="18.42578125" style="2" customWidth="1"/>
    <col min="2825" max="2825" width="14.28515625" style="2" customWidth="1"/>
    <col min="2826" max="2826" width="28.5703125" style="2" customWidth="1"/>
    <col min="2827" max="2827" width="11.5703125" style="2" customWidth="1"/>
    <col min="2828" max="3075" width="9.140625" style="2"/>
    <col min="3076" max="3077" width="14.28515625" style="2" customWidth="1"/>
    <col min="3078" max="3078" width="20.7109375" style="2" customWidth="1"/>
    <col min="3079" max="3079" width="50.7109375" style="2" customWidth="1"/>
    <col min="3080" max="3080" width="18.42578125" style="2" customWidth="1"/>
    <col min="3081" max="3081" width="14.28515625" style="2" customWidth="1"/>
    <col min="3082" max="3082" width="28.5703125" style="2" customWidth="1"/>
    <col min="3083" max="3083" width="11.5703125" style="2" customWidth="1"/>
    <col min="3084" max="3331" width="9.140625" style="2"/>
    <col min="3332" max="3333" width="14.28515625" style="2" customWidth="1"/>
    <col min="3334" max="3334" width="20.7109375" style="2" customWidth="1"/>
    <col min="3335" max="3335" width="50.7109375" style="2" customWidth="1"/>
    <col min="3336" max="3336" width="18.42578125" style="2" customWidth="1"/>
    <col min="3337" max="3337" width="14.28515625" style="2" customWidth="1"/>
    <col min="3338" max="3338" width="28.5703125" style="2" customWidth="1"/>
    <col min="3339" max="3339" width="11.5703125" style="2" customWidth="1"/>
    <col min="3340" max="3587" width="9.140625" style="2"/>
    <col min="3588" max="3589" width="14.28515625" style="2" customWidth="1"/>
    <col min="3590" max="3590" width="20.7109375" style="2" customWidth="1"/>
    <col min="3591" max="3591" width="50.7109375" style="2" customWidth="1"/>
    <col min="3592" max="3592" width="18.42578125" style="2" customWidth="1"/>
    <col min="3593" max="3593" width="14.28515625" style="2" customWidth="1"/>
    <col min="3594" max="3594" width="28.5703125" style="2" customWidth="1"/>
    <col min="3595" max="3595" width="11.5703125" style="2" customWidth="1"/>
    <col min="3596" max="3843" width="9.140625" style="2"/>
    <col min="3844" max="3845" width="14.28515625" style="2" customWidth="1"/>
    <col min="3846" max="3846" width="20.7109375" style="2" customWidth="1"/>
    <col min="3847" max="3847" width="50.7109375" style="2" customWidth="1"/>
    <col min="3848" max="3848" width="18.42578125" style="2" customWidth="1"/>
    <col min="3849" max="3849" width="14.28515625" style="2" customWidth="1"/>
    <col min="3850" max="3850" width="28.5703125" style="2" customWidth="1"/>
    <col min="3851" max="3851" width="11.5703125" style="2" customWidth="1"/>
    <col min="3852" max="4099" width="9.140625" style="2"/>
    <col min="4100" max="4101" width="14.28515625" style="2" customWidth="1"/>
    <col min="4102" max="4102" width="20.7109375" style="2" customWidth="1"/>
    <col min="4103" max="4103" width="50.7109375" style="2" customWidth="1"/>
    <col min="4104" max="4104" width="18.42578125" style="2" customWidth="1"/>
    <col min="4105" max="4105" width="14.28515625" style="2" customWidth="1"/>
    <col min="4106" max="4106" width="28.5703125" style="2" customWidth="1"/>
    <col min="4107" max="4107" width="11.5703125" style="2" customWidth="1"/>
    <col min="4108" max="4355" width="9.140625" style="2"/>
    <col min="4356" max="4357" width="14.28515625" style="2" customWidth="1"/>
    <col min="4358" max="4358" width="20.7109375" style="2" customWidth="1"/>
    <col min="4359" max="4359" width="50.7109375" style="2" customWidth="1"/>
    <col min="4360" max="4360" width="18.42578125" style="2" customWidth="1"/>
    <col min="4361" max="4361" width="14.28515625" style="2" customWidth="1"/>
    <col min="4362" max="4362" width="28.5703125" style="2" customWidth="1"/>
    <col min="4363" max="4363" width="11.5703125" style="2" customWidth="1"/>
    <col min="4364" max="4611" width="9.140625" style="2"/>
    <col min="4612" max="4613" width="14.28515625" style="2" customWidth="1"/>
    <col min="4614" max="4614" width="20.7109375" style="2" customWidth="1"/>
    <col min="4615" max="4615" width="50.7109375" style="2" customWidth="1"/>
    <col min="4616" max="4616" width="18.42578125" style="2" customWidth="1"/>
    <col min="4617" max="4617" width="14.28515625" style="2" customWidth="1"/>
    <col min="4618" max="4618" width="28.5703125" style="2" customWidth="1"/>
    <col min="4619" max="4619" width="11.5703125" style="2" customWidth="1"/>
    <col min="4620" max="4867" width="9.140625" style="2"/>
    <col min="4868" max="4869" width="14.28515625" style="2" customWidth="1"/>
    <col min="4870" max="4870" width="20.7109375" style="2" customWidth="1"/>
    <col min="4871" max="4871" width="50.7109375" style="2" customWidth="1"/>
    <col min="4872" max="4872" width="18.42578125" style="2" customWidth="1"/>
    <col min="4873" max="4873" width="14.28515625" style="2" customWidth="1"/>
    <col min="4874" max="4874" width="28.5703125" style="2" customWidth="1"/>
    <col min="4875" max="4875" width="11.5703125" style="2" customWidth="1"/>
    <col min="4876" max="5123" width="9.140625" style="2"/>
    <col min="5124" max="5125" width="14.28515625" style="2" customWidth="1"/>
    <col min="5126" max="5126" width="20.7109375" style="2" customWidth="1"/>
    <col min="5127" max="5127" width="50.7109375" style="2" customWidth="1"/>
    <col min="5128" max="5128" width="18.42578125" style="2" customWidth="1"/>
    <col min="5129" max="5129" width="14.28515625" style="2" customWidth="1"/>
    <col min="5130" max="5130" width="28.5703125" style="2" customWidth="1"/>
    <col min="5131" max="5131" width="11.5703125" style="2" customWidth="1"/>
    <col min="5132" max="5379" width="9.140625" style="2"/>
    <col min="5380" max="5381" width="14.28515625" style="2" customWidth="1"/>
    <col min="5382" max="5382" width="20.7109375" style="2" customWidth="1"/>
    <col min="5383" max="5383" width="50.7109375" style="2" customWidth="1"/>
    <col min="5384" max="5384" width="18.42578125" style="2" customWidth="1"/>
    <col min="5385" max="5385" width="14.28515625" style="2" customWidth="1"/>
    <col min="5386" max="5386" width="28.5703125" style="2" customWidth="1"/>
    <col min="5387" max="5387" width="11.5703125" style="2" customWidth="1"/>
    <col min="5388" max="5635" width="9.140625" style="2"/>
    <col min="5636" max="5637" width="14.28515625" style="2" customWidth="1"/>
    <col min="5638" max="5638" width="20.7109375" style="2" customWidth="1"/>
    <col min="5639" max="5639" width="50.7109375" style="2" customWidth="1"/>
    <col min="5640" max="5640" width="18.42578125" style="2" customWidth="1"/>
    <col min="5641" max="5641" width="14.28515625" style="2" customWidth="1"/>
    <col min="5642" max="5642" width="28.5703125" style="2" customWidth="1"/>
    <col min="5643" max="5643" width="11.5703125" style="2" customWidth="1"/>
    <col min="5644" max="5891" width="9.140625" style="2"/>
    <col min="5892" max="5893" width="14.28515625" style="2" customWidth="1"/>
    <col min="5894" max="5894" width="20.7109375" style="2" customWidth="1"/>
    <col min="5895" max="5895" width="50.7109375" style="2" customWidth="1"/>
    <col min="5896" max="5896" width="18.42578125" style="2" customWidth="1"/>
    <col min="5897" max="5897" width="14.28515625" style="2" customWidth="1"/>
    <col min="5898" max="5898" width="28.5703125" style="2" customWidth="1"/>
    <col min="5899" max="5899" width="11.5703125" style="2" customWidth="1"/>
    <col min="5900" max="6147" width="9.140625" style="2"/>
    <col min="6148" max="6149" width="14.28515625" style="2" customWidth="1"/>
    <col min="6150" max="6150" width="20.7109375" style="2" customWidth="1"/>
    <col min="6151" max="6151" width="50.7109375" style="2" customWidth="1"/>
    <col min="6152" max="6152" width="18.42578125" style="2" customWidth="1"/>
    <col min="6153" max="6153" width="14.28515625" style="2" customWidth="1"/>
    <col min="6154" max="6154" width="28.5703125" style="2" customWidth="1"/>
    <col min="6155" max="6155" width="11.5703125" style="2" customWidth="1"/>
    <col min="6156" max="6403" width="9.140625" style="2"/>
    <col min="6404" max="6405" width="14.28515625" style="2" customWidth="1"/>
    <col min="6406" max="6406" width="20.7109375" style="2" customWidth="1"/>
    <col min="6407" max="6407" width="50.7109375" style="2" customWidth="1"/>
    <col min="6408" max="6408" width="18.42578125" style="2" customWidth="1"/>
    <col min="6409" max="6409" width="14.28515625" style="2" customWidth="1"/>
    <col min="6410" max="6410" width="28.5703125" style="2" customWidth="1"/>
    <col min="6411" max="6411" width="11.5703125" style="2" customWidth="1"/>
    <col min="6412" max="6659" width="9.140625" style="2"/>
    <col min="6660" max="6661" width="14.28515625" style="2" customWidth="1"/>
    <col min="6662" max="6662" width="20.7109375" style="2" customWidth="1"/>
    <col min="6663" max="6663" width="50.7109375" style="2" customWidth="1"/>
    <col min="6664" max="6664" width="18.42578125" style="2" customWidth="1"/>
    <col min="6665" max="6665" width="14.28515625" style="2" customWidth="1"/>
    <col min="6666" max="6666" width="28.5703125" style="2" customWidth="1"/>
    <col min="6667" max="6667" width="11.5703125" style="2" customWidth="1"/>
    <col min="6668" max="6915" width="9.140625" style="2"/>
    <col min="6916" max="6917" width="14.28515625" style="2" customWidth="1"/>
    <col min="6918" max="6918" width="20.7109375" style="2" customWidth="1"/>
    <col min="6919" max="6919" width="50.7109375" style="2" customWidth="1"/>
    <col min="6920" max="6920" width="18.42578125" style="2" customWidth="1"/>
    <col min="6921" max="6921" width="14.28515625" style="2" customWidth="1"/>
    <col min="6922" max="6922" width="28.5703125" style="2" customWidth="1"/>
    <col min="6923" max="6923" width="11.5703125" style="2" customWidth="1"/>
    <col min="6924" max="7171" width="9.140625" style="2"/>
    <col min="7172" max="7173" width="14.28515625" style="2" customWidth="1"/>
    <col min="7174" max="7174" width="20.7109375" style="2" customWidth="1"/>
    <col min="7175" max="7175" width="50.7109375" style="2" customWidth="1"/>
    <col min="7176" max="7176" width="18.42578125" style="2" customWidth="1"/>
    <col min="7177" max="7177" width="14.28515625" style="2" customWidth="1"/>
    <col min="7178" max="7178" width="28.5703125" style="2" customWidth="1"/>
    <col min="7179" max="7179" width="11.5703125" style="2" customWidth="1"/>
    <col min="7180" max="7427" width="9.140625" style="2"/>
    <col min="7428" max="7429" width="14.28515625" style="2" customWidth="1"/>
    <col min="7430" max="7430" width="20.7109375" style="2" customWidth="1"/>
    <col min="7431" max="7431" width="50.7109375" style="2" customWidth="1"/>
    <col min="7432" max="7432" width="18.42578125" style="2" customWidth="1"/>
    <col min="7433" max="7433" width="14.28515625" style="2" customWidth="1"/>
    <col min="7434" max="7434" width="28.5703125" style="2" customWidth="1"/>
    <col min="7435" max="7435" width="11.5703125" style="2" customWidth="1"/>
    <col min="7436" max="7683" width="9.140625" style="2"/>
    <col min="7684" max="7685" width="14.28515625" style="2" customWidth="1"/>
    <col min="7686" max="7686" width="20.7109375" style="2" customWidth="1"/>
    <col min="7687" max="7687" width="50.7109375" style="2" customWidth="1"/>
    <col min="7688" max="7688" width="18.42578125" style="2" customWidth="1"/>
    <col min="7689" max="7689" width="14.28515625" style="2" customWidth="1"/>
    <col min="7690" max="7690" width="28.5703125" style="2" customWidth="1"/>
    <col min="7691" max="7691" width="11.5703125" style="2" customWidth="1"/>
    <col min="7692" max="7939" width="9.140625" style="2"/>
    <col min="7940" max="7941" width="14.28515625" style="2" customWidth="1"/>
    <col min="7942" max="7942" width="20.7109375" style="2" customWidth="1"/>
    <col min="7943" max="7943" width="50.7109375" style="2" customWidth="1"/>
    <col min="7944" max="7944" width="18.42578125" style="2" customWidth="1"/>
    <col min="7945" max="7945" width="14.28515625" style="2" customWidth="1"/>
    <col min="7946" max="7946" width="28.5703125" style="2" customWidth="1"/>
    <col min="7947" max="7947" width="11.5703125" style="2" customWidth="1"/>
    <col min="7948" max="8195" width="9.140625" style="2"/>
    <col min="8196" max="8197" width="14.28515625" style="2" customWidth="1"/>
    <col min="8198" max="8198" width="20.7109375" style="2" customWidth="1"/>
    <col min="8199" max="8199" width="50.7109375" style="2" customWidth="1"/>
    <col min="8200" max="8200" width="18.42578125" style="2" customWidth="1"/>
    <col min="8201" max="8201" width="14.28515625" style="2" customWidth="1"/>
    <col min="8202" max="8202" width="28.5703125" style="2" customWidth="1"/>
    <col min="8203" max="8203" width="11.5703125" style="2" customWidth="1"/>
    <col min="8204" max="8451" width="9.140625" style="2"/>
    <col min="8452" max="8453" width="14.28515625" style="2" customWidth="1"/>
    <col min="8454" max="8454" width="20.7109375" style="2" customWidth="1"/>
    <col min="8455" max="8455" width="50.7109375" style="2" customWidth="1"/>
    <col min="8456" max="8456" width="18.42578125" style="2" customWidth="1"/>
    <col min="8457" max="8457" width="14.28515625" style="2" customWidth="1"/>
    <col min="8458" max="8458" width="28.5703125" style="2" customWidth="1"/>
    <col min="8459" max="8459" width="11.5703125" style="2" customWidth="1"/>
    <col min="8460" max="8707" width="9.140625" style="2"/>
    <col min="8708" max="8709" width="14.28515625" style="2" customWidth="1"/>
    <col min="8710" max="8710" width="20.7109375" style="2" customWidth="1"/>
    <col min="8711" max="8711" width="50.7109375" style="2" customWidth="1"/>
    <col min="8712" max="8712" width="18.42578125" style="2" customWidth="1"/>
    <col min="8713" max="8713" width="14.28515625" style="2" customWidth="1"/>
    <col min="8714" max="8714" width="28.5703125" style="2" customWidth="1"/>
    <col min="8715" max="8715" width="11.5703125" style="2" customWidth="1"/>
    <col min="8716" max="8963" width="9.140625" style="2"/>
    <col min="8964" max="8965" width="14.28515625" style="2" customWidth="1"/>
    <col min="8966" max="8966" width="20.7109375" style="2" customWidth="1"/>
    <col min="8967" max="8967" width="50.7109375" style="2" customWidth="1"/>
    <col min="8968" max="8968" width="18.42578125" style="2" customWidth="1"/>
    <col min="8969" max="8969" width="14.28515625" style="2" customWidth="1"/>
    <col min="8970" max="8970" width="28.5703125" style="2" customWidth="1"/>
    <col min="8971" max="8971" width="11.5703125" style="2" customWidth="1"/>
    <col min="8972" max="9219" width="9.140625" style="2"/>
    <col min="9220" max="9221" width="14.28515625" style="2" customWidth="1"/>
    <col min="9222" max="9222" width="20.7109375" style="2" customWidth="1"/>
    <col min="9223" max="9223" width="50.7109375" style="2" customWidth="1"/>
    <col min="9224" max="9224" width="18.42578125" style="2" customWidth="1"/>
    <col min="9225" max="9225" width="14.28515625" style="2" customWidth="1"/>
    <col min="9226" max="9226" width="28.5703125" style="2" customWidth="1"/>
    <col min="9227" max="9227" width="11.5703125" style="2" customWidth="1"/>
    <col min="9228" max="9475" width="9.140625" style="2"/>
    <col min="9476" max="9477" width="14.28515625" style="2" customWidth="1"/>
    <col min="9478" max="9478" width="20.7109375" style="2" customWidth="1"/>
    <col min="9479" max="9479" width="50.7109375" style="2" customWidth="1"/>
    <col min="9480" max="9480" width="18.42578125" style="2" customWidth="1"/>
    <col min="9481" max="9481" width="14.28515625" style="2" customWidth="1"/>
    <col min="9482" max="9482" width="28.5703125" style="2" customWidth="1"/>
    <col min="9483" max="9483" width="11.5703125" style="2" customWidth="1"/>
    <col min="9484" max="9731" width="9.140625" style="2"/>
    <col min="9732" max="9733" width="14.28515625" style="2" customWidth="1"/>
    <col min="9734" max="9734" width="20.7109375" style="2" customWidth="1"/>
    <col min="9735" max="9735" width="50.7109375" style="2" customWidth="1"/>
    <col min="9736" max="9736" width="18.42578125" style="2" customWidth="1"/>
    <col min="9737" max="9737" width="14.28515625" style="2" customWidth="1"/>
    <col min="9738" max="9738" width="28.5703125" style="2" customWidth="1"/>
    <col min="9739" max="9739" width="11.5703125" style="2" customWidth="1"/>
    <col min="9740" max="9987" width="9.140625" style="2"/>
    <col min="9988" max="9989" width="14.28515625" style="2" customWidth="1"/>
    <col min="9990" max="9990" width="20.7109375" style="2" customWidth="1"/>
    <col min="9991" max="9991" width="50.7109375" style="2" customWidth="1"/>
    <col min="9992" max="9992" width="18.42578125" style="2" customWidth="1"/>
    <col min="9993" max="9993" width="14.28515625" style="2" customWidth="1"/>
    <col min="9994" max="9994" width="28.5703125" style="2" customWidth="1"/>
    <col min="9995" max="9995" width="11.5703125" style="2" customWidth="1"/>
    <col min="9996" max="10243" width="9.140625" style="2"/>
    <col min="10244" max="10245" width="14.28515625" style="2" customWidth="1"/>
    <col min="10246" max="10246" width="20.7109375" style="2" customWidth="1"/>
    <col min="10247" max="10247" width="50.7109375" style="2" customWidth="1"/>
    <col min="10248" max="10248" width="18.42578125" style="2" customWidth="1"/>
    <col min="10249" max="10249" width="14.28515625" style="2" customWidth="1"/>
    <col min="10250" max="10250" width="28.5703125" style="2" customWidth="1"/>
    <col min="10251" max="10251" width="11.5703125" style="2" customWidth="1"/>
    <col min="10252" max="10499" width="9.140625" style="2"/>
    <col min="10500" max="10501" width="14.28515625" style="2" customWidth="1"/>
    <col min="10502" max="10502" width="20.7109375" style="2" customWidth="1"/>
    <col min="10503" max="10503" width="50.7109375" style="2" customWidth="1"/>
    <col min="10504" max="10504" width="18.42578125" style="2" customWidth="1"/>
    <col min="10505" max="10505" width="14.28515625" style="2" customWidth="1"/>
    <col min="10506" max="10506" width="28.5703125" style="2" customWidth="1"/>
    <col min="10507" max="10507" width="11.5703125" style="2" customWidth="1"/>
    <col min="10508" max="10755" width="9.140625" style="2"/>
    <col min="10756" max="10757" width="14.28515625" style="2" customWidth="1"/>
    <col min="10758" max="10758" width="20.7109375" style="2" customWidth="1"/>
    <col min="10759" max="10759" width="50.7109375" style="2" customWidth="1"/>
    <col min="10760" max="10760" width="18.42578125" style="2" customWidth="1"/>
    <col min="10761" max="10761" width="14.28515625" style="2" customWidth="1"/>
    <col min="10762" max="10762" width="28.5703125" style="2" customWidth="1"/>
    <col min="10763" max="10763" width="11.5703125" style="2" customWidth="1"/>
    <col min="10764" max="11011" width="9.140625" style="2"/>
    <col min="11012" max="11013" width="14.28515625" style="2" customWidth="1"/>
    <col min="11014" max="11014" width="20.7109375" style="2" customWidth="1"/>
    <col min="11015" max="11015" width="50.7109375" style="2" customWidth="1"/>
    <col min="11016" max="11016" width="18.42578125" style="2" customWidth="1"/>
    <col min="11017" max="11017" width="14.28515625" style="2" customWidth="1"/>
    <col min="11018" max="11018" width="28.5703125" style="2" customWidth="1"/>
    <col min="11019" max="11019" width="11.5703125" style="2" customWidth="1"/>
    <col min="11020" max="11267" width="9.140625" style="2"/>
    <col min="11268" max="11269" width="14.28515625" style="2" customWidth="1"/>
    <col min="11270" max="11270" width="20.7109375" style="2" customWidth="1"/>
    <col min="11271" max="11271" width="50.7109375" style="2" customWidth="1"/>
    <col min="11272" max="11272" width="18.42578125" style="2" customWidth="1"/>
    <col min="11273" max="11273" width="14.28515625" style="2" customWidth="1"/>
    <col min="11274" max="11274" width="28.5703125" style="2" customWidth="1"/>
    <col min="11275" max="11275" width="11.5703125" style="2" customWidth="1"/>
    <col min="11276" max="11523" width="9.140625" style="2"/>
    <col min="11524" max="11525" width="14.28515625" style="2" customWidth="1"/>
    <col min="11526" max="11526" width="20.7109375" style="2" customWidth="1"/>
    <col min="11527" max="11527" width="50.7109375" style="2" customWidth="1"/>
    <col min="11528" max="11528" width="18.42578125" style="2" customWidth="1"/>
    <col min="11529" max="11529" width="14.28515625" style="2" customWidth="1"/>
    <col min="11530" max="11530" width="28.5703125" style="2" customWidth="1"/>
    <col min="11531" max="11531" width="11.5703125" style="2" customWidth="1"/>
    <col min="11532" max="11779" width="9.140625" style="2"/>
    <col min="11780" max="11781" width="14.28515625" style="2" customWidth="1"/>
    <col min="11782" max="11782" width="20.7109375" style="2" customWidth="1"/>
    <col min="11783" max="11783" width="50.7109375" style="2" customWidth="1"/>
    <col min="11784" max="11784" width="18.42578125" style="2" customWidth="1"/>
    <col min="11785" max="11785" width="14.28515625" style="2" customWidth="1"/>
    <col min="11786" max="11786" width="28.5703125" style="2" customWidth="1"/>
    <col min="11787" max="11787" width="11.5703125" style="2" customWidth="1"/>
    <col min="11788" max="12035" width="9.140625" style="2"/>
    <col min="12036" max="12037" width="14.28515625" style="2" customWidth="1"/>
    <col min="12038" max="12038" width="20.7109375" style="2" customWidth="1"/>
    <col min="12039" max="12039" width="50.7109375" style="2" customWidth="1"/>
    <col min="12040" max="12040" width="18.42578125" style="2" customWidth="1"/>
    <col min="12041" max="12041" width="14.28515625" style="2" customWidth="1"/>
    <col min="12042" max="12042" width="28.5703125" style="2" customWidth="1"/>
    <col min="12043" max="12043" width="11.5703125" style="2" customWidth="1"/>
    <col min="12044" max="12291" width="9.140625" style="2"/>
    <col min="12292" max="12293" width="14.28515625" style="2" customWidth="1"/>
    <col min="12294" max="12294" width="20.7109375" style="2" customWidth="1"/>
    <col min="12295" max="12295" width="50.7109375" style="2" customWidth="1"/>
    <col min="12296" max="12296" width="18.42578125" style="2" customWidth="1"/>
    <col min="12297" max="12297" width="14.28515625" style="2" customWidth="1"/>
    <col min="12298" max="12298" width="28.5703125" style="2" customWidth="1"/>
    <col min="12299" max="12299" width="11.5703125" style="2" customWidth="1"/>
    <col min="12300" max="12547" width="9.140625" style="2"/>
    <col min="12548" max="12549" width="14.28515625" style="2" customWidth="1"/>
    <col min="12550" max="12550" width="20.7109375" style="2" customWidth="1"/>
    <col min="12551" max="12551" width="50.7109375" style="2" customWidth="1"/>
    <col min="12552" max="12552" width="18.42578125" style="2" customWidth="1"/>
    <col min="12553" max="12553" width="14.28515625" style="2" customWidth="1"/>
    <col min="12554" max="12554" width="28.5703125" style="2" customWidth="1"/>
    <col min="12555" max="12555" width="11.5703125" style="2" customWidth="1"/>
    <col min="12556" max="12803" width="9.140625" style="2"/>
    <col min="12804" max="12805" width="14.28515625" style="2" customWidth="1"/>
    <col min="12806" max="12806" width="20.7109375" style="2" customWidth="1"/>
    <col min="12807" max="12807" width="50.7109375" style="2" customWidth="1"/>
    <col min="12808" max="12808" width="18.42578125" style="2" customWidth="1"/>
    <col min="12809" max="12809" width="14.28515625" style="2" customWidth="1"/>
    <col min="12810" max="12810" width="28.5703125" style="2" customWidth="1"/>
    <col min="12811" max="12811" width="11.5703125" style="2" customWidth="1"/>
    <col min="12812" max="13059" width="9.140625" style="2"/>
    <col min="13060" max="13061" width="14.28515625" style="2" customWidth="1"/>
    <col min="13062" max="13062" width="20.7109375" style="2" customWidth="1"/>
    <col min="13063" max="13063" width="50.7109375" style="2" customWidth="1"/>
    <col min="13064" max="13064" width="18.42578125" style="2" customWidth="1"/>
    <col min="13065" max="13065" width="14.28515625" style="2" customWidth="1"/>
    <col min="13066" max="13066" width="28.5703125" style="2" customWidth="1"/>
    <col min="13067" max="13067" width="11.5703125" style="2" customWidth="1"/>
    <col min="13068" max="13315" width="9.140625" style="2"/>
    <col min="13316" max="13317" width="14.28515625" style="2" customWidth="1"/>
    <col min="13318" max="13318" width="20.7109375" style="2" customWidth="1"/>
    <col min="13319" max="13319" width="50.7109375" style="2" customWidth="1"/>
    <col min="13320" max="13320" width="18.42578125" style="2" customWidth="1"/>
    <col min="13321" max="13321" width="14.28515625" style="2" customWidth="1"/>
    <col min="13322" max="13322" width="28.5703125" style="2" customWidth="1"/>
    <col min="13323" max="13323" width="11.5703125" style="2" customWidth="1"/>
    <col min="13324" max="13571" width="9.140625" style="2"/>
    <col min="13572" max="13573" width="14.28515625" style="2" customWidth="1"/>
    <col min="13574" max="13574" width="20.7109375" style="2" customWidth="1"/>
    <col min="13575" max="13575" width="50.7109375" style="2" customWidth="1"/>
    <col min="13576" max="13576" width="18.42578125" style="2" customWidth="1"/>
    <col min="13577" max="13577" width="14.28515625" style="2" customWidth="1"/>
    <col min="13578" max="13578" width="28.5703125" style="2" customWidth="1"/>
    <col min="13579" max="13579" width="11.5703125" style="2" customWidth="1"/>
    <col min="13580" max="13827" width="9.140625" style="2"/>
    <col min="13828" max="13829" width="14.28515625" style="2" customWidth="1"/>
    <col min="13830" max="13830" width="20.7109375" style="2" customWidth="1"/>
    <col min="13831" max="13831" width="50.7109375" style="2" customWidth="1"/>
    <col min="13832" max="13832" width="18.42578125" style="2" customWidth="1"/>
    <col min="13833" max="13833" width="14.28515625" style="2" customWidth="1"/>
    <col min="13834" max="13834" width="28.5703125" style="2" customWidth="1"/>
    <col min="13835" max="13835" width="11.5703125" style="2" customWidth="1"/>
    <col min="13836" max="14083" width="9.140625" style="2"/>
    <col min="14084" max="14085" width="14.28515625" style="2" customWidth="1"/>
    <col min="14086" max="14086" width="20.7109375" style="2" customWidth="1"/>
    <col min="14087" max="14087" width="50.7109375" style="2" customWidth="1"/>
    <col min="14088" max="14088" width="18.42578125" style="2" customWidth="1"/>
    <col min="14089" max="14089" width="14.28515625" style="2" customWidth="1"/>
    <col min="14090" max="14090" width="28.5703125" style="2" customWidth="1"/>
    <col min="14091" max="14091" width="11.5703125" style="2" customWidth="1"/>
    <col min="14092" max="14339" width="9.140625" style="2"/>
    <col min="14340" max="14341" width="14.28515625" style="2" customWidth="1"/>
    <col min="14342" max="14342" width="20.7109375" style="2" customWidth="1"/>
    <col min="14343" max="14343" width="50.7109375" style="2" customWidth="1"/>
    <col min="14344" max="14344" width="18.42578125" style="2" customWidth="1"/>
    <col min="14345" max="14345" width="14.28515625" style="2" customWidth="1"/>
    <col min="14346" max="14346" width="28.5703125" style="2" customWidth="1"/>
    <col min="14347" max="14347" width="11.5703125" style="2" customWidth="1"/>
    <col min="14348" max="14595" width="9.140625" style="2"/>
    <col min="14596" max="14597" width="14.28515625" style="2" customWidth="1"/>
    <col min="14598" max="14598" width="20.7109375" style="2" customWidth="1"/>
    <col min="14599" max="14599" width="50.7109375" style="2" customWidth="1"/>
    <col min="14600" max="14600" width="18.42578125" style="2" customWidth="1"/>
    <col min="14601" max="14601" width="14.28515625" style="2" customWidth="1"/>
    <col min="14602" max="14602" width="28.5703125" style="2" customWidth="1"/>
    <col min="14603" max="14603" width="11.5703125" style="2" customWidth="1"/>
    <col min="14604" max="14851" width="9.140625" style="2"/>
    <col min="14852" max="14853" width="14.28515625" style="2" customWidth="1"/>
    <col min="14854" max="14854" width="20.7109375" style="2" customWidth="1"/>
    <col min="14855" max="14855" width="50.7109375" style="2" customWidth="1"/>
    <col min="14856" max="14856" width="18.42578125" style="2" customWidth="1"/>
    <col min="14857" max="14857" width="14.28515625" style="2" customWidth="1"/>
    <col min="14858" max="14858" width="28.5703125" style="2" customWidth="1"/>
    <col min="14859" max="14859" width="11.5703125" style="2" customWidth="1"/>
    <col min="14860" max="15107" width="9.140625" style="2"/>
    <col min="15108" max="15109" width="14.28515625" style="2" customWidth="1"/>
    <col min="15110" max="15110" width="20.7109375" style="2" customWidth="1"/>
    <col min="15111" max="15111" width="50.7109375" style="2" customWidth="1"/>
    <col min="15112" max="15112" width="18.42578125" style="2" customWidth="1"/>
    <col min="15113" max="15113" width="14.28515625" style="2" customWidth="1"/>
    <col min="15114" max="15114" width="28.5703125" style="2" customWidth="1"/>
    <col min="15115" max="15115" width="11.5703125" style="2" customWidth="1"/>
    <col min="15116" max="15363" width="9.140625" style="2"/>
    <col min="15364" max="15365" width="14.28515625" style="2" customWidth="1"/>
    <col min="15366" max="15366" width="20.7109375" style="2" customWidth="1"/>
    <col min="15367" max="15367" width="50.7109375" style="2" customWidth="1"/>
    <col min="15368" max="15368" width="18.42578125" style="2" customWidth="1"/>
    <col min="15369" max="15369" width="14.28515625" style="2" customWidth="1"/>
    <col min="15370" max="15370" width="28.5703125" style="2" customWidth="1"/>
    <col min="15371" max="15371" width="11.5703125" style="2" customWidth="1"/>
    <col min="15372" max="15619" width="9.140625" style="2"/>
    <col min="15620" max="15621" width="14.28515625" style="2" customWidth="1"/>
    <col min="15622" max="15622" width="20.7109375" style="2" customWidth="1"/>
    <col min="15623" max="15623" width="50.7109375" style="2" customWidth="1"/>
    <col min="15624" max="15624" width="18.42578125" style="2" customWidth="1"/>
    <col min="15625" max="15625" width="14.28515625" style="2" customWidth="1"/>
    <col min="15626" max="15626" width="28.5703125" style="2" customWidth="1"/>
    <col min="15627" max="15627" width="11.5703125" style="2" customWidth="1"/>
    <col min="15628" max="15875" width="9.140625" style="2"/>
    <col min="15876" max="15877" width="14.28515625" style="2" customWidth="1"/>
    <col min="15878" max="15878" width="20.7109375" style="2" customWidth="1"/>
    <col min="15879" max="15879" width="50.7109375" style="2" customWidth="1"/>
    <col min="15880" max="15880" width="18.42578125" style="2" customWidth="1"/>
    <col min="15881" max="15881" width="14.28515625" style="2" customWidth="1"/>
    <col min="15882" max="15882" width="28.5703125" style="2" customWidth="1"/>
    <col min="15883" max="15883" width="11.5703125" style="2" customWidth="1"/>
    <col min="15884" max="16131" width="9.140625" style="2"/>
    <col min="16132" max="16133" width="14.28515625" style="2" customWidth="1"/>
    <col min="16134" max="16134" width="20.7109375" style="2" customWidth="1"/>
    <col min="16135" max="16135" width="50.7109375" style="2" customWidth="1"/>
    <col min="16136" max="16136" width="18.42578125" style="2" customWidth="1"/>
    <col min="16137" max="16137" width="14.28515625" style="2" customWidth="1"/>
    <col min="16138" max="16138" width="28.5703125" style="2" customWidth="1"/>
    <col min="16139" max="16139" width="11.5703125" style="2" customWidth="1"/>
    <col min="16140" max="16384" width="9.140625" style="2"/>
  </cols>
  <sheetData>
    <row r="1" spans="1:10" ht="26.25" customHeight="1">
      <c r="A1" s="110" t="s">
        <v>233</v>
      </c>
      <c r="B1" s="110" t="s">
        <v>234</v>
      </c>
      <c r="C1" s="111" t="s">
        <v>271</v>
      </c>
      <c r="D1" s="111" t="s">
        <v>272</v>
      </c>
      <c r="E1" s="111" t="s">
        <v>273</v>
      </c>
      <c r="F1" s="111" t="s">
        <v>274</v>
      </c>
      <c r="G1" s="111" t="s">
        <v>275</v>
      </c>
      <c r="H1" s="111" t="s">
        <v>276</v>
      </c>
    </row>
    <row r="2" spans="1:10">
      <c r="A2" s="318" t="s">
        <v>462</v>
      </c>
      <c r="B2" s="271" t="s">
        <v>480</v>
      </c>
      <c r="C2" s="539" t="s">
        <v>1298</v>
      </c>
      <c r="D2" s="365" t="s">
        <v>1299</v>
      </c>
      <c r="E2" s="366">
        <v>891287.27</v>
      </c>
      <c r="F2" s="563">
        <v>550934000003990</v>
      </c>
      <c r="G2" s="365" t="s">
        <v>1078</v>
      </c>
      <c r="H2" s="366">
        <v>891287.27</v>
      </c>
      <c r="I2" s="109"/>
      <c r="J2" s="109"/>
    </row>
    <row r="3" spans="1:10" s="109" customFormat="1">
      <c r="A3" s="318" t="s">
        <v>462</v>
      </c>
      <c r="B3" s="271" t="s">
        <v>480</v>
      </c>
      <c r="C3" s="539" t="s">
        <v>1300</v>
      </c>
      <c r="D3" s="365" t="s">
        <v>1301</v>
      </c>
      <c r="E3" s="366">
        <v>170000</v>
      </c>
      <c r="F3" s="563">
        <v>150544415</v>
      </c>
      <c r="G3" s="365" t="s">
        <v>1078</v>
      </c>
      <c r="H3" s="366">
        <v>170000</v>
      </c>
    </row>
    <row r="4" spans="1:10" s="1" customFormat="1">
      <c r="C4" s="121"/>
      <c r="D4" s="122"/>
      <c r="F4" s="121"/>
      <c r="G4" s="121"/>
    </row>
    <row r="5" spans="1:10" s="1" customFormat="1">
      <c r="C5" s="121"/>
      <c r="D5" s="122"/>
      <c r="F5" s="121"/>
      <c r="G5" s="121"/>
    </row>
    <row r="6" spans="1:10" s="1" customFormat="1">
      <c r="C6" s="121"/>
      <c r="D6" s="122"/>
      <c r="F6" s="121"/>
      <c r="G6" s="121"/>
    </row>
    <row r="7" spans="1:10" s="1" customFormat="1">
      <c r="C7" s="121"/>
      <c r="D7" s="122"/>
      <c r="F7" s="121"/>
      <c r="G7" s="121"/>
    </row>
    <row r="8" spans="1:10" s="1" customFormat="1">
      <c r="C8" s="121"/>
      <c r="D8" s="122"/>
      <c r="F8" s="121"/>
      <c r="G8" s="121"/>
    </row>
    <row r="9" spans="1:10" s="1" customFormat="1">
      <c r="C9" s="121"/>
      <c r="D9" s="122"/>
      <c r="F9" s="121"/>
      <c r="G9" s="121"/>
    </row>
    <row r="10" spans="1:10" s="1" customFormat="1">
      <c r="C10" s="121"/>
      <c r="D10" s="122"/>
      <c r="F10" s="121"/>
      <c r="G10" s="121"/>
    </row>
    <row r="11" spans="1:10" s="1" customFormat="1">
      <c r="C11" s="121"/>
      <c r="D11" s="122"/>
      <c r="F11" s="121"/>
      <c r="G11" s="121"/>
    </row>
    <row r="12" spans="1:10" s="1" customFormat="1">
      <c r="C12" s="121"/>
      <c r="D12" s="122"/>
      <c r="F12" s="121"/>
      <c r="G12" s="121"/>
    </row>
    <row r="13" spans="1:10" s="1" customFormat="1">
      <c r="C13" s="121"/>
      <c r="D13" s="122"/>
      <c r="F13" s="121"/>
      <c r="G13" s="121"/>
    </row>
    <row r="14" spans="1:10" s="1" customFormat="1">
      <c r="C14" s="121"/>
      <c r="D14" s="122"/>
      <c r="F14" s="121"/>
      <c r="G14" s="121"/>
    </row>
    <row r="15" spans="1:10" s="1" customFormat="1">
      <c r="C15" s="121"/>
      <c r="D15" s="122"/>
      <c r="F15" s="121"/>
      <c r="G15" s="121"/>
    </row>
    <row r="16" spans="1:10" s="1" customFormat="1">
      <c r="C16" s="121"/>
      <c r="D16" s="122"/>
      <c r="F16" s="121"/>
      <c r="G16" s="121"/>
    </row>
    <row r="17" spans="3:7" s="1" customFormat="1">
      <c r="C17" s="121"/>
      <c r="D17" s="122"/>
      <c r="F17" s="121"/>
      <c r="G17" s="121"/>
    </row>
    <row r="18" spans="3:7" s="1" customFormat="1">
      <c r="C18" s="121"/>
      <c r="D18" s="122"/>
      <c r="F18" s="121"/>
      <c r="G18" s="121"/>
    </row>
    <row r="19" spans="3:7" s="1" customFormat="1">
      <c r="C19" s="121"/>
      <c r="D19" s="122"/>
      <c r="F19" s="121"/>
      <c r="G19" s="121"/>
    </row>
    <row r="20" spans="3:7" s="1" customFormat="1">
      <c r="C20" s="121"/>
      <c r="D20" s="122"/>
      <c r="F20" s="121"/>
      <c r="G20" s="121"/>
    </row>
    <row r="21" spans="3:7" s="1" customFormat="1">
      <c r="C21" s="121"/>
      <c r="D21" s="122"/>
      <c r="F21" s="121"/>
      <c r="G21" s="121"/>
    </row>
    <row r="22" spans="3:7" s="1" customFormat="1">
      <c r="C22" s="121"/>
      <c r="D22" s="122"/>
      <c r="F22" s="121"/>
      <c r="G22" s="121"/>
    </row>
    <row r="23" spans="3:7" s="1" customFormat="1">
      <c r="C23" s="121"/>
      <c r="D23" s="122"/>
      <c r="F23" s="121"/>
      <c r="G23" s="121"/>
    </row>
    <row r="24" spans="3:7" s="1" customFormat="1">
      <c r="C24" s="121"/>
      <c r="D24" s="122"/>
      <c r="F24" s="121"/>
      <c r="G24" s="121"/>
    </row>
    <row r="25" spans="3:7" s="1" customFormat="1">
      <c r="C25" s="121"/>
      <c r="D25" s="122"/>
      <c r="F25" s="121"/>
      <c r="G25" s="121"/>
    </row>
    <row r="26" spans="3:7" s="1" customFormat="1">
      <c r="C26" s="121"/>
      <c r="D26" s="122"/>
      <c r="F26" s="121"/>
      <c r="G26" s="121"/>
    </row>
    <row r="27" spans="3:7" s="1" customFormat="1">
      <c r="C27" s="121"/>
      <c r="D27" s="122"/>
      <c r="F27" s="121"/>
      <c r="G27" s="121"/>
    </row>
    <row r="28" spans="3:7" s="1" customFormat="1">
      <c r="C28" s="121"/>
      <c r="D28" s="122"/>
      <c r="F28" s="121"/>
      <c r="G28" s="121"/>
    </row>
    <row r="29" spans="3:7" s="1" customFormat="1">
      <c r="C29" s="121"/>
      <c r="D29" s="122"/>
      <c r="F29" s="121"/>
      <c r="G29" s="121"/>
    </row>
    <row r="30" spans="3:7" s="1" customFormat="1">
      <c r="C30" s="121"/>
      <c r="D30" s="122"/>
      <c r="F30" s="121"/>
      <c r="G30" s="121"/>
    </row>
    <row r="31" spans="3:7" s="1" customFormat="1">
      <c r="C31" s="121"/>
      <c r="D31" s="122"/>
      <c r="F31" s="121"/>
      <c r="G31" s="121"/>
    </row>
    <row r="32" spans="3:7" s="1" customFormat="1">
      <c r="D32" s="120"/>
    </row>
    <row r="33" spans="4:4" s="1" customFormat="1">
      <c r="D33" s="120"/>
    </row>
    <row r="34" spans="4:4" s="1" customFormat="1">
      <c r="D34" s="120"/>
    </row>
    <row r="35" spans="4:4" s="1" customFormat="1">
      <c r="D35" s="120"/>
    </row>
    <row r="36" spans="4:4" s="1" customFormat="1">
      <c r="D36" s="120"/>
    </row>
    <row r="37" spans="4:4" s="1" customFormat="1">
      <c r="D37" s="120"/>
    </row>
    <row r="38" spans="4:4" s="1" customFormat="1">
      <c r="D38" s="120"/>
    </row>
    <row r="39" spans="4:4" s="1" customFormat="1">
      <c r="D39" s="120"/>
    </row>
    <row r="40" spans="4:4" s="1" customFormat="1">
      <c r="D40" s="120"/>
    </row>
    <row r="41" spans="4:4" s="1" customFormat="1">
      <c r="D41" s="120"/>
    </row>
    <row r="42" spans="4:4" s="1" customFormat="1">
      <c r="D42" s="120"/>
    </row>
    <row r="43" spans="4:4" s="1" customFormat="1">
      <c r="D43" s="120"/>
    </row>
    <row r="44" spans="4:4" s="1" customFormat="1">
      <c r="D44" s="120"/>
    </row>
    <row r="45" spans="4:4" s="1" customFormat="1">
      <c r="D45" s="120"/>
    </row>
    <row r="46" spans="4:4" s="1" customFormat="1">
      <c r="D46" s="120"/>
    </row>
    <row r="47" spans="4:4" s="1" customFormat="1">
      <c r="D47" s="120"/>
    </row>
    <row r="48" spans="4:4" s="1" customFormat="1">
      <c r="D48" s="120"/>
    </row>
    <row r="49" spans="4:4" s="1" customFormat="1">
      <c r="D49" s="120"/>
    </row>
    <row r="50" spans="4:4" s="1" customFormat="1">
      <c r="D50" s="120"/>
    </row>
    <row r="51" spans="4:4" s="1" customFormat="1">
      <c r="D51" s="120"/>
    </row>
    <row r="52" spans="4:4" s="1" customFormat="1">
      <c r="D52" s="120"/>
    </row>
    <row r="53" spans="4:4" s="1" customFormat="1">
      <c r="D53" s="120"/>
    </row>
    <row r="54" spans="4:4" s="1" customFormat="1">
      <c r="D54" s="120"/>
    </row>
    <row r="55" spans="4:4" s="1" customFormat="1">
      <c r="D55" s="120"/>
    </row>
    <row r="56" spans="4:4" s="1" customFormat="1">
      <c r="D56" s="120"/>
    </row>
    <row r="57" spans="4:4" s="1" customFormat="1">
      <c r="D57" s="120"/>
    </row>
    <row r="58" spans="4:4" s="1" customFormat="1">
      <c r="D58" s="120"/>
    </row>
    <row r="59" spans="4:4" s="1" customFormat="1">
      <c r="D59" s="120"/>
    </row>
    <row r="60" spans="4:4" s="1" customFormat="1">
      <c r="D60" s="120"/>
    </row>
    <row r="61" spans="4:4" s="1" customFormat="1">
      <c r="D61" s="120"/>
    </row>
    <row r="62" spans="4:4" s="1" customFormat="1">
      <c r="D62" s="120"/>
    </row>
    <row r="63" spans="4:4" s="1" customFormat="1">
      <c r="D63" s="120"/>
    </row>
    <row r="64" spans="4:4" s="1" customFormat="1">
      <c r="D64" s="120"/>
    </row>
    <row r="65" spans="4:4" s="1" customFormat="1">
      <c r="D65" s="120"/>
    </row>
    <row r="66" spans="4:4" s="1" customFormat="1">
      <c r="D66" s="120"/>
    </row>
    <row r="67" spans="4:4" s="1" customFormat="1">
      <c r="D67" s="120"/>
    </row>
    <row r="68" spans="4:4" s="1" customFormat="1">
      <c r="D68" s="120"/>
    </row>
    <row r="69" spans="4:4" s="1" customFormat="1">
      <c r="D69" s="120"/>
    </row>
    <row r="70" spans="4:4" s="1" customFormat="1">
      <c r="D70" s="120"/>
    </row>
    <row r="71" spans="4:4" s="1" customFormat="1">
      <c r="D71" s="120"/>
    </row>
    <row r="72" spans="4:4" s="1" customFormat="1">
      <c r="D72" s="120"/>
    </row>
    <row r="73" spans="4:4" s="1" customFormat="1">
      <c r="D73" s="120"/>
    </row>
    <row r="74" spans="4:4" s="1" customFormat="1">
      <c r="D74" s="120"/>
    </row>
    <row r="75" spans="4:4" s="1" customFormat="1">
      <c r="D75" s="120"/>
    </row>
    <row r="76" spans="4:4" s="1" customFormat="1">
      <c r="D76" s="120"/>
    </row>
    <row r="77" spans="4:4" s="1" customFormat="1">
      <c r="D77" s="120"/>
    </row>
    <row r="78" spans="4:4" s="1" customFormat="1">
      <c r="D78" s="120"/>
    </row>
    <row r="79" spans="4:4" s="1" customFormat="1">
      <c r="D79" s="120"/>
    </row>
    <row r="80" spans="4:4" s="1" customFormat="1">
      <c r="D80" s="120"/>
    </row>
    <row r="81" spans="4:4" s="1" customFormat="1">
      <c r="D81" s="120"/>
    </row>
    <row r="82" spans="4:4" s="1" customFormat="1">
      <c r="D82" s="120"/>
    </row>
    <row r="83" spans="4:4" s="1" customFormat="1">
      <c r="D83" s="120"/>
    </row>
    <row r="84" spans="4:4" s="1" customFormat="1">
      <c r="D84" s="120"/>
    </row>
    <row r="85" spans="4:4" s="1" customFormat="1">
      <c r="D85" s="120"/>
    </row>
    <row r="86" spans="4:4" s="1" customFormat="1">
      <c r="D86" s="120"/>
    </row>
    <row r="87" spans="4:4" s="1" customFormat="1">
      <c r="D87" s="120"/>
    </row>
    <row r="88" spans="4:4" s="1" customFormat="1">
      <c r="D88" s="120"/>
    </row>
    <row r="89" spans="4:4" s="1" customFormat="1">
      <c r="D89" s="120"/>
    </row>
    <row r="90" spans="4:4" s="1" customFormat="1">
      <c r="D90" s="120"/>
    </row>
    <row r="91" spans="4:4" s="1" customFormat="1">
      <c r="D91" s="120"/>
    </row>
    <row r="92" spans="4:4" s="1" customFormat="1">
      <c r="D92" s="120"/>
    </row>
    <row r="93" spans="4:4" s="1" customFormat="1">
      <c r="D93" s="120"/>
    </row>
    <row r="94" spans="4:4" s="1" customFormat="1">
      <c r="D94" s="120"/>
    </row>
    <row r="95" spans="4:4" s="1" customFormat="1">
      <c r="D95" s="120"/>
    </row>
    <row r="96" spans="4:4" s="1" customFormat="1">
      <c r="D96" s="120"/>
    </row>
    <row r="97" spans="4:4" s="1" customFormat="1">
      <c r="D97" s="120"/>
    </row>
    <row r="98" spans="4:4" s="1" customFormat="1">
      <c r="D98" s="120"/>
    </row>
    <row r="99" spans="4:4" s="1" customFormat="1">
      <c r="D99" s="120"/>
    </row>
    <row r="100" spans="4:4" s="1" customFormat="1">
      <c r="D100" s="120"/>
    </row>
    <row r="101" spans="4:4" s="1" customFormat="1">
      <c r="D101" s="120"/>
    </row>
    <row r="102" spans="4:4" s="1" customFormat="1">
      <c r="D102" s="120"/>
    </row>
    <row r="103" spans="4:4" s="1" customFormat="1">
      <c r="D103" s="120"/>
    </row>
    <row r="104" spans="4:4" s="1" customFormat="1">
      <c r="D104" s="120"/>
    </row>
    <row r="105" spans="4:4" s="1" customFormat="1">
      <c r="D105" s="120"/>
    </row>
    <row r="106" spans="4:4" s="1" customFormat="1">
      <c r="D106" s="120"/>
    </row>
    <row r="107" spans="4:4" s="1" customFormat="1">
      <c r="D107" s="120"/>
    </row>
    <row r="108" spans="4:4" s="1" customFormat="1">
      <c r="D108" s="120"/>
    </row>
    <row r="109" spans="4:4" s="1" customFormat="1">
      <c r="D109" s="120"/>
    </row>
    <row r="110" spans="4:4" s="1" customFormat="1">
      <c r="D110" s="120"/>
    </row>
    <row r="111" spans="4:4" s="1" customFormat="1">
      <c r="D111" s="120"/>
    </row>
    <row r="112" spans="4:4" s="1" customFormat="1">
      <c r="D112" s="120"/>
    </row>
    <row r="113" spans="4:4" s="1" customFormat="1">
      <c r="D113" s="120"/>
    </row>
    <row r="114" spans="4:4" s="1" customFormat="1">
      <c r="D114" s="120"/>
    </row>
    <row r="115" spans="4:4" s="1" customFormat="1">
      <c r="D115" s="120"/>
    </row>
  </sheetData>
  <protectedRanges>
    <protectedRange sqref="E2:E3 H2:H3" name="Intervalo2_1_2"/>
    <protectedRange sqref="C2:D3" name="Intervalo2_1_2_2"/>
    <protectedRange sqref="F2:G3" name="Intervalo2_1_2_3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0" orientation="landscape" horizontalDpi="4294967294" verticalDpi="4294967294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19"/>
  <sheetViews>
    <sheetView zoomScaleNormal="100" workbookViewId="0">
      <selection activeCell="A4" sqref="A4"/>
    </sheetView>
  </sheetViews>
  <sheetFormatPr defaultColWidth="9" defaultRowHeight="15"/>
  <cols>
    <col min="1" max="1" width="30.7109375" style="2" customWidth="1"/>
    <col min="2" max="2" width="50.85546875" style="2" customWidth="1"/>
    <col min="3" max="3" width="31.140625" style="2" customWidth="1"/>
    <col min="4" max="4" width="53.28515625" style="2" customWidth="1"/>
    <col min="5" max="5" width="62.7109375" style="2" customWidth="1"/>
    <col min="6" max="6" width="25.7109375" style="2" customWidth="1"/>
    <col min="7" max="7" width="29" style="2" customWidth="1"/>
    <col min="8" max="8" width="14.28515625" style="2" customWidth="1"/>
    <col min="9" max="9" width="28.5703125" style="2" customWidth="1"/>
    <col min="10" max="10" width="11.5703125" style="2" customWidth="1"/>
    <col min="11" max="258" width="9.140625" style="2"/>
    <col min="259" max="260" width="14.28515625" style="2" customWidth="1"/>
    <col min="261" max="261" width="20.7109375" style="2" customWidth="1"/>
    <col min="262" max="262" width="50.7109375" style="2" customWidth="1"/>
    <col min="263" max="263" width="18.42578125" style="2" customWidth="1"/>
    <col min="264" max="264" width="14.28515625" style="2" customWidth="1"/>
    <col min="265" max="265" width="28.5703125" style="2" customWidth="1"/>
    <col min="266" max="266" width="11.5703125" style="2" customWidth="1"/>
    <col min="267" max="514" width="9.140625" style="2"/>
    <col min="515" max="516" width="14.28515625" style="2" customWidth="1"/>
    <col min="517" max="517" width="20.7109375" style="2" customWidth="1"/>
    <col min="518" max="518" width="50.7109375" style="2" customWidth="1"/>
    <col min="519" max="519" width="18.42578125" style="2" customWidth="1"/>
    <col min="520" max="520" width="14.28515625" style="2" customWidth="1"/>
    <col min="521" max="521" width="28.5703125" style="2" customWidth="1"/>
    <col min="522" max="522" width="11.5703125" style="2" customWidth="1"/>
    <col min="523" max="770" width="9.140625" style="2"/>
    <col min="771" max="772" width="14.28515625" style="2" customWidth="1"/>
    <col min="773" max="773" width="20.7109375" style="2" customWidth="1"/>
    <col min="774" max="774" width="50.7109375" style="2" customWidth="1"/>
    <col min="775" max="775" width="18.42578125" style="2" customWidth="1"/>
    <col min="776" max="776" width="14.28515625" style="2" customWidth="1"/>
    <col min="777" max="777" width="28.5703125" style="2" customWidth="1"/>
    <col min="778" max="778" width="11.5703125" style="2" customWidth="1"/>
    <col min="779" max="1026" width="9.140625" style="2"/>
    <col min="1027" max="1028" width="14.28515625" style="2" customWidth="1"/>
    <col min="1029" max="1029" width="20.7109375" style="2" customWidth="1"/>
    <col min="1030" max="1030" width="50.7109375" style="2" customWidth="1"/>
    <col min="1031" max="1031" width="18.42578125" style="2" customWidth="1"/>
    <col min="1032" max="1032" width="14.28515625" style="2" customWidth="1"/>
    <col min="1033" max="1033" width="28.5703125" style="2" customWidth="1"/>
    <col min="1034" max="1034" width="11.5703125" style="2" customWidth="1"/>
    <col min="1035" max="1282" width="9.140625" style="2"/>
    <col min="1283" max="1284" width="14.28515625" style="2" customWidth="1"/>
    <col min="1285" max="1285" width="20.7109375" style="2" customWidth="1"/>
    <col min="1286" max="1286" width="50.7109375" style="2" customWidth="1"/>
    <col min="1287" max="1287" width="18.42578125" style="2" customWidth="1"/>
    <col min="1288" max="1288" width="14.28515625" style="2" customWidth="1"/>
    <col min="1289" max="1289" width="28.5703125" style="2" customWidth="1"/>
    <col min="1290" max="1290" width="11.5703125" style="2" customWidth="1"/>
    <col min="1291" max="1538" width="9.140625" style="2"/>
    <col min="1539" max="1540" width="14.28515625" style="2" customWidth="1"/>
    <col min="1541" max="1541" width="20.7109375" style="2" customWidth="1"/>
    <col min="1542" max="1542" width="50.7109375" style="2" customWidth="1"/>
    <col min="1543" max="1543" width="18.42578125" style="2" customWidth="1"/>
    <col min="1544" max="1544" width="14.28515625" style="2" customWidth="1"/>
    <col min="1545" max="1545" width="28.5703125" style="2" customWidth="1"/>
    <col min="1546" max="1546" width="11.5703125" style="2" customWidth="1"/>
    <col min="1547" max="1794" width="9.140625" style="2"/>
    <col min="1795" max="1796" width="14.28515625" style="2" customWidth="1"/>
    <col min="1797" max="1797" width="20.7109375" style="2" customWidth="1"/>
    <col min="1798" max="1798" width="50.7109375" style="2" customWidth="1"/>
    <col min="1799" max="1799" width="18.42578125" style="2" customWidth="1"/>
    <col min="1800" max="1800" width="14.28515625" style="2" customWidth="1"/>
    <col min="1801" max="1801" width="28.5703125" style="2" customWidth="1"/>
    <col min="1802" max="1802" width="11.5703125" style="2" customWidth="1"/>
    <col min="1803" max="2050" width="9.140625" style="2"/>
    <col min="2051" max="2052" width="14.28515625" style="2" customWidth="1"/>
    <col min="2053" max="2053" width="20.7109375" style="2" customWidth="1"/>
    <col min="2054" max="2054" width="50.7109375" style="2" customWidth="1"/>
    <col min="2055" max="2055" width="18.42578125" style="2" customWidth="1"/>
    <col min="2056" max="2056" width="14.28515625" style="2" customWidth="1"/>
    <col min="2057" max="2057" width="28.5703125" style="2" customWidth="1"/>
    <col min="2058" max="2058" width="11.5703125" style="2" customWidth="1"/>
    <col min="2059" max="2306" width="9.140625" style="2"/>
    <col min="2307" max="2308" width="14.28515625" style="2" customWidth="1"/>
    <col min="2309" max="2309" width="20.7109375" style="2" customWidth="1"/>
    <col min="2310" max="2310" width="50.7109375" style="2" customWidth="1"/>
    <col min="2311" max="2311" width="18.42578125" style="2" customWidth="1"/>
    <col min="2312" max="2312" width="14.28515625" style="2" customWidth="1"/>
    <col min="2313" max="2313" width="28.5703125" style="2" customWidth="1"/>
    <col min="2314" max="2314" width="11.5703125" style="2" customWidth="1"/>
    <col min="2315" max="2562" width="9.140625" style="2"/>
    <col min="2563" max="2564" width="14.28515625" style="2" customWidth="1"/>
    <col min="2565" max="2565" width="20.7109375" style="2" customWidth="1"/>
    <col min="2566" max="2566" width="50.7109375" style="2" customWidth="1"/>
    <col min="2567" max="2567" width="18.42578125" style="2" customWidth="1"/>
    <col min="2568" max="2568" width="14.28515625" style="2" customWidth="1"/>
    <col min="2569" max="2569" width="28.5703125" style="2" customWidth="1"/>
    <col min="2570" max="2570" width="11.5703125" style="2" customWidth="1"/>
    <col min="2571" max="2818" width="9.140625" style="2"/>
    <col min="2819" max="2820" width="14.28515625" style="2" customWidth="1"/>
    <col min="2821" max="2821" width="20.7109375" style="2" customWidth="1"/>
    <col min="2822" max="2822" width="50.7109375" style="2" customWidth="1"/>
    <col min="2823" max="2823" width="18.42578125" style="2" customWidth="1"/>
    <col min="2824" max="2824" width="14.28515625" style="2" customWidth="1"/>
    <col min="2825" max="2825" width="28.5703125" style="2" customWidth="1"/>
    <col min="2826" max="2826" width="11.5703125" style="2" customWidth="1"/>
    <col min="2827" max="3074" width="9.140625" style="2"/>
    <col min="3075" max="3076" width="14.28515625" style="2" customWidth="1"/>
    <col min="3077" max="3077" width="20.7109375" style="2" customWidth="1"/>
    <col min="3078" max="3078" width="50.7109375" style="2" customWidth="1"/>
    <col min="3079" max="3079" width="18.42578125" style="2" customWidth="1"/>
    <col min="3080" max="3080" width="14.28515625" style="2" customWidth="1"/>
    <col min="3081" max="3081" width="28.5703125" style="2" customWidth="1"/>
    <col min="3082" max="3082" width="11.5703125" style="2" customWidth="1"/>
    <col min="3083" max="3330" width="9.140625" style="2"/>
    <col min="3331" max="3332" width="14.28515625" style="2" customWidth="1"/>
    <col min="3333" max="3333" width="20.7109375" style="2" customWidth="1"/>
    <col min="3334" max="3334" width="50.7109375" style="2" customWidth="1"/>
    <col min="3335" max="3335" width="18.42578125" style="2" customWidth="1"/>
    <col min="3336" max="3336" width="14.28515625" style="2" customWidth="1"/>
    <col min="3337" max="3337" width="28.5703125" style="2" customWidth="1"/>
    <col min="3338" max="3338" width="11.5703125" style="2" customWidth="1"/>
    <col min="3339" max="3586" width="9.140625" style="2"/>
    <col min="3587" max="3588" width="14.28515625" style="2" customWidth="1"/>
    <col min="3589" max="3589" width="20.7109375" style="2" customWidth="1"/>
    <col min="3590" max="3590" width="50.7109375" style="2" customWidth="1"/>
    <col min="3591" max="3591" width="18.42578125" style="2" customWidth="1"/>
    <col min="3592" max="3592" width="14.28515625" style="2" customWidth="1"/>
    <col min="3593" max="3593" width="28.5703125" style="2" customWidth="1"/>
    <col min="3594" max="3594" width="11.5703125" style="2" customWidth="1"/>
    <col min="3595" max="3842" width="9.140625" style="2"/>
    <col min="3843" max="3844" width="14.28515625" style="2" customWidth="1"/>
    <col min="3845" max="3845" width="20.7109375" style="2" customWidth="1"/>
    <col min="3846" max="3846" width="50.7109375" style="2" customWidth="1"/>
    <col min="3847" max="3847" width="18.42578125" style="2" customWidth="1"/>
    <col min="3848" max="3848" width="14.28515625" style="2" customWidth="1"/>
    <col min="3849" max="3849" width="28.5703125" style="2" customWidth="1"/>
    <col min="3850" max="3850" width="11.5703125" style="2" customWidth="1"/>
    <col min="3851" max="4098" width="9.140625" style="2"/>
    <col min="4099" max="4100" width="14.28515625" style="2" customWidth="1"/>
    <col min="4101" max="4101" width="20.7109375" style="2" customWidth="1"/>
    <col min="4102" max="4102" width="50.7109375" style="2" customWidth="1"/>
    <col min="4103" max="4103" width="18.42578125" style="2" customWidth="1"/>
    <col min="4104" max="4104" width="14.28515625" style="2" customWidth="1"/>
    <col min="4105" max="4105" width="28.5703125" style="2" customWidth="1"/>
    <col min="4106" max="4106" width="11.5703125" style="2" customWidth="1"/>
    <col min="4107" max="4354" width="9.140625" style="2"/>
    <col min="4355" max="4356" width="14.28515625" style="2" customWidth="1"/>
    <col min="4357" max="4357" width="20.7109375" style="2" customWidth="1"/>
    <col min="4358" max="4358" width="50.7109375" style="2" customWidth="1"/>
    <col min="4359" max="4359" width="18.42578125" style="2" customWidth="1"/>
    <col min="4360" max="4360" width="14.28515625" style="2" customWidth="1"/>
    <col min="4361" max="4361" width="28.5703125" style="2" customWidth="1"/>
    <col min="4362" max="4362" width="11.5703125" style="2" customWidth="1"/>
    <col min="4363" max="4610" width="9.140625" style="2"/>
    <col min="4611" max="4612" width="14.28515625" style="2" customWidth="1"/>
    <col min="4613" max="4613" width="20.7109375" style="2" customWidth="1"/>
    <col min="4614" max="4614" width="50.7109375" style="2" customWidth="1"/>
    <col min="4615" max="4615" width="18.42578125" style="2" customWidth="1"/>
    <col min="4616" max="4616" width="14.28515625" style="2" customWidth="1"/>
    <col min="4617" max="4617" width="28.5703125" style="2" customWidth="1"/>
    <col min="4618" max="4618" width="11.5703125" style="2" customWidth="1"/>
    <col min="4619" max="4866" width="9.140625" style="2"/>
    <col min="4867" max="4868" width="14.28515625" style="2" customWidth="1"/>
    <col min="4869" max="4869" width="20.7109375" style="2" customWidth="1"/>
    <col min="4870" max="4870" width="50.7109375" style="2" customWidth="1"/>
    <col min="4871" max="4871" width="18.42578125" style="2" customWidth="1"/>
    <col min="4872" max="4872" width="14.28515625" style="2" customWidth="1"/>
    <col min="4873" max="4873" width="28.5703125" style="2" customWidth="1"/>
    <col min="4874" max="4874" width="11.5703125" style="2" customWidth="1"/>
    <col min="4875" max="5122" width="9.140625" style="2"/>
    <col min="5123" max="5124" width="14.28515625" style="2" customWidth="1"/>
    <col min="5125" max="5125" width="20.7109375" style="2" customWidth="1"/>
    <col min="5126" max="5126" width="50.7109375" style="2" customWidth="1"/>
    <col min="5127" max="5127" width="18.42578125" style="2" customWidth="1"/>
    <col min="5128" max="5128" width="14.28515625" style="2" customWidth="1"/>
    <col min="5129" max="5129" width="28.5703125" style="2" customWidth="1"/>
    <col min="5130" max="5130" width="11.5703125" style="2" customWidth="1"/>
    <col min="5131" max="5378" width="9.140625" style="2"/>
    <col min="5379" max="5380" width="14.28515625" style="2" customWidth="1"/>
    <col min="5381" max="5381" width="20.7109375" style="2" customWidth="1"/>
    <col min="5382" max="5382" width="50.7109375" style="2" customWidth="1"/>
    <col min="5383" max="5383" width="18.42578125" style="2" customWidth="1"/>
    <col min="5384" max="5384" width="14.28515625" style="2" customWidth="1"/>
    <col min="5385" max="5385" width="28.5703125" style="2" customWidth="1"/>
    <col min="5386" max="5386" width="11.5703125" style="2" customWidth="1"/>
    <col min="5387" max="5634" width="9.140625" style="2"/>
    <col min="5635" max="5636" width="14.28515625" style="2" customWidth="1"/>
    <col min="5637" max="5637" width="20.7109375" style="2" customWidth="1"/>
    <col min="5638" max="5638" width="50.7109375" style="2" customWidth="1"/>
    <col min="5639" max="5639" width="18.42578125" style="2" customWidth="1"/>
    <col min="5640" max="5640" width="14.28515625" style="2" customWidth="1"/>
    <col min="5641" max="5641" width="28.5703125" style="2" customWidth="1"/>
    <col min="5642" max="5642" width="11.5703125" style="2" customWidth="1"/>
    <col min="5643" max="5890" width="9.140625" style="2"/>
    <col min="5891" max="5892" width="14.28515625" style="2" customWidth="1"/>
    <col min="5893" max="5893" width="20.7109375" style="2" customWidth="1"/>
    <col min="5894" max="5894" width="50.7109375" style="2" customWidth="1"/>
    <col min="5895" max="5895" width="18.42578125" style="2" customWidth="1"/>
    <col min="5896" max="5896" width="14.28515625" style="2" customWidth="1"/>
    <col min="5897" max="5897" width="28.5703125" style="2" customWidth="1"/>
    <col min="5898" max="5898" width="11.5703125" style="2" customWidth="1"/>
    <col min="5899" max="6146" width="9.140625" style="2"/>
    <col min="6147" max="6148" width="14.28515625" style="2" customWidth="1"/>
    <col min="6149" max="6149" width="20.7109375" style="2" customWidth="1"/>
    <col min="6150" max="6150" width="50.7109375" style="2" customWidth="1"/>
    <col min="6151" max="6151" width="18.42578125" style="2" customWidth="1"/>
    <col min="6152" max="6152" width="14.28515625" style="2" customWidth="1"/>
    <col min="6153" max="6153" width="28.5703125" style="2" customWidth="1"/>
    <col min="6154" max="6154" width="11.5703125" style="2" customWidth="1"/>
    <col min="6155" max="6402" width="9.140625" style="2"/>
    <col min="6403" max="6404" width="14.28515625" style="2" customWidth="1"/>
    <col min="6405" max="6405" width="20.7109375" style="2" customWidth="1"/>
    <col min="6406" max="6406" width="50.7109375" style="2" customWidth="1"/>
    <col min="6407" max="6407" width="18.42578125" style="2" customWidth="1"/>
    <col min="6408" max="6408" width="14.28515625" style="2" customWidth="1"/>
    <col min="6409" max="6409" width="28.5703125" style="2" customWidth="1"/>
    <col min="6410" max="6410" width="11.5703125" style="2" customWidth="1"/>
    <col min="6411" max="6658" width="9.140625" style="2"/>
    <col min="6659" max="6660" width="14.28515625" style="2" customWidth="1"/>
    <col min="6661" max="6661" width="20.7109375" style="2" customWidth="1"/>
    <col min="6662" max="6662" width="50.7109375" style="2" customWidth="1"/>
    <col min="6663" max="6663" width="18.42578125" style="2" customWidth="1"/>
    <col min="6664" max="6664" width="14.28515625" style="2" customWidth="1"/>
    <col min="6665" max="6665" width="28.5703125" style="2" customWidth="1"/>
    <col min="6666" max="6666" width="11.5703125" style="2" customWidth="1"/>
    <col min="6667" max="6914" width="9.140625" style="2"/>
    <col min="6915" max="6916" width="14.28515625" style="2" customWidth="1"/>
    <col min="6917" max="6917" width="20.7109375" style="2" customWidth="1"/>
    <col min="6918" max="6918" width="50.7109375" style="2" customWidth="1"/>
    <col min="6919" max="6919" width="18.42578125" style="2" customWidth="1"/>
    <col min="6920" max="6920" width="14.28515625" style="2" customWidth="1"/>
    <col min="6921" max="6921" width="28.5703125" style="2" customWidth="1"/>
    <col min="6922" max="6922" width="11.5703125" style="2" customWidth="1"/>
    <col min="6923" max="7170" width="9.140625" style="2"/>
    <col min="7171" max="7172" width="14.28515625" style="2" customWidth="1"/>
    <col min="7173" max="7173" width="20.7109375" style="2" customWidth="1"/>
    <col min="7174" max="7174" width="50.7109375" style="2" customWidth="1"/>
    <col min="7175" max="7175" width="18.42578125" style="2" customWidth="1"/>
    <col min="7176" max="7176" width="14.28515625" style="2" customWidth="1"/>
    <col min="7177" max="7177" width="28.5703125" style="2" customWidth="1"/>
    <col min="7178" max="7178" width="11.5703125" style="2" customWidth="1"/>
    <col min="7179" max="7426" width="9.140625" style="2"/>
    <col min="7427" max="7428" width="14.28515625" style="2" customWidth="1"/>
    <col min="7429" max="7429" width="20.7109375" style="2" customWidth="1"/>
    <col min="7430" max="7430" width="50.7109375" style="2" customWidth="1"/>
    <col min="7431" max="7431" width="18.42578125" style="2" customWidth="1"/>
    <col min="7432" max="7432" width="14.28515625" style="2" customWidth="1"/>
    <col min="7433" max="7433" width="28.5703125" style="2" customWidth="1"/>
    <col min="7434" max="7434" width="11.5703125" style="2" customWidth="1"/>
    <col min="7435" max="7682" width="9.140625" style="2"/>
    <col min="7683" max="7684" width="14.28515625" style="2" customWidth="1"/>
    <col min="7685" max="7685" width="20.7109375" style="2" customWidth="1"/>
    <col min="7686" max="7686" width="50.7109375" style="2" customWidth="1"/>
    <col min="7687" max="7687" width="18.42578125" style="2" customWidth="1"/>
    <col min="7688" max="7688" width="14.28515625" style="2" customWidth="1"/>
    <col min="7689" max="7689" width="28.5703125" style="2" customWidth="1"/>
    <col min="7690" max="7690" width="11.5703125" style="2" customWidth="1"/>
    <col min="7691" max="7938" width="9.140625" style="2"/>
    <col min="7939" max="7940" width="14.28515625" style="2" customWidth="1"/>
    <col min="7941" max="7941" width="20.7109375" style="2" customWidth="1"/>
    <col min="7942" max="7942" width="50.7109375" style="2" customWidth="1"/>
    <col min="7943" max="7943" width="18.42578125" style="2" customWidth="1"/>
    <col min="7944" max="7944" width="14.28515625" style="2" customWidth="1"/>
    <col min="7945" max="7945" width="28.5703125" style="2" customWidth="1"/>
    <col min="7946" max="7946" width="11.5703125" style="2" customWidth="1"/>
    <col min="7947" max="8194" width="9.140625" style="2"/>
    <col min="8195" max="8196" width="14.28515625" style="2" customWidth="1"/>
    <col min="8197" max="8197" width="20.7109375" style="2" customWidth="1"/>
    <col min="8198" max="8198" width="50.7109375" style="2" customWidth="1"/>
    <col min="8199" max="8199" width="18.42578125" style="2" customWidth="1"/>
    <col min="8200" max="8200" width="14.28515625" style="2" customWidth="1"/>
    <col min="8201" max="8201" width="28.5703125" style="2" customWidth="1"/>
    <col min="8202" max="8202" width="11.5703125" style="2" customWidth="1"/>
    <col min="8203" max="8450" width="9.140625" style="2"/>
    <col min="8451" max="8452" width="14.28515625" style="2" customWidth="1"/>
    <col min="8453" max="8453" width="20.7109375" style="2" customWidth="1"/>
    <col min="8454" max="8454" width="50.7109375" style="2" customWidth="1"/>
    <col min="8455" max="8455" width="18.42578125" style="2" customWidth="1"/>
    <col min="8456" max="8456" width="14.28515625" style="2" customWidth="1"/>
    <col min="8457" max="8457" width="28.5703125" style="2" customWidth="1"/>
    <col min="8458" max="8458" width="11.5703125" style="2" customWidth="1"/>
    <col min="8459" max="8706" width="9.140625" style="2"/>
    <col min="8707" max="8708" width="14.28515625" style="2" customWidth="1"/>
    <col min="8709" max="8709" width="20.7109375" style="2" customWidth="1"/>
    <col min="8710" max="8710" width="50.7109375" style="2" customWidth="1"/>
    <col min="8711" max="8711" width="18.42578125" style="2" customWidth="1"/>
    <col min="8712" max="8712" width="14.28515625" style="2" customWidth="1"/>
    <col min="8713" max="8713" width="28.5703125" style="2" customWidth="1"/>
    <col min="8714" max="8714" width="11.5703125" style="2" customWidth="1"/>
    <col min="8715" max="8962" width="9.140625" style="2"/>
    <col min="8963" max="8964" width="14.28515625" style="2" customWidth="1"/>
    <col min="8965" max="8965" width="20.7109375" style="2" customWidth="1"/>
    <col min="8966" max="8966" width="50.7109375" style="2" customWidth="1"/>
    <col min="8967" max="8967" width="18.42578125" style="2" customWidth="1"/>
    <col min="8968" max="8968" width="14.28515625" style="2" customWidth="1"/>
    <col min="8969" max="8969" width="28.5703125" style="2" customWidth="1"/>
    <col min="8970" max="8970" width="11.5703125" style="2" customWidth="1"/>
    <col min="8971" max="9218" width="9.140625" style="2"/>
    <col min="9219" max="9220" width="14.28515625" style="2" customWidth="1"/>
    <col min="9221" max="9221" width="20.7109375" style="2" customWidth="1"/>
    <col min="9222" max="9222" width="50.7109375" style="2" customWidth="1"/>
    <col min="9223" max="9223" width="18.42578125" style="2" customWidth="1"/>
    <col min="9224" max="9224" width="14.28515625" style="2" customWidth="1"/>
    <col min="9225" max="9225" width="28.5703125" style="2" customWidth="1"/>
    <col min="9226" max="9226" width="11.5703125" style="2" customWidth="1"/>
    <col min="9227" max="9474" width="9.140625" style="2"/>
    <col min="9475" max="9476" width="14.28515625" style="2" customWidth="1"/>
    <col min="9477" max="9477" width="20.7109375" style="2" customWidth="1"/>
    <col min="9478" max="9478" width="50.7109375" style="2" customWidth="1"/>
    <col min="9479" max="9479" width="18.42578125" style="2" customWidth="1"/>
    <col min="9480" max="9480" width="14.28515625" style="2" customWidth="1"/>
    <col min="9481" max="9481" width="28.5703125" style="2" customWidth="1"/>
    <col min="9482" max="9482" width="11.5703125" style="2" customWidth="1"/>
    <col min="9483" max="9730" width="9.140625" style="2"/>
    <col min="9731" max="9732" width="14.28515625" style="2" customWidth="1"/>
    <col min="9733" max="9733" width="20.7109375" style="2" customWidth="1"/>
    <col min="9734" max="9734" width="50.7109375" style="2" customWidth="1"/>
    <col min="9735" max="9735" width="18.42578125" style="2" customWidth="1"/>
    <col min="9736" max="9736" width="14.28515625" style="2" customWidth="1"/>
    <col min="9737" max="9737" width="28.5703125" style="2" customWidth="1"/>
    <col min="9738" max="9738" width="11.5703125" style="2" customWidth="1"/>
    <col min="9739" max="9986" width="9.140625" style="2"/>
    <col min="9987" max="9988" width="14.28515625" style="2" customWidth="1"/>
    <col min="9989" max="9989" width="20.7109375" style="2" customWidth="1"/>
    <col min="9990" max="9990" width="50.7109375" style="2" customWidth="1"/>
    <col min="9991" max="9991" width="18.42578125" style="2" customWidth="1"/>
    <col min="9992" max="9992" width="14.28515625" style="2" customWidth="1"/>
    <col min="9993" max="9993" width="28.5703125" style="2" customWidth="1"/>
    <col min="9994" max="9994" width="11.5703125" style="2" customWidth="1"/>
    <col min="9995" max="10242" width="9.140625" style="2"/>
    <col min="10243" max="10244" width="14.28515625" style="2" customWidth="1"/>
    <col min="10245" max="10245" width="20.7109375" style="2" customWidth="1"/>
    <col min="10246" max="10246" width="50.7109375" style="2" customWidth="1"/>
    <col min="10247" max="10247" width="18.42578125" style="2" customWidth="1"/>
    <col min="10248" max="10248" width="14.28515625" style="2" customWidth="1"/>
    <col min="10249" max="10249" width="28.5703125" style="2" customWidth="1"/>
    <col min="10250" max="10250" width="11.5703125" style="2" customWidth="1"/>
    <col min="10251" max="10498" width="9.140625" style="2"/>
    <col min="10499" max="10500" width="14.28515625" style="2" customWidth="1"/>
    <col min="10501" max="10501" width="20.7109375" style="2" customWidth="1"/>
    <col min="10502" max="10502" width="50.7109375" style="2" customWidth="1"/>
    <col min="10503" max="10503" width="18.42578125" style="2" customWidth="1"/>
    <col min="10504" max="10504" width="14.28515625" style="2" customWidth="1"/>
    <col min="10505" max="10505" width="28.5703125" style="2" customWidth="1"/>
    <col min="10506" max="10506" width="11.5703125" style="2" customWidth="1"/>
    <col min="10507" max="10754" width="9.140625" style="2"/>
    <col min="10755" max="10756" width="14.28515625" style="2" customWidth="1"/>
    <col min="10757" max="10757" width="20.7109375" style="2" customWidth="1"/>
    <col min="10758" max="10758" width="50.7109375" style="2" customWidth="1"/>
    <col min="10759" max="10759" width="18.42578125" style="2" customWidth="1"/>
    <col min="10760" max="10760" width="14.28515625" style="2" customWidth="1"/>
    <col min="10761" max="10761" width="28.5703125" style="2" customWidth="1"/>
    <col min="10762" max="10762" width="11.5703125" style="2" customWidth="1"/>
    <col min="10763" max="11010" width="9.140625" style="2"/>
    <col min="11011" max="11012" width="14.28515625" style="2" customWidth="1"/>
    <col min="11013" max="11013" width="20.7109375" style="2" customWidth="1"/>
    <col min="11014" max="11014" width="50.7109375" style="2" customWidth="1"/>
    <col min="11015" max="11015" width="18.42578125" style="2" customWidth="1"/>
    <col min="11016" max="11016" width="14.28515625" style="2" customWidth="1"/>
    <col min="11017" max="11017" width="28.5703125" style="2" customWidth="1"/>
    <col min="11018" max="11018" width="11.5703125" style="2" customWidth="1"/>
    <col min="11019" max="11266" width="9.140625" style="2"/>
    <col min="11267" max="11268" width="14.28515625" style="2" customWidth="1"/>
    <col min="11269" max="11269" width="20.7109375" style="2" customWidth="1"/>
    <col min="11270" max="11270" width="50.7109375" style="2" customWidth="1"/>
    <col min="11271" max="11271" width="18.42578125" style="2" customWidth="1"/>
    <col min="11272" max="11272" width="14.28515625" style="2" customWidth="1"/>
    <col min="11273" max="11273" width="28.5703125" style="2" customWidth="1"/>
    <col min="11274" max="11274" width="11.5703125" style="2" customWidth="1"/>
    <col min="11275" max="11522" width="9.140625" style="2"/>
    <col min="11523" max="11524" width="14.28515625" style="2" customWidth="1"/>
    <col min="11525" max="11525" width="20.7109375" style="2" customWidth="1"/>
    <col min="11526" max="11526" width="50.7109375" style="2" customWidth="1"/>
    <col min="11527" max="11527" width="18.42578125" style="2" customWidth="1"/>
    <col min="11528" max="11528" width="14.28515625" style="2" customWidth="1"/>
    <col min="11529" max="11529" width="28.5703125" style="2" customWidth="1"/>
    <col min="11530" max="11530" width="11.5703125" style="2" customWidth="1"/>
    <col min="11531" max="11778" width="9.140625" style="2"/>
    <col min="11779" max="11780" width="14.28515625" style="2" customWidth="1"/>
    <col min="11781" max="11781" width="20.7109375" style="2" customWidth="1"/>
    <col min="11782" max="11782" width="50.7109375" style="2" customWidth="1"/>
    <col min="11783" max="11783" width="18.42578125" style="2" customWidth="1"/>
    <col min="11784" max="11784" width="14.28515625" style="2" customWidth="1"/>
    <col min="11785" max="11785" width="28.5703125" style="2" customWidth="1"/>
    <col min="11786" max="11786" width="11.5703125" style="2" customWidth="1"/>
    <col min="11787" max="12034" width="9.140625" style="2"/>
    <col min="12035" max="12036" width="14.28515625" style="2" customWidth="1"/>
    <col min="12037" max="12037" width="20.7109375" style="2" customWidth="1"/>
    <col min="12038" max="12038" width="50.7109375" style="2" customWidth="1"/>
    <col min="12039" max="12039" width="18.42578125" style="2" customWidth="1"/>
    <col min="12040" max="12040" width="14.28515625" style="2" customWidth="1"/>
    <col min="12041" max="12041" width="28.5703125" style="2" customWidth="1"/>
    <col min="12042" max="12042" width="11.5703125" style="2" customWidth="1"/>
    <col min="12043" max="12290" width="9.140625" style="2"/>
    <col min="12291" max="12292" width="14.28515625" style="2" customWidth="1"/>
    <col min="12293" max="12293" width="20.7109375" style="2" customWidth="1"/>
    <col min="12294" max="12294" width="50.7109375" style="2" customWidth="1"/>
    <col min="12295" max="12295" width="18.42578125" style="2" customWidth="1"/>
    <col min="12296" max="12296" width="14.28515625" style="2" customWidth="1"/>
    <col min="12297" max="12297" width="28.5703125" style="2" customWidth="1"/>
    <col min="12298" max="12298" width="11.5703125" style="2" customWidth="1"/>
    <col min="12299" max="12546" width="9.140625" style="2"/>
    <col min="12547" max="12548" width="14.28515625" style="2" customWidth="1"/>
    <col min="12549" max="12549" width="20.7109375" style="2" customWidth="1"/>
    <col min="12550" max="12550" width="50.7109375" style="2" customWidth="1"/>
    <col min="12551" max="12551" width="18.42578125" style="2" customWidth="1"/>
    <col min="12552" max="12552" width="14.28515625" style="2" customWidth="1"/>
    <col min="12553" max="12553" width="28.5703125" style="2" customWidth="1"/>
    <col min="12554" max="12554" width="11.5703125" style="2" customWidth="1"/>
    <col min="12555" max="12802" width="9.140625" style="2"/>
    <col min="12803" max="12804" width="14.28515625" style="2" customWidth="1"/>
    <col min="12805" max="12805" width="20.7109375" style="2" customWidth="1"/>
    <col min="12806" max="12806" width="50.7109375" style="2" customWidth="1"/>
    <col min="12807" max="12807" width="18.42578125" style="2" customWidth="1"/>
    <col min="12808" max="12808" width="14.28515625" style="2" customWidth="1"/>
    <col min="12809" max="12809" width="28.5703125" style="2" customWidth="1"/>
    <col min="12810" max="12810" width="11.5703125" style="2" customWidth="1"/>
    <col min="12811" max="13058" width="9.140625" style="2"/>
    <col min="13059" max="13060" width="14.28515625" style="2" customWidth="1"/>
    <col min="13061" max="13061" width="20.7109375" style="2" customWidth="1"/>
    <col min="13062" max="13062" width="50.7109375" style="2" customWidth="1"/>
    <col min="13063" max="13063" width="18.42578125" style="2" customWidth="1"/>
    <col min="13064" max="13064" width="14.28515625" style="2" customWidth="1"/>
    <col min="13065" max="13065" width="28.5703125" style="2" customWidth="1"/>
    <col min="13066" max="13066" width="11.5703125" style="2" customWidth="1"/>
    <col min="13067" max="13314" width="9.140625" style="2"/>
    <col min="13315" max="13316" width="14.28515625" style="2" customWidth="1"/>
    <col min="13317" max="13317" width="20.7109375" style="2" customWidth="1"/>
    <col min="13318" max="13318" width="50.7109375" style="2" customWidth="1"/>
    <col min="13319" max="13319" width="18.42578125" style="2" customWidth="1"/>
    <col min="13320" max="13320" width="14.28515625" style="2" customWidth="1"/>
    <col min="13321" max="13321" width="28.5703125" style="2" customWidth="1"/>
    <col min="13322" max="13322" width="11.5703125" style="2" customWidth="1"/>
    <col min="13323" max="13570" width="9.140625" style="2"/>
    <col min="13571" max="13572" width="14.28515625" style="2" customWidth="1"/>
    <col min="13573" max="13573" width="20.7109375" style="2" customWidth="1"/>
    <col min="13574" max="13574" width="50.7109375" style="2" customWidth="1"/>
    <col min="13575" max="13575" width="18.42578125" style="2" customWidth="1"/>
    <col min="13576" max="13576" width="14.28515625" style="2" customWidth="1"/>
    <col min="13577" max="13577" width="28.5703125" style="2" customWidth="1"/>
    <col min="13578" max="13578" width="11.5703125" style="2" customWidth="1"/>
    <col min="13579" max="13826" width="9.140625" style="2"/>
    <col min="13827" max="13828" width="14.28515625" style="2" customWidth="1"/>
    <col min="13829" max="13829" width="20.7109375" style="2" customWidth="1"/>
    <col min="13830" max="13830" width="50.7109375" style="2" customWidth="1"/>
    <col min="13831" max="13831" width="18.42578125" style="2" customWidth="1"/>
    <col min="13832" max="13832" width="14.28515625" style="2" customWidth="1"/>
    <col min="13833" max="13833" width="28.5703125" style="2" customWidth="1"/>
    <col min="13834" max="13834" width="11.5703125" style="2" customWidth="1"/>
    <col min="13835" max="14082" width="9.140625" style="2"/>
    <col min="14083" max="14084" width="14.28515625" style="2" customWidth="1"/>
    <col min="14085" max="14085" width="20.7109375" style="2" customWidth="1"/>
    <col min="14086" max="14086" width="50.7109375" style="2" customWidth="1"/>
    <col min="14087" max="14087" width="18.42578125" style="2" customWidth="1"/>
    <col min="14088" max="14088" width="14.28515625" style="2" customWidth="1"/>
    <col min="14089" max="14089" width="28.5703125" style="2" customWidth="1"/>
    <col min="14090" max="14090" width="11.5703125" style="2" customWidth="1"/>
    <col min="14091" max="14338" width="9.140625" style="2"/>
    <col min="14339" max="14340" width="14.28515625" style="2" customWidth="1"/>
    <col min="14341" max="14341" width="20.7109375" style="2" customWidth="1"/>
    <col min="14342" max="14342" width="50.7109375" style="2" customWidth="1"/>
    <col min="14343" max="14343" width="18.42578125" style="2" customWidth="1"/>
    <col min="14344" max="14344" width="14.28515625" style="2" customWidth="1"/>
    <col min="14345" max="14345" width="28.5703125" style="2" customWidth="1"/>
    <col min="14346" max="14346" width="11.5703125" style="2" customWidth="1"/>
    <col min="14347" max="14594" width="9.140625" style="2"/>
    <col min="14595" max="14596" width="14.28515625" style="2" customWidth="1"/>
    <col min="14597" max="14597" width="20.7109375" style="2" customWidth="1"/>
    <col min="14598" max="14598" width="50.7109375" style="2" customWidth="1"/>
    <col min="14599" max="14599" width="18.42578125" style="2" customWidth="1"/>
    <col min="14600" max="14600" width="14.28515625" style="2" customWidth="1"/>
    <col min="14601" max="14601" width="28.5703125" style="2" customWidth="1"/>
    <col min="14602" max="14602" width="11.5703125" style="2" customWidth="1"/>
    <col min="14603" max="14850" width="9.140625" style="2"/>
    <col min="14851" max="14852" width="14.28515625" style="2" customWidth="1"/>
    <col min="14853" max="14853" width="20.7109375" style="2" customWidth="1"/>
    <col min="14854" max="14854" width="50.7109375" style="2" customWidth="1"/>
    <col min="14855" max="14855" width="18.42578125" style="2" customWidth="1"/>
    <col min="14856" max="14856" width="14.28515625" style="2" customWidth="1"/>
    <col min="14857" max="14857" width="28.5703125" style="2" customWidth="1"/>
    <col min="14858" max="14858" width="11.5703125" style="2" customWidth="1"/>
    <col min="14859" max="15106" width="9.140625" style="2"/>
    <col min="15107" max="15108" width="14.28515625" style="2" customWidth="1"/>
    <col min="15109" max="15109" width="20.7109375" style="2" customWidth="1"/>
    <col min="15110" max="15110" width="50.7109375" style="2" customWidth="1"/>
    <col min="15111" max="15111" width="18.42578125" style="2" customWidth="1"/>
    <col min="15112" max="15112" width="14.28515625" style="2" customWidth="1"/>
    <col min="15113" max="15113" width="28.5703125" style="2" customWidth="1"/>
    <col min="15114" max="15114" width="11.5703125" style="2" customWidth="1"/>
    <col min="15115" max="15362" width="9.140625" style="2"/>
    <col min="15363" max="15364" width="14.28515625" style="2" customWidth="1"/>
    <col min="15365" max="15365" width="20.7109375" style="2" customWidth="1"/>
    <col min="15366" max="15366" width="50.7109375" style="2" customWidth="1"/>
    <col min="15367" max="15367" width="18.42578125" style="2" customWidth="1"/>
    <col min="15368" max="15368" width="14.28515625" style="2" customWidth="1"/>
    <col min="15369" max="15369" width="28.5703125" style="2" customWidth="1"/>
    <col min="15370" max="15370" width="11.5703125" style="2" customWidth="1"/>
    <col min="15371" max="15618" width="9.140625" style="2"/>
    <col min="15619" max="15620" width="14.28515625" style="2" customWidth="1"/>
    <col min="15621" max="15621" width="20.7109375" style="2" customWidth="1"/>
    <col min="15622" max="15622" width="50.7109375" style="2" customWidth="1"/>
    <col min="15623" max="15623" width="18.42578125" style="2" customWidth="1"/>
    <col min="15624" max="15624" width="14.28515625" style="2" customWidth="1"/>
    <col min="15625" max="15625" width="28.5703125" style="2" customWidth="1"/>
    <col min="15626" max="15626" width="11.5703125" style="2" customWidth="1"/>
    <col min="15627" max="15874" width="9.140625" style="2"/>
    <col min="15875" max="15876" width="14.28515625" style="2" customWidth="1"/>
    <col min="15877" max="15877" width="20.7109375" style="2" customWidth="1"/>
    <col min="15878" max="15878" width="50.7109375" style="2" customWidth="1"/>
    <col min="15879" max="15879" width="18.42578125" style="2" customWidth="1"/>
    <col min="15880" max="15880" width="14.28515625" style="2" customWidth="1"/>
    <col min="15881" max="15881" width="28.5703125" style="2" customWidth="1"/>
    <col min="15882" max="15882" width="11.5703125" style="2" customWidth="1"/>
    <col min="15883" max="16130" width="9.140625" style="2"/>
    <col min="16131" max="16132" width="14.28515625" style="2" customWidth="1"/>
    <col min="16133" max="16133" width="20.7109375" style="2" customWidth="1"/>
    <col min="16134" max="16134" width="50.7109375" style="2" customWidth="1"/>
    <col min="16135" max="16135" width="18.42578125" style="2" customWidth="1"/>
    <col min="16136" max="16136" width="14.28515625" style="2" customWidth="1"/>
    <col min="16137" max="16137" width="28.5703125" style="2" customWidth="1"/>
    <col min="16138" max="16138" width="11.5703125" style="2" customWidth="1"/>
    <col min="16139" max="16384" width="9.140625" style="2"/>
  </cols>
  <sheetData>
    <row r="1" spans="1:9" ht="27" customHeight="1">
      <c r="A1" s="110" t="s">
        <v>233</v>
      </c>
      <c r="B1" s="110" t="s">
        <v>234</v>
      </c>
      <c r="C1" s="111" t="s">
        <v>277</v>
      </c>
      <c r="D1" s="111" t="s">
        <v>278</v>
      </c>
      <c r="E1" s="111" t="s">
        <v>279</v>
      </c>
      <c r="F1" s="111" t="s">
        <v>280</v>
      </c>
      <c r="G1" s="111" t="s">
        <v>270</v>
      </c>
    </row>
    <row r="2" spans="1:9">
      <c r="A2" s="318"/>
      <c r="B2" s="382"/>
      <c r="C2" s="377"/>
      <c r="D2" s="378"/>
      <c r="E2" s="379"/>
      <c r="F2" s="380"/>
      <c r="G2" s="381"/>
      <c r="H2" s="109"/>
      <c r="I2" s="109"/>
    </row>
    <row r="3" spans="1:9" s="109" customFormat="1" ht="15.75">
      <c r="A3" s="234"/>
      <c r="B3" s="235"/>
      <c r="C3" s="118"/>
      <c r="D3" s="115"/>
      <c r="E3" s="116"/>
      <c r="F3" s="117"/>
      <c r="G3" s="267">
        <v>0</v>
      </c>
    </row>
    <row r="4" spans="1:9" ht="15.75">
      <c r="A4" s="234"/>
      <c r="B4" s="235"/>
      <c r="C4" s="114"/>
      <c r="D4" s="119"/>
      <c r="E4" s="116"/>
      <c r="F4" s="117"/>
      <c r="G4" s="267">
        <v>0</v>
      </c>
      <c r="H4" s="109"/>
      <c r="I4" s="109"/>
    </row>
    <row r="5" spans="1:9" s="109" customFormat="1" ht="15.75">
      <c r="A5" s="234"/>
      <c r="B5" s="235"/>
      <c r="C5" s="114"/>
      <c r="D5" s="115"/>
      <c r="E5" s="116"/>
      <c r="F5" s="117"/>
      <c r="G5" s="267">
        <v>0</v>
      </c>
    </row>
    <row r="6" spans="1:9" ht="15.75">
      <c r="A6" s="234"/>
      <c r="B6" s="235"/>
      <c r="C6" s="114"/>
      <c r="D6" s="115"/>
      <c r="E6" s="116"/>
      <c r="F6" s="117"/>
      <c r="G6" s="267">
        <v>0</v>
      </c>
      <c r="H6" s="109"/>
      <c r="I6" s="109"/>
    </row>
    <row r="7" spans="1:9" ht="15.75">
      <c r="A7" s="234"/>
      <c r="B7" s="235"/>
      <c r="C7" s="114"/>
      <c r="D7" s="115"/>
      <c r="E7" s="116"/>
      <c r="F7" s="117"/>
      <c r="G7" s="267">
        <v>0</v>
      </c>
      <c r="H7" s="109"/>
      <c r="I7" s="109"/>
    </row>
    <row r="8" spans="1:9" s="109" customFormat="1" ht="15.75">
      <c r="A8" s="234"/>
      <c r="B8" s="235"/>
      <c r="C8" s="114"/>
      <c r="D8" s="115"/>
      <c r="E8" s="116"/>
      <c r="F8" s="117"/>
      <c r="G8" s="267">
        <v>0</v>
      </c>
    </row>
    <row r="9" spans="1:9" s="1" customFormat="1">
      <c r="E9" s="120"/>
    </row>
    <row r="10" spans="1:9" s="1" customFormat="1">
      <c r="E10" s="120"/>
    </row>
    <row r="11" spans="1:9" s="1" customFormat="1">
      <c r="E11" s="120"/>
    </row>
    <row r="12" spans="1:9" s="1" customFormat="1">
      <c r="E12" s="120"/>
    </row>
    <row r="13" spans="1:9" s="1" customFormat="1">
      <c r="E13" s="120"/>
    </row>
    <row r="14" spans="1:9" s="1" customFormat="1">
      <c r="E14" s="120"/>
    </row>
    <row r="15" spans="1:9" s="1" customFormat="1">
      <c r="E15" s="120"/>
    </row>
    <row r="16" spans="1:9" s="1" customFormat="1">
      <c r="E16" s="120"/>
    </row>
    <row r="17" spans="5:5" s="1" customFormat="1">
      <c r="E17" s="120"/>
    </row>
    <row r="18" spans="5:5" s="1" customFormat="1">
      <c r="E18" s="120"/>
    </row>
    <row r="19" spans="5:5" s="1" customFormat="1">
      <c r="E19" s="120"/>
    </row>
    <row r="20" spans="5:5" s="1" customFormat="1">
      <c r="E20" s="120"/>
    </row>
    <row r="21" spans="5:5" s="1" customFormat="1">
      <c r="E21" s="120"/>
    </row>
    <row r="22" spans="5:5" s="1" customFormat="1">
      <c r="E22" s="120"/>
    </row>
    <row r="23" spans="5:5" s="1" customFormat="1">
      <c r="E23" s="120"/>
    </row>
    <row r="24" spans="5:5" s="1" customFormat="1">
      <c r="E24" s="120"/>
    </row>
    <row r="25" spans="5:5" s="1" customFormat="1">
      <c r="E25" s="120"/>
    </row>
    <row r="26" spans="5:5" s="1" customFormat="1">
      <c r="E26" s="120"/>
    </row>
    <row r="27" spans="5:5" s="1" customFormat="1">
      <c r="E27" s="120"/>
    </row>
    <row r="28" spans="5:5" s="1" customFormat="1">
      <c r="E28" s="120"/>
    </row>
    <row r="29" spans="5:5" s="1" customFormat="1">
      <c r="E29" s="120"/>
    </row>
    <row r="30" spans="5:5" s="1" customFormat="1">
      <c r="E30" s="120"/>
    </row>
    <row r="31" spans="5:5" s="1" customFormat="1">
      <c r="E31" s="120"/>
    </row>
    <row r="32" spans="5:5" s="1" customFormat="1">
      <c r="E32" s="120"/>
    </row>
    <row r="33" spans="5:5" s="1" customFormat="1">
      <c r="E33" s="120"/>
    </row>
    <row r="34" spans="5:5" s="1" customFormat="1">
      <c r="E34" s="120"/>
    </row>
    <row r="35" spans="5:5" s="1" customFormat="1">
      <c r="E35" s="120"/>
    </row>
    <row r="36" spans="5:5" s="1" customFormat="1">
      <c r="E36" s="120"/>
    </row>
    <row r="37" spans="5:5" s="1" customFormat="1">
      <c r="E37" s="120"/>
    </row>
    <row r="38" spans="5:5" s="1" customFormat="1">
      <c r="E38" s="120"/>
    </row>
    <row r="39" spans="5:5" s="1" customFormat="1">
      <c r="E39" s="120"/>
    </row>
    <row r="40" spans="5:5" s="1" customFormat="1">
      <c r="E40" s="120"/>
    </row>
    <row r="41" spans="5:5" s="1" customFormat="1">
      <c r="E41" s="120"/>
    </row>
    <row r="42" spans="5:5" s="1" customFormat="1">
      <c r="E42" s="120"/>
    </row>
    <row r="43" spans="5:5" s="1" customFormat="1">
      <c r="E43" s="120"/>
    </row>
    <row r="44" spans="5:5" s="1" customFormat="1">
      <c r="E44" s="120"/>
    </row>
    <row r="45" spans="5:5" s="1" customFormat="1">
      <c r="E45" s="120"/>
    </row>
    <row r="46" spans="5:5" s="1" customFormat="1">
      <c r="E46" s="120"/>
    </row>
    <row r="47" spans="5:5" s="1" customFormat="1">
      <c r="E47" s="120"/>
    </row>
    <row r="48" spans="5:5" s="1" customFormat="1">
      <c r="E48" s="120"/>
    </row>
    <row r="49" spans="5:5" s="1" customFormat="1">
      <c r="E49" s="120"/>
    </row>
    <row r="50" spans="5:5" s="1" customFormat="1">
      <c r="E50" s="120"/>
    </row>
    <row r="51" spans="5:5" s="1" customFormat="1">
      <c r="E51" s="120"/>
    </row>
    <row r="52" spans="5:5" s="1" customFormat="1">
      <c r="E52" s="120"/>
    </row>
    <row r="53" spans="5:5" s="1" customFormat="1">
      <c r="E53" s="120"/>
    </row>
    <row r="54" spans="5:5" s="1" customFormat="1">
      <c r="E54" s="120"/>
    </row>
    <row r="55" spans="5:5" s="1" customFormat="1">
      <c r="E55" s="120"/>
    </row>
    <row r="56" spans="5:5" s="1" customFormat="1">
      <c r="E56" s="120"/>
    </row>
    <row r="57" spans="5:5" s="1" customFormat="1">
      <c r="E57" s="120"/>
    </row>
    <row r="58" spans="5:5" s="1" customFormat="1">
      <c r="E58" s="120"/>
    </row>
    <row r="59" spans="5:5" s="1" customFormat="1">
      <c r="E59" s="120"/>
    </row>
    <row r="60" spans="5:5" s="1" customFormat="1">
      <c r="E60" s="120"/>
    </row>
    <row r="61" spans="5:5" s="1" customFormat="1">
      <c r="E61" s="120"/>
    </row>
    <row r="62" spans="5:5" s="1" customFormat="1">
      <c r="E62" s="120"/>
    </row>
    <row r="63" spans="5:5" s="1" customFormat="1">
      <c r="E63" s="120"/>
    </row>
    <row r="64" spans="5:5" s="1" customFormat="1">
      <c r="E64" s="120"/>
    </row>
    <row r="65" spans="5:5" s="1" customFormat="1">
      <c r="E65" s="120"/>
    </row>
    <row r="66" spans="5:5" s="1" customFormat="1">
      <c r="E66" s="120"/>
    </row>
    <row r="67" spans="5:5" s="1" customFormat="1">
      <c r="E67" s="120"/>
    </row>
    <row r="68" spans="5:5" s="1" customFormat="1">
      <c r="E68" s="120"/>
    </row>
    <row r="69" spans="5:5" s="1" customFormat="1">
      <c r="E69" s="120"/>
    </row>
    <row r="70" spans="5:5" s="1" customFormat="1">
      <c r="E70" s="120"/>
    </row>
    <row r="71" spans="5:5" s="1" customFormat="1">
      <c r="E71" s="120"/>
    </row>
    <row r="72" spans="5:5" s="1" customFormat="1">
      <c r="E72" s="120"/>
    </row>
    <row r="73" spans="5:5" s="1" customFormat="1">
      <c r="E73" s="120"/>
    </row>
    <row r="74" spans="5:5" s="1" customFormat="1">
      <c r="E74" s="120"/>
    </row>
    <row r="75" spans="5:5" s="1" customFormat="1">
      <c r="E75" s="120"/>
    </row>
    <row r="76" spans="5:5" s="1" customFormat="1">
      <c r="E76" s="120"/>
    </row>
    <row r="77" spans="5:5" s="1" customFormat="1">
      <c r="E77" s="120"/>
    </row>
    <row r="78" spans="5:5" s="1" customFormat="1">
      <c r="E78" s="120"/>
    </row>
    <row r="79" spans="5:5" s="1" customFormat="1">
      <c r="E79" s="120"/>
    </row>
    <row r="80" spans="5:5" s="1" customFormat="1">
      <c r="E80" s="120"/>
    </row>
    <row r="81" spans="5:5" s="1" customFormat="1">
      <c r="E81" s="120"/>
    </row>
    <row r="82" spans="5:5" s="1" customFormat="1">
      <c r="E82" s="120"/>
    </row>
    <row r="83" spans="5:5" s="1" customFormat="1">
      <c r="E83" s="120"/>
    </row>
    <row r="84" spans="5:5" s="1" customFormat="1">
      <c r="E84" s="120"/>
    </row>
    <row r="85" spans="5:5" s="1" customFormat="1">
      <c r="E85" s="120"/>
    </row>
    <row r="86" spans="5:5" s="1" customFormat="1">
      <c r="E86" s="120"/>
    </row>
    <row r="87" spans="5:5" s="1" customFormat="1">
      <c r="E87" s="120"/>
    </row>
    <row r="88" spans="5:5" s="1" customFormat="1">
      <c r="E88" s="120"/>
    </row>
    <row r="89" spans="5:5" s="1" customFormat="1">
      <c r="E89" s="120"/>
    </row>
    <row r="90" spans="5:5" s="1" customFormat="1">
      <c r="E90" s="120"/>
    </row>
    <row r="91" spans="5:5" s="1" customFormat="1">
      <c r="E91" s="120"/>
    </row>
    <row r="92" spans="5:5" s="1" customFormat="1">
      <c r="E92" s="120"/>
    </row>
    <row r="93" spans="5:5" s="1" customFormat="1">
      <c r="E93" s="120"/>
    </row>
    <row r="94" spans="5:5" s="1" customFormat="1">
      <c r="E94" s="120"/>
    </row>
    <row r="95" spans="5:5" s="1" customFormat="1">
      <c r="E95" s="120"/>
    </row>
    <row r="96" spans="5:5" s="1" customFormat="1">
      <c r="E96" s="120"/>
    </row>
    <row r="97" spans="5:5" s="1" customFormat="1">
      <c r="E97" s="120"/>
    </row>
    <row r="98" spans="5:5" s="1" customFormat="1">
      <c r="E98" s="120"/>
    </row>
    <row r="99" spans="5:5" s="1" customFormat="1">
      <c r="E99" s="120"/>
    </row>
    <row r="100" spans="5:5" s="1" customFormat="1">
      <c r="E100" s="120"/>
    </row>
    <row r="101" spans="5:5" s="1" customFormat="1">
      <c r="E101" s="120"/>
    </row>
    <row r="102" spans="5:5" s="1" customFormat="1">
      <c r="E102" s="120"/>
    </row>
    <row r="103" spans="5:5" s="1" customFormat="1">
      <c r="E103" s="120"/>
    </row>
    <row r="104" spans="5:5" s="1" customFormat="1">
      <c r="E104" s="120"/>
    </row>
    <row r="105" spans="5:5" s="1" customFormat="1">
      <c r="E105" s="120"/>
    </row>
    <row r="106" spans="5:5" s="1" customFormat="1">
      <c r="E106" s="120"/>
    </row>
    <row r="107" spans="5:5" s="1" customFormat="1">
      <c r="E107" s="120"/>
    </row>
    <row r="108" spans="5:5" s="1" customFormat="1">
      <c r="E108" s="120"/>
    </row>
    <row r="109" spans="5:5" s="1" customFormat="1">
      <c r="E109" s="120"/>
    </row>
    <row r="110" spans="5:5" s="1" customFormat="1">
      <c r="E110" s="120"/>
    </row>
    <row r="111" spans="5:5" s="1" customFormat="1">
      <c r="E111" s="120"/>
    </row>
    <row r="112" spans="5:5" s="1" customFormat="1">
      <c r="E112" s="120"/>
    </row>
    <row r="113" spans="5:5" s="1" customFormat="1">
      <c r="E113" s="120"/>
    </row>
    <row r="114" spans="5:5" s="1" customFormat="1">
      <c r="E114" s="120"/>
    </row>
    <row r="115" spans="5:5" s="1" customFormat="1">
      <c r="E115" s="120"/>
    </row>
    <row r="116" spans="5:5" s="1" customFormat="1">
      <c r="E116" s="120"/>
    </row>
    <row r="117" spans="5:5" s="1" customFormat="1">
      <c r="E117" s="120"/>
    </row>
    <row r="118" spans="5:5" s="1" customFormat="1">
      <c r="E118" s="120"/>
    </row>
    <row r="119" spans="5:5" s="1" customFormat="1">
      <c r="E119" s="120"/>
    </row>
  </sheetData>
  <protectedRanges>
    <protectedRange sqref="C8:F8 C3:F3 C4:F5 C6:F7" name="Intervalo2_1"/>
    <protectedRange sqref="B3:B8" name="Intervalo2"/>
    <protectedRange sqref="A3:A8" name="Intervalo2_2"/>
    <protectedRange sqref="C2:F2" name="Intervalo2_1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5" orientation="landscape" horizontalDpi="4294967294" verticalDpi="4294967294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78"/>
  <sheetViews>
    <sheetView topLeftCell="E1" workbookViewId="0">
      <selection activeCell="I62" sqref="I62"/>
    </sheetView>
  </sheetViews>
  <sheetFormatPr defaultRowHeight="15"/>
  <cols>
    <col min="1" max="1" width="18.140625" customWidth="1"/>
    <col min="2" max="2" width="57.5703125" bestFit="1" customWidth="1"/>
    <col min="3" max="3" width="19" customWidth="1"/>
    <col min="4" max="4" width="58.7109375" bestFit="1" customWidth="1"/>
    <col min="5" max="5" width="51.28515625" customWidth="1"/>
    <col min="6" max="6" width="14.5703125" customWidth="1"/>
    <col min="7" max="7" width="11.5703125" customWidth="1"/>
    <col min="8" max="8" width="14.140625" customWidth="1"/>
    <col min="9" max="9" width="83.85546875" customWidth="1"/>
  </cols>
  <sheetData>
    <row r="1" spans="1:10" ht="31.5">
      <c r="A1" s="383" t="s">
        <v>233</v>
      </c>
      <c r="B1" s="383" t="s">
        <v>234</v>
      </c>
      <c r="C1" s="384" t="s">
        <v>281</v>
      </c>
      <c r="D1" s="384" t="s">
        <v>282</v>
      </c>
      <c r="E1" s="384" t="s">
        <v>283</v>
      </c>
      <c r="F1" s="384" t="s">
        <v>284</v>
      </c>
      <c r="G1" s="384" t="s">
        <v>285</v>
      </c>
      <c r="H1" s="384" t="s">
        <v>286</v>
      </c>
      <c r="I1" s="384" t="s">
        <v>287</v>
      </c>
    </row>
    <row r="2" spans="1:10" ht="24" customHeight="1">
      <c r="A2" s="321" t="s">
        <v>462</v>
      </c>
      <c r="B2" s="385" t="s">
        <v>480</v>
      </c>
      <c r="C2" s="386">
        <v>69034668000156</v>
      </c>
      <c r="D2" s="387" t="s">
        <v>497</v>
      </c>
      <c r="E2" s="388" t="s">
        <v>498</v>
      </c>
      <c r="F2" s="389">
        <v>43280</v>
      </c>
      <c r="G2" s="385"/>
      <c r="H2" s="390">
        <v>0</v>
      </c>
      <c r="I2" s="391" t="s">
        <v>499</v>
      </c>
      <c r="J2" s="109"/>
    </row>
    <row r="3" spans="1:10">
      <c r="A3" s="321" t="s">
        <v>462</v>
      </c>
      <c r="B3" s="322" t="s">
        <v>480</v>
      </c>
      <c r="C3" s="392">
        <v>11844663000109</v>
      </c>
      <c r="D3" s="393" t="s">
        <v>491</v>
      </c>
      <c r="E3" s="394" t="s">
        <v>500</v>
      </c>
      <c r="F3" s="395">
        <v>43049</v>
      </c>
      <c r="G3" s="396"/>
      <c r="H3" s="397">
        <v>1400</v>
      </c>
      <c r="I3" s="398" t="s">
        <v>501</v>
      </c>
    </row>
    <row r="4" spans="1:10" ht="26.25" customHeight="1">
      <c r="A4" s="321" t="s">
        <v>462</v>
      </c>
      <c r="B4" s="322" t="s">
        <v>480</v>
      </c>
      <c r="C4" s="399">
        <v>33000118000179</v>
      </c>
      <c r="D4" s="393" t="s">
        <v>502</v>
      </c>
      <c r="E4" s="400" t="s">
        <v>503</v>
      </c>
      <c r="F4" s="401" t="s">
        <v>504</v>
      </c>
      <c r="G4" s="396"/>
      <c r="H4" s="402">
        <v>0</v>
      </c>
      <c r="I4" s="403" t="s">
        <v>505</v>
      </c>
      <c r="J4" s="109"/>
    </row>
    <row r="5" spans="1:10">
      <c r="A5" s="321" t="s">
        <v>462</v>
      </c>
      <c r="B5" s="385" t="s">
        <v>480</v>
      </c>
      <c r="C5" s="323" t="s">
        <v>506</v>
      </c>
      <c r="D5" s="387" t="s">
        <v>507</v>
      </c>
      <c r="E5" s="404" t="s">
        <v>508</v>
      </c>
      <c r="F5" s="405">
        <v>43060</v>
      </c>
      <c r="G5" s="385"/>
      <c r="H5" s="406">
        <v>1940</v>
      </c>
      <c r="I5" s="407" t="s">
        <v>509</v>
      </c>
    </row>
    <row r="6" spans="1:10">
      <c r="A6" s="321" t="s">
        <v>462</v>
      </c>
      <c r="B6" s="385" t="s">
        <v>480</v>
      </c>
      <c r="C6" s="408">
        <v>19533734000164</v>
      </c>
      <c r="D6" s="387" t="s">
        <v>510</v>
      </c>
      <c r="E6" s="404" t="s">
        <v>511</v>
      </c>
      <c r="F6" s="405">
        <v>43041</v>
      </c>
      <c r="G6" s="385"/>
      <c r="H6" s="406">
        <v>1500</v>
      </c>
      <c r="I6" s="407" t="s">
        <v>512</v>
      </c>
      <c r="J6" s="109"/>
    </row>
    <row r="7" spans="1:10">
      <c r="A7" s="321" t="s">
        <v>462</v>
      </c>
      <c r="B7" s="385" t="s">
        <v>480</v>
      </c>
      <c r="C7" s="323" t="s">
        <v>513</v>
      </c>
      <c r="D7" s="387" t="s">
        <v>514</v>
      </c>
      <c r="E7" s="404" t="s">
        <v>515</v>
      </c>
      <c r="F7" s="405">
        <v>43041</v>
      </c>
      <c r="G7" s="385"/>
      <c r="H7" s="406">
        <v>3617.46</v>
      </c>
      <c r="I7" s="407" t="s">
        <v>516</v>
      </c>
      <c r="J7" s="109"/>
    </row>
    <row r="8" spans="1:10" ht="18.75" customHeight="1">
      <c r="A8" s="321" t="s">
        <v>462</v>
      </c>
      <c r="B8" s="385" t="s">
        <v>480</v>
      </c>
      <c r="C8" s="409" t="s">
        <v>517</v>
      </c>
      <c r="D8" s="387" t="s">
        <v>518</v>
      </c>
      <c r="E8" s="388" t="s">
        <v>515</v>
      </c>
      <c r="F8" s="410" t="s">
        <v>519</v>
      </c>
      <c r="G8" s="411"/>
      <c r="H8" s="390">
        <v>0</v>
      </c>
      <c r="I8" s="391" t="s">
        <v>520</v>
      </c>
    </row>
    <row r="9" spans="1:10" ht="20.25" customHeight="1">
      <c r="A9" s="321" t="s">
        <v>462</v>
      </c>
      <c r="B9" s="385" t="s">
        <v>480</v>
      </c>
      <c r="C9" s="392">
        <v>28856931000105</v>
      </c>
      <c r="D9" s="412" t="s">
        <v>521</v>
      </c>
      <c r="E9" s="388" t="s">
        <v>522</v>
      </c>
      <c r="F9" s="413">
        <v>43466</v>
      </c>
      <c r="G9" s="385"/>
      <c r="H9" s="414">
        <v>0</v>
      </c>
      <c r="I9" s="391" t="s">
        <v>523</v>
      </c>
      <c r="J9" s="109"/>
    </row>
    <row r="10" spans="1:10" ht="15" customHeight="1">
      <c r="A10" s="321" t="s">
        <v>462</v>
      </c>
      <c r="B10" s="385" t="s">
        <v>480</v>
      </c>
      <c r="C10" s="392">
        <v>34153050000120</v>
      </c>
      <c r="D10" s="412" t="s">
        <v>524</v>
      </c>
      <c r="E10" s="388" t="s">
        <v>522</v>
      </c>
      <c r="F10" s="410" t="s">
        <v>525</v>
      </c>
      <c r="G10" s="385"/>
      <c r="H10" s="414">
        <v>0</v>
      </c>
      <c r="I10" s="391" t="s">
        <v>526</v>
      </c>
      <c r="J10" s="109"/>
    </row>
    <row r="11" spans="1:10" ht="18" customHeight="1">
      <c r="A11" s="321" t="s">
        <v>462</v>
      </c>
      <c r="B11" s="385" t="s">
        <v>480</v>
      </c>
      <c r="C11" s="415">
        <v>19968162000146</v>
      </c>
      <c r="D11" s="416" t="s">
        <v>527</v>
      </c>
      <c r="E11" s="388" t="s">
        <v>522</v>
      </c>
      <c r="F11" s="405">
        <v>43647</v>
      </c>
      <c r="G11" s="385"/>
      <c r="H11" s="414">
        <v>0</v>
      </c>
      <c r="I11" s="407" t="s">
        <v>528</v>
      </c>
    </row>
    <row r="12" spans="1:10" ht="24.75" customHeight="1">
      <c r="A12" s="321" t="s">
        <v>462</v>
      </c>
      <c r="B12" s="385" t="s">
        <v>480</v>
      </c>
      <c r="C12" s="417">
        <v>33018758000106</v>
      </c>
      <c r="D12" s="412" t="s">
        <v>529</v>
      </c>
      <c r="E12" s="388" t="s">
        <v>522</v>
      </c>
      <c r="F12" s="405">
        <v>43466</v>
      </c>
      <c r="G12" s="385"/>
      <c r="H12" s="414">
        <v>0</v>
      </c>
      <c r="I12" s="391" t="s">
        <v>530</v>
      </c>
      <c r="J12" s="109"/>
    </row>
    <row r="13" spans="1:10" ht="18" customHeight="1">
      <c r="A13" s="321" t="s">
        <v>462</v>
      </c>
      <c r="B13" s="385" t="s">
        <v>480</v>
      </c>
      <c r="C13" s="392">
        <v>33010290000103</v>
      </c>
      <c r="D13" s="412" t="s">
        <v>531</v>
      </c>
      <c r="E13" s="388" t="s">
        <v>522</v>
      </c>
      <c r="F13" s="405">
        <v>43466</v>
      </c>
      <c r="G13" s="385"/>
      <c r="H13" s="414">
        <v>0</v>
      </c>
      <c r="I13" s="391" t="s">
        <v>532</v>
      </c>
      <c r="J13" s="109"/>
    </row>
    <row r="14" spans="1:10" ht="21.75" customHeight="1">
      <c r="A14" s="321" t="s">
        <v>462</v>
      </c>
      <c r="B14" s="385" t="s">
        <v>480</v>
      </c>
      <c r="C14" s="418">
        <v>33649970000171</v>
      </c>
      <c r="D14" s="412" t="s">
        <v>533</v>
      </c>
      <c r="E14" s="388" t="s">
        <v>522</v>
      </c>
      <c r="F14" s="410" t="s">
        <v>534</v>
      </c>
      <c r="G14" s="385"/>
      <c r="H14" s="414">
        <v>0</v>
      </c>
      <c r="I14" s="391" t="s">
        <v>535</v>
      </c>
      <c r="J14" s="109"/>
    </row>
    <row r="15" spans="1:10" ht="29.25" customHeight="1">
      <c r="A15" s="321" t="s">
        <v>462</v>
      </c>
      <c r="B15" s="385" t="s">
        <v>480</v>
      </c>
      <c r="C15" s="418">
        <v>32139082000146</v>
      </c>
      <c r="D15" s="412" t="s">
        <v>536</v>
      </c>
      <c r="E15" s="388" t="s">
        <v>522</v>
      </c>
      <c r="F15" s="410" t="s">
        <v>537</v>
      </c>
      <c r="G15" s="385"/>
      <c r="H15" s="414">
        <v>0</v>
      </c>
      <c r="I15" s="391" t="s">
        <v>538</v>
      </c>
      <c r="J15" s="109"/>
    </row>
    <row r="16" spans="1:10" ht="26.25" customHeight="1">
      <c r="A16" s="321" t="s">
        <v>462</v>
      </c>
      <c r="B16" s="385" t="s">
        <v>480</v>
      </c>
      <c r="C16" s="392">
        <v>32754834000189</v>
      </c>
      <c r="D16" s="412" t="s">
        <v>539</v>
      </c>
      <c r="E16" s="388" t="s">
        <v>522</v>
      </c>
      <c r="F16" s="410" t="s">
        <v>540</v>
      </c>
      <c r="G16" s="385"/>
      <c r="H16" s="414">
        <v>0</v>
      </c>
      <c r="I16" s="391" t="s">
        <v>541</v>
      </c>
      <c r="J16" s="109"/>
    </row>
    <row r="17" spans="1:10" ht="25.5" customHeight="1">
      <c r="A17" s="321" t="s">
        <v>462</v>
      </c>
      <c r="B17" s="385" t="s">
        <v>480</v>
      </c>
      <c r="C17" s="392">
        <v>32519491000178</v>
      </c>
      <c r="D17" s="412" t="s">
        <v>542</v>
      </c>
      <c r="E17" s="388" t="s">
        <v>522</v>
      </c>
      <c r="F17" s="410" t="s">
        <v>543</v>
      </c>
      <c r="G17" s="385"/>
      <c r="H17" s="414">
        <v>0</v>
      </c>
      <c r="I17" s="391" t="s">
        <v>544</v>
      </c>
      <c r="J17" s="109"/>
    </row>
    <row r="18" spans="1:10">
      <c r="A18" s="321" t="s">
        <v>462</v>
      </c>
      <c r="B18" s="385" t="s">
        <v>480</v>
      </c>
      <c r="C18" s="415">
        <v>19968162000146</v>
      </c>
      <c r="D18" s="412" t="s">
        <v>527</v>
      </c>
      <c r="E18" s="404" t="s">
        <v>545</v>
      </c>
      <c r="F18" s="405">
        <v>43647</v>
      </c>
      <c r="G18" s="385"/>
      <c r="H18" s="406">
        <v>1650.58</v>
      </c>
      <c r="I18" s="407" t="s">
        <v>546</v>
      </c>
    </row>
    <row r="19" spans="1:10" ht="20.25" customHeight="1">
      <c r="A19" s="321" t="s">
        <v>462</v>
      </c>
      <c r="B19" s="385" t="s">
        <v>480</v>
      </c>
      <c r="C19" s="418">
        <v>31175413000130</v>
      </c>
      <c r="D19" s="412" t="s">
        <v>547</v>
      </c>
      <c r="E19" s="388" t="s">
        <v>522</v>
      </c>
      <c r="F19" s="410" t="s">
        <v>537</v>
      </c>
      <c r="G19" s="385"/>
      <c r="H19" s="414">
        <v>0</v>
      </c>
      <c r="I19" s="391" t="s">
        <v>548</v>
      </c>
    </row>
    <row r="20" spans="1:10" ht="18" customHeight="1">
      <c r="A20" s="321" t="s">
        <v>462</v>
      </c>
      <c r="B20" s="385" t="s">
        <v>480</v>
      </c>
      <c r="C20" s="392">
        <v>30059564000160</v>
      </c>
      <c r="D20" s="412" t="s">
        <v>549</v>
      </c>
      <c r="E20" s="388" t="s">
        <v>522</v>
      </c>
      <c r="F20" s="410" t="s">
        <v>550</v>
      </c>
      <c r="G20" s="385"/>
      <c r="H20" s="414">
        <v>0</v>
      </c>
      <c r="I20" s="391" t="s">
        <v>551</v>
      </c>
      <c r="J20" s="109"/>
    </row>
    <row r="21" spans="1:10" ht="21.75" customHeight="1">
      <c r="A21" s="321" t="s">
        <v>462</v>
      </c>
      <c r="B21" s="385" t="s">
        <v>480</v>
      </c>
      <c r="C21" s="392">
        <v>33374970000106</v>
      </c>
      <c r="D21" s="412" t="s">
        <v>552</v>
      </c>
      <c r="E21" s="388" t="s">
        <v>522</v>
      </c>
      <c r="F21" s="410" t="s">
        <v>553</v>
      </c>
      <c r="G21" s="385"/>
      <c r="H21" s="414">
        <v>0</v>
      </c>
      <c r="I21" s="391" t="s">
        <v>554</v>
      </c>
      <c r="J21" s="109"/>
    </row>
    <row r="22" spans="1:10" ht="20.25" customHeight="1">
      <c r="A22" s="321" t="s">
        <v>462</v>
      </c>
      <c r="B22" s="385" t="s">
        <v>480</v>
      </c>
      <c r="C22" s="392">
        <v>34293461000111</v>
      </c>
      <c r="D22" s="412" t="s">
        <v>555</v>
      </c>
      <c r="E22" s="388" t="s">
        <v>522</v>
      </c>
      <c r="F22" s="410" t="s">
        <v>534</v>
      </c>
      <c r="G22" s="385"/>
      <c r="H22" s="414">
        <v>0</v>
      </c>
      <c r="I22" s="391" t="s">
        <v>556</v>
      </c>
      <c r="J22" s="109"/>
    </row>
    <row r="23" spans="1:10">
      <c r="A23" s="321" t="s">
        <v>462</v>
      </c>
      <c r="B23" s="385" t="s">
        <v>480</v>
      </c>
      <c r="C23" s="408">
        <v>24261778000112</v>
      </c>
      <c r="D23" s="387" t="s">
        <v>557</v>
      </c>
      <c r="E23" s="404" t="s">
        <v>558</v>
      </c>
      <c r="F23" s="405">
        <v>43285</v>
      </c>
      <c r="G23" s="385"/>
      <c r="H23" s="406">
        <v>0</v>
      </c>
      <c r="I23" s="407" t="s">
        <v>559</v>
      </c>
    </row>
    <row r="24" spans="1:10">
      <c r="A24" s="321" t="s">
        <v>462</v>
      </c>
      <c r="B24" s="385" t="s">
        <v>480</v>
      </c>
      <c r="C24" s="408">
        <v>30645960000170</v>
      </c>
      <c r="D24" s="387" t="s">
        <v>560</v>
      </c>
      <c r="E24" s="404" t="s">
        <v>498</v>
      </c>
      <c r="F24" s="405">
        <v>43788</v>
      </c>
      <c r="G24" s="385"/>
      <c r="H24" s="406">
        <v>0</v>
      </c>
      <c r="I24" s="407" t="s">
        <v>561</v>
      </c>
    </row>
    <row r="25" spans="1:10">
      <c r="A25" s="321" t="s">
        <v>462</v>
      </c>
      <c r="B25" s="385" t="s">
        <v>480</v>
      </c>
      <c r="C25" s="408">
        <v>18244189000123</v>
      </c>
      <c r="D25" s="387" t="s">
        <v>562</v>
      </c>
      <c r="E25" s="404" t="s">
        <v>563</v>
      </c>
      <c r="F25" s="405">
        <v>43282</v>
      </c>
      <c r="G25" s="385"/>
      <c r="H25" s="406">
        <v>22000</v>
      </c>
      <c r="I25" s="407" t="s">
        <v>564</v>
      </c>
      <c r="J25" s="109"/>
    </row>
    <row r="26" spans="1:10">
      <c r="A26" s="321" t="s">
        <v>462</v>
      </c>
      <c r="B26" s="385" t="s">
        <v>480</v>
      </c>
      <c r="C26" s="408">
        <v>27837083000124</v>
      </c>
      <c r="D26" s="387" t="s">
        <v>565</v>
      </c>
      <c r="E26" s="404" t="s">
        <v>566</v>
      </c>
      <c r="F26" s="405">
        <v>43831</v>
      </c>
      <c r="G26" s="385"/>
      <c r="H26" s="406">
        <v>3000</v>
      </c>
      <c r="I26" s="407" t="s">
        <v>567</v>
      </c>
    </row>
    <row r="27" spans="1:10">
      <c r="A27" s="321" t="s">
        <v>462</v>
      </c>
      <c r="B27" s="385" t="s">
        <v>480</v>
      </c>
      <c r="C27" s="408">
        <v>11863530000180</v>
      </c>
      <c r="D27" s="387" t="s">
        <v>568</v>
      </c>
      <c r="E27" s="404" t="s">
        <v>569</v>
      </c>
      <c r="F27" s="405">
        <v>43041</v>
      </c>
      <c r="G27" s="385"/>
      <c r="H27" s="406">
        <v>0</v>
      </c>
      <c r="I27" s="407" t="s">
        <v>570</v>
      </c>
    </row>
    <row r="28" spans="1:10">
      <c r="A28" s="321" t="s">
        <v>462</v>
      </c>
      <c r="B28" s="385" t="s">
        <v>480</v>
      </c>
      <c r="C28" s="408">
        <v>92306257000780</v>
      </c>
      <c r="D28" s="387" t="s">
        <v>571</v>
      </c>
      <c r="E28" s="404" t="s">
        <v>572</v>
      </c>
      <c r="F28" s="405">
        <v>43061</v>
      </c>
      <c r="G28" s="385"/>
      <c r="H28" s="406">
        <v>12092.9</v>
      </c>
      <c r="I28" s="407" t="s">
        <v>573</v>
      </c>
    </row>
    <row r="29" spans="1:10">
      <c r="A29" s="321" t="s">
        <v>462</v>
      </c>
      <c r="B29" s="385" t="s">
        <v>480</v>
      </c>
      <c r="C29" s="408">
        <v>10891998000115</v>
      </c>
      <c r="D29" s="387" t="s">
        <v>488</v>
      </c>
      <c r="E29" s="404" t="s">
        <v>574</v>
      </c>
      <c r="F29" s="419">
        <v>43405</v>
      </c>
      <c r="G29" s="385"/>
      <c r="H29" s="390">
        <v>820</v>
      </c>
      <c r="I29" s="407" t="s">
        <v>575</v>
      </c>
      <c r="J29" s="109"/>
    </row>
    <row r="30" spans="1:10">
      <c r="A30" s="321" t="s">
        <v>462</v>
      </c>
      <c r="B30" s="385" t="s">
        <v>480</v>
      </c>
      <c r="C30" s="408">
        <v>12386107000107</v>
      </c>
      <c r="D30" s="387" t="s">
        <v>576</v>
      </c>
      <c r="E30" s="404" t="s">
        <v>577</v>
      </c>
      <c r="F30" s="405">
        <v>43556</v>
      </c>
      <c r="G30" s="385"/>
      <c r="H30" s="406">
        <v>998</v>
      </c>
      <c r="I30" s="407" t="s">
        <v>578</v>
      </c>
      <c r="J30" s="109"/>
    </row>
    <row r="31" spans="1:10" ht="36" customHeight="1">
      <c r="A31" s="321" t="s">
        <v>462</v>
      </c>
      <c r="B31" s="385" t="s">
        <v>480</v>
      </c>
      <c r="C31" s="408">
        <v>26351343000194</v>
      </c>
      <c r="D31" s="387" t="s">
        <v>661</v>
      </c>
      <c r="E31" s="404" t="s">
        <v>579</v>
      </c>
      <c r="F31" s="405">
        <v>43586</v>
      </c>
      <c r="G31" s="420">
        <v>44042</v>
      </c>
      <c r="H31" s="406">
        <v>15000</v>
      </c>
      <c r="I31" s="421" t="s">
        <v>580</v>
      </c>
    </row>
    <row r="32" spans="1:10">
      <c r="A32" s="321" t="s">
        <v>462</v>
      </c>
      <c r="B32" s="385" t="s">
        <v>480</v>
      </c>
      <c r="C32" s="408">
        <v>29495965000184</v>
      </c>
      <c r="D32" s="387" t="s">
        <v>581</v>
      </c>
      <c r="E32" s="404" t="s">
        <v>582</v>
      </c>
      <c r="F32" s="405">
        <v>43222</v>
      </c>
      <c r="G32" s="385"/>
      <c r="H32" s="406">
        <v>20000</v>
      </c>
      <c r="I32" s="407" t="s">
        <v>583</v>
      </c>
    </row>
    <row r="33" spans="1:10">
      <c r="A33" s="321" t="s">
        <v>462</v>
      </c>
      <c r="B33" s="385" t="s">
        <v>480</v>
      </c>
      <c r="C33" s="422" t="s">
        <v>584</v>
      </c>
      <c r="D33" s="387" t="s">
        <v>585</v>
      </c>
      <c r="E33" s="404" t="s">
        <v>586</v>
      </c>
      <c r="F33" s="423">
        <v>43041</v>
      </c>
      <c r="G33" s="385"/>
      <c r="H33" s="424">
        <v>66000</v>
      </c>
      <c r="I33" s="407" t="s">
        <v>587</v>
      </c>
      <c r="J33" s="109"/>
    </row>
    <row r="34" spans="1:10" ht="44.25" customHeight="1">
      <c r="A34" s="321" t="s">
        <v>462</v>
      </c>
      <c r="B34" s="385" t="s">
        <v>480</v>
      </c>
      <c r="C34" s="422" t="s">
        <v>584</v>
      </c>
      <c r="D34" s="387" t="s">
        <v>585</v>
      </c>
      <c r="E34" s="404" t="s">
        <v>588</v>
      </c>
      <c r="F34" s="405">
        <v>43041</v>
      </c>
      <c r="G34" s="420">
        <v>44216</v>
      </c>
      <c r="H34" s="424">
        <v>140000</v>
      </c>
      <c r="I34" s="425" t="s">
        <v>662</v>
      </c>
    </row>
    <row r="35" spans="1:10">
      <c r="A35" s="321" t="s">
        <v>462</v>
      </c>
      <c r="B35" s="385" t="s">
        <v>480</v>
      </c>
      <c r="C35" s="408">
        <v>15798665000160</v>
      </c>
      <c r="D35" s="387" t="s">
        <v>589</v>
      </c>
      <c r="E35" s="404" t="s">
        <v>590</v>
      </c>
      <c r="F35" s="423">
        <v>43041</v>
      </c>
      <c r="G35" s="385"/>
      <c r="H35" s="406">
        <v>0</v>
      </c>
      <c r="I35" s="407" t="s">
        <v>591</v>
      </c>
      <c r="J35" s="109"/>
    </row>
    <row r="36" spans="1:10" ht="28.5" customHeight="1">
      <c r="A36" s="321" t="s">
        <v>462</v>
      </c>
      <c r="B36" s="426" t="s">
        <v>480</v>
      </c>
      <c r="C36" s="427">
        <v>15798665000160</v>
      </c>
      <c r="D36" s="412" t="s">
        <v>589</v>
      </c>
      <c r="E36" s="428" t="s">
        <v>592</v>
      </c>
      <c r="F36" s="429">
        <v>43041</v>
      </c>
      <c r="G36" s="430">
        <v>43861</v>
      </c>
      <c r="H36" s="431">
        <v>15000</v>
      </c>
      <c r="I36" s="432" t="s">
        <v>593</v>
      </c>
      <c r="J36" s="109"/>
    </row>
    <row r="37" spans="1:10" ht="25.5" customHeight="1">
      <c r="A37" s="321" t="s">
        <v>462</v>
      </c>
      <c r="B37" s="385" t="s">
        <v>480</v>
      </c>
      <c r="C37" s="433">
        <v>10783585000117</v>
      </c>
      <c r="D37" s="416" t="s">
        <v>482</v>
      </c>
      <c r="E37" s="434" t="s">
        <v>594</v>
      </c>
      <c r="F37" s="405">
        <v>43041</v>
      </c>
      <c r="G37" s="435"/>
      <c r="H37" s="390">
        <v>14000</v>
      </c>
      <c r="I37" s="436" t="s">
        <v>595</v>
      </c>
    </row>
    <row r="38" spans="1:10" ht="22.5" customHeight="1">
      <c r="A38" s="321" t="s">
        <v>462</v>
      </c>
      <c r="B38" s="385" t="s">
        <v>480</v>
      </c>
      <c r="C38" s="433">
        <v>10783585000117</v>
      </c>
      <c r="D38" s="416" t="s">
        <v>482</v>
      </c>
      <c r="E38" s="404" t="s">
        <v>596</v>
      </c>
      <c r="F38" s="405">
        <v>43041</v>
      </c>
      <c r="G38" s="437"/>
      <c r="H38" s="438">
        <v>13000</v>
      </c>
      <c r="I38" s="439" t="s">
        <v>597</v>
      </c>
    </row>
    <row r="39" spans="1:10">
      <c r="A39" s="321" t="s">
        <v>462</v>
      </c>
      <c r="B39" s="385" t="s">
        <v>480</v>
      </c>
      <c r="C39" s="408">
        <v>12836422000180</v>
      </c>
      <c r="D39" s="387" t="s">
        <v>598</v>
      </c>
      <c r="E39" s="404" t="s">
        <v>599</v>
      </c>
      <c r="F39" s="405">
        <v>43405</v>
      </c>
      <c r="G39" s="385"/>
      <c r="H39" s="406">
        <v>1600</v>
      </c>
      <c r="I39" s="407" t="s">
        <v>600</v>
      </c>
    </row>
    <row r="40" spans="1:10">
      <c r="A40" s="321" t="s">
        <v>462</v>
      </c>
      <c r="B40" s="385" t="s">
        <v>480</v>
      </c>
      <c r="C40" s="408">
        <v>11389239000111</v>
      </c>
      <c r="D40" s="387" t="s">
        <v>494</v>
      </c>
      <c r="E40" s="404" t="s">
        <v>601</v>
      </c>
      <c r="F40" s="405">
        <v>43040</v>
      </c>
      <c r="G40" s="385"/>
      <c r="H40" s="406">
        <v>500</v>
      </c>
      <c r="I40" s="407" t="s">
        <v>602</v>
      </c>
    </row>
    <row r="41" spans="1:10" ht="18" customHeight="1">
      <c r="A41" s="321" t="s">
        <v>462</v>
      </c>
      <c r="B41" s="385" t="s">
        <v>480</v>
      </c>
      <c r="C41" s="408">
        <v>25130763000188</v>
      </c>
      <c r="D41" s="387" t="s">
        <v>603</v>
      </c>
      <c r="E41" s="404" t="s">
        <v>604</v>
      </c>
      <c r="F41" s="405">
        <v>43770</v>
      </c>
      <c r="G41" s="385"/>
      <c r="H41" s="406">
        <v>14000</v>
      </c>
      <c r="I41" s="391" t="s">
        <v>605</v>
      </c>
    </row>
    <row r="42" spans="1:10">
      <c r="A42" s="321" t="s">
        <v>462</v>
      </c>
      <c r="B42" s="385" t="s">
        <v>480</v>
      </c>
      <c r="C42" s="408">
        <v>35343136000189</v>
      </c>
      <c r="D42" s="387" t="s">
        <v>606</v>
      </c>
      <c r="E42" s="404" t="s">
        <v>607</v>
      </c>
      <c r="F42" s="405">
        <v>43040</v>
      </c>
      <c r="G42" s="385"/>
      <c r="H42" s="406">
        <v>0</v>
      </c>
      <c r="I42" s="407" t="s">
        <v>608</v>
      </c>
    </row>
    <row r="43" spans="1:10" ht="30">
      <c r="A43" s="321" t="s">
        <v>462</v>
      </c>
      <c r="B43" s="322" t="s">
        <v>480</v>
      </c>
      <c r="C43" s="392">
        <v>11239132000197</v>
      </c>
      <c r="D43" s="387" t="s">
        <v>609</v>
      </c>
      <c r="E43" s="394" t="s">
        <v>610</v>
      </c>
      <c r="F43" s="440">
        <v>42858</v>
      </c>
      <c r="G43" s="322"/>
      <c r="H43" s="441">
        <v>500</v>
      </c>
      <c r="I43" s="442" t="s">
        <v>611</v>
      </c>
    </row>
    <row r="44" spans="1:10">
      <c r="A44" s="321" t="s">
        <v>462</v>
      </c>
      <c r="B44" s="385" t="s">
        <v>480</v>
      </c>
      <c r="C44" s="408">
        <v>20153710000169</v>
      </c>
      <c r="D44" s="387" t="s">
        <v>612</v>
      </c>
      <c r="E44" s="404" t="s">
        <v>613</v>
      </c>
      <c r="F44" s="405">
        <v>43040</v>
      </c>
      <c r="G44" s="385"/>
      <c r="H44" s="406">
        <v>300</v>
      </c>
      <c r="I44" s="407" t="s">
        <v>614</v>
      </c>
    </row>
    <row r="45" spans="1:10">
      <c r="A45" s="321" t="s">
        <v>462</v>
      </c>
      <c r="B45" s="385" t="s">
        <v>480</v>
      </c>
      <c r="C45" s="408">
        <v>37095416000140</v>
      </c>
      <c r="D45" s="443" t="s">
        <v>615</v>
      </c>
      <c r="E45" s="444" t="s">
        <v>522</v>
      </c>
      <c r="F45" s="445" t="s">
        <v>616</v>
      </c>
      <c r="G45" s="385"/>
      <c r="H45" s="414">
        <v>0</v>
      </c>
      <c r="I45" s="446" t="s">
        <v>617</v>
      </c>
    </row>
    <row r="46" spans="1:10">
      <c r="A46" s="321" t="s">
        <v>462</v>
      </c>
      <c r="B46" s="385" t="s">
        <v>480</v>
      </c>
      <c r="C46" s="408">
        <v>36207401000164</v>
      </c>
      <c r="D46" s="443" t="s">
        <v>618</v>
      </c>
      <c r="E46" s="444" t="s">
        <v>522</v>
      </c>
      <c r="F46" s="445" t="s">
        <v>619</v>
      </c>
      <c r="G46" s="385"/>
      <c r="H46" s="414">
        <v>0</v>
      </c>
      <c r="I46" s="447" t="s">
        <v>620</v>
      </c>
    </row>
    <row r="47" spans="1:10">
      <c r="A47" s="321" t="s">
        <v>462</v>
      </c>
      <c r="B47" s="385" t="s">
        <v>480</v>
      </c>
      <c r="C47" s="408">
        <v>24134488000108</v>
      </c>
      <c r="D47" s="443" t="s">
        <v>621</v>
      </c>
      <c r="E47" s="444" t="s">
        <v>622</v>
      </c>
      <c r="F47" s="445" t="s">
        <v>623</v>
      </c>
      <c r="G47" s="323" t="s">
        <v>624</v>
      </c>
      <c r="H47" s="414">
        <v>0</v>
      </c>
      <c r="I47" s="446" t="s">
        <v>625</v>
      </c>
    </row>
    <row r="48" spans="1:10" ht="21.75" customHeight="1">
      <c r="A48" s="321" t="s">
        <v>462</v>
      </c>
      <c r="B48" s="385" t="s">
        <v>480</v>
      </c>
      <c r="C48" s="448" t="s">
        <v>626</v>
      </c>
      <c r="D48" s="449" t="s">
        <v>627</v>
      </c>
      <c r="E48" s="450" t="s">
        <v>628</v>
      </c>
      <c r="F48" s="451">
        <v>43187</v>
      </c>
      <c r="G48" s="452"/>
      <c r="H48" s="453">
        <v>0</v>
      </c>
      <c r="I48" s="454" t="s">
        <v>629</v>
      </c>
    </row>
    <row r="49" spans="1:9">
      <c r="A49" s="321" t="s">
        <v>462</v>
      </c>
      <c r="B49" s="385" t="s">
        <v>480</v>
      </c>
      <c r="C49" s="455" t="s">
        <v>630</v>
      </c>
      <c r="D49" s="455" t="s">
        <v>631</v>
      </c>
      <c r="E49" s="388" t="s">
        <v>522</v>
      </c>
      <c r="F49" s="455" t="s">
        <v>632</v>
      </c>
      <c r="G49" s="456"/>
      <c r="H49" s="457" t="s">
        <v>633</v>
      </c>
      <c r="I49" s="458" t="s">
        <v>634</v>
      </c>
    </row>
    <row r="50" spans="1:9">
      <c r="A50" s="321" t="s">
        <v>462</v>
      </c>
      <c r="B50" s="322" t="s">
        <v>480</v>
      </c>
      <c r="C50" s="459" t="s">
        <v>635</v>
      </c>
      <c r="D50" s="460" t="s">
        <v>636</v>
      </c>
      <c r="E50" s="461" t="s">
        <v>522</v>
      </c>
      <c r="F50" s="462">
        <v>44013</v>
      </c>
      <c r="G50" s="463"/>
      <c r="H50" s="464" t="s">
        <v>633</v>
      </c>
      <c r="I50" s="465" t="s">
        <v>637</v>
      </c>
    </row>
    <row r="51" spans="1:9" ht="21" customHeight="1">
      <c r="A51" s="321" t="s">
        <v>462</v>
      </c>
      <c r="B51" s="322" t="s">
        <v>480</v>
      </c>
      <c r="C51" s="323" t="s">
        <v>638</v>
      </c>
      <c r="D51" s="324" t="s">
        <v>639</v>
      </c>
      <c r="E51" s="461" t="s">
        <v>522</v>
      </c>
      <c r="F51" s="323" t="s">
        <v>632</v>
      </c>
      <c r="G51" s="326"/>
      <c r="H51" s="464" t="s">
        <v>633</v>
      </c>
      <c r="I51" s="5" t="s">
        <v>640</v>
      </c>
    </row>
    <row r="52" spans="1:9">
      <c r="A52" s="321" t="s">
        <v>462</v>
      </c>
      <c r="B52" s="322" t="s">
        <v>480</v>
      </c>
      <c r="C52" s="323" t="s">
        <v>646</v>
      </c>
      <c r="D52" s="324" t="s">
        <v>652</v>
      </c>
      <c r="E52" s="325" t="s">
        <v>653</v>
      </c>
      <c r="F52" s="323" t="s">
        <v>654</v>
      </c>
      <c r="G52" s="326"/>
      <c r="H52" s="327" t="s">
        <v>647</v>
      </c>
      <c r="I52" s="5" t="s">
        <v>655</v>
      </c>
    </row>
    <row r="53" spans="1:9">
      <c r="A53" s="321" t="s">
        <v>462</v>
      </c>
      <c r="B53" s="322" t="s">
        <v>480</v>
      </c>
      <c r="C53" s="466">
        <v>41029459000103</v>
      </c>
      <c r="D53" s="467" t="s">
        <v>648</v>
      </c>
      <c r="E53" s="468" t="s">
        <v>522</v>
      </c>
      <c r="F53" s="469">
        <v>44242</v>
      </c>
      <c r="G53" s="331"/>
      <c r="H53" s="327" t="s">
        <v>633</v>
      </c>
      <c r="I53" s="470" t="s">
        <v>663</v>
      </c>
    </row>
    <row r="54" spans="1:9">
      <c r="A54" s="321" t="s">
        <v>462</v>
      </c>
      <c r="B54" s="322" t="s">
        <v>480</v>
      </c>
      <c r="C54" s="422" t="s">
        <v>584</v>
      </c>
      <c r="D54" s="492" t="s">
        <v>666</v>
      </c>
      <c r="E54" s="468" t="s">
        <v>667</v>
      </c>
      <c r="F54" s="469">
        <v>44287</v>
      </c>
      <c r="G54" s="331"/>
      <c r="H54" s="327" t="s">
        <v>668</v>
      </c>
      <c r="I54" s="470" t="s">
        <v>671</v>
      </c>
    </row>
    <row r="55" spans="1:9">
      <c r="A55" s="321" t="s">
        <v>462</v>
      </c>
      <c r="B55" s="322" t="s">
        <v>480</v>
      </c>
      <c r="C55" s="422" t="s">
        <v>584</v>
      </c>
      <c r="D55" s="492" t="s">
        <v>666</v>
      </c>
      <c r="E55" s="468" t="s">
        <v>669</v>
      </c>
      <c r="F55" s="469">
        <v>44287</v>
      </c>
      <c r="G55" s="331"/>
      <c r="H55" s="327" t="s">
        <v>670</v>
      </c>
      <c r="I55" s="470" t="s">
        <v>672</v>
      </c>
    </row>
    <row r="56" spans="1:9">
      <c r="A56" s="321" t="s">
        <v>462</v>
      </c>
      <c r="B56" s="322" t="s">
        <v>480</v>
      </c>
      <c r="C56" s="422" t="s">
        <v>680</v>
      </c>
      <c r="D56" s="523" t="s">
        <v>679</v>
      </c>
      <c r="E56" s="468" t="s">
        <v>522</v>
      </c>
      <c r="F56" s="469">
        <v>44228</v>
      </c>
      <c r="G56" s="331"/>
      <c r="H56" s="327" t="s">
        <v>633</v>
      </c>
      <c r="I56" s="309" t="s">
        <v>1302</v>
      </c>
    </row>
    <row r="57" spans="1:9">
      <c r="B57" s="112"/>
    </row>
    <row r="58" spans="1:9">
      <c r="B58" s="112"/>
    </row>
    <row r="59" spans="1:9">
      <c r="B59" s="112"/>
    </row>
    <row r="60" spans="1:9">
      <c r="B60" s="112"/>
    </row>
    <row r="61" spans="1:9">
      <c r="B61" s="112"/>
    </row>
    <row r="62" spans="1:9">
      <c r="B62" s="112"/>
    </row>
    <row r="63" spans="1:9">
      <c r="B63" s="112"/>
    </row>
    <row r="64" spans="1:9">
      <c r="B64" s="112"/>
    </row>
    <row r="65" spans="2:2">
      <c r="B65" s="112"/>
    </row>
    <row r="66" spans="2:2">
      <c r="B66" s="112"/>
    </row>
    <row r="67" spans="2:2">
      <c r="B67" s="112"/>
    </row>
    <row r="68" spans="2:2">
      <c r="B68" s="112"/>
    </row>
    <row r="69" spans="2:2">
      <c r="B69" s="112"/>
    </row>
    <row r="70" spans="2:2">
      <c r="B70" s="112"/>
    </row>
    <row r="71" spans="2:2">
      <c r="B71" s="112"/>
    </row>
    <row r="72" spans="2:2">
      <c r="B72" s="112"/>
    </row>
    <row r="73" spans="2:2">
      <c r="B73" s="112"/>
    </row>
    <row r="74" spans="2:2">
      <c r="B74" s="112"/>
    </row>
    <row r="75" spans="2:2">
      <c r="B75" s="112"/>
    </row>
    <row r="76" spans="2:2">
      <c r="B76" s="112"/>
    </row>
    <row r="77" spans="2:2">
      <c r="B77" s="112"/>
    </row>
    <row r="78" spans="2:2">
      <c r="B78" s="112"/>
    </row>
    <row r="79" spans="2:2">
      <c r="B79" s="112"/>
    </row>
    <row r="80" spans="2:2">
      <c r="B80" s="112"/>
    </row>
    <row r="81" spans="2:2">
      <c r="B81" s="112"/>
    </row>
    <row r="82" spans="2:2">
      <c r="B82" s="112"/>
    </row>
    <row r="83" spans="2:2">
      <c r="B83" s="112"/>
    </row>
    <row r="84" spans="2:2">
      <c r="B84" s="112"/>
    </row>
    <row r="85" spans="2:2">
      <c r="B85" s="112"/>
    </row>
    <row r="86" spans="2:2">
      <c r="B86" s="112"/>
    </row>
    <row r="87" spans="2:2">
      <c r="B87" s="112"/>
    </row>
    <row r="88" spans="2:2">
      <c r="B88" s="112"/>
    </row>
    <row r="89" spans="2:2">
      <c r="B89" s="112"/>
    </row>
    <row r="90" spans="2:2">
      <c r="B90" s="112"/>
    </row>
    <row r="91" spans="2:2">
      <c r="B91" s="112"/>
    </row>
    <row r="92" spans="2:2">
      <c r="B92" s="112"/>
    </row>
    <row r="93" spans="2:2">
      <c r="B93" s="112"/>
    </row>
    <row r="94" spans="2:2">
      <c r="B94" s="112"/>
    </row>
    <row r="95" spans="2:2">
      <c r="B95" s="112"/>
    </row>
    <row r="96" spans="2:2">
      <c r="B96" s="112"/>
    </row>
    <row r="97" spans="2:2">
      <c r="B97" s="112"/>
    </row>
    <row r="98" spans="2:2">
      <c r="B98" s="112"/>
    </row>
    <row r="99" spans="2:2">
      <c r="B99" s="112"/>
    </row>
    <row r="100" spans="2:2">
      <c r="B100" s="112"/>
    </row>
    <row r="101" spans="2:2">
      <c r="B101" s="112"/>
    </row>
    <row r="102" spans="2:2">
      <c r="B102" s="112"/>
    </row>
    <row r="103" spans="2:2">
      <c r="B103" s="112"/>
    </row>
    <row r="104" spans="2:2">
      <c r="B104" s="112"/>
    </row>
    <row r="105" spans="2:2">
      <c r="B105" s="112"/>
    </row>
    <row r="106" spans="2:2">
      <c r="B106" s="112"/>
    </row>
    <row r="107" spans="2:2">
      <c r="B107" s="112"/>
    </row>
    <row r="108" spans="2:2">
      <c r="B108" s="112"/>
    </row>
    <row r="109" spans="2:2">
      <c r="B109" s="112"/>
    </row>
    <row r="110" spans="2:2">
      <c r="B110" s="112"/>
    </row>
    <row r="111" spans="2:2">
      <c r="B111" s="112"/>
    </row>
    <row r="112" spans="2:2">
      <c r="B112" s="112"/>
    </row>
    <row r="113" spans="2:2">
      <c r="B113" s="112"/>
    </row>
    <row r="114" spans="2:2">
      <c r="B114" s="112"/>
    </row>
    <row r="115" spans="2:2">
      <c r="B115" s="112"/>
    </row>
    <row r="116" spans="2:2">
      <c r="B116" s="112"/>
    </row>
    <row r="117" spans="2:2">
      <c r="B117" s="112"/>
    </row>
    <row r="118" spans="2:2">
      <c r="B118" s="112"/>
    </row>
    <row r="119" spans="2:2">
      <c r="B119" s="112"/>
    </row>
    <row r="120" spans="2:2">
      <c r="B120" s="112"/>
    </row>
    <row r="121" spans="2:2">
      <c r="B121" s="112"/>
    </row>
    <row r="122" spans="2:2">
      <c r="B122" s="112"/>
    </row>
    <row r="123" spans="2:2">
      <c r="B123" s="112"/>
    </row>
    <row r="124" spans="2:2">
      <c r="B124" s="112"/>
    </row>
    <row r="125" spans="2:2">
      <c r="B125" s="112"/>
    </row>
    <row r="126" spans="2:2">
      <c r="B126" s="112"/>
    </row>
    <row r="127" spans="2:2">
      <c r="B127" s="112"/>
    </row>
    <row r="128" spans="2:2">
      <c r="B128" s="112"/>
    </row>
    <row r="129" spans="2:2">
      <c r="B129" s="112"/>
    </row>
    <row r="130" spans="2:2">
      <c r="B130" s="112"/>
    </row>
    <row r="131" spans="2:2">
      <c r="B131" s="112"/>
    </row>
    <row r="132" spans="2:2">
      <c r="B132" s="112"/>
    </row>
    <row r="133" spans="2:2">
      <c r="B133" s="112"/>
    </row>
    <row r="134" spans="2:2">
      <c r="B134" s="112"/>
    </row>
    <row r="135" spans="2:2">
      <c r="B135" s="112"/>
    </row>
    <row r="136" spans="2:2">
      <c r="B136" s="112"/>
    </row>
    <row r="137" spans="2:2">
      <c r="B137" s="112"/>
    </row>
    <row r="138" spans="2:2">
      <c r="B138" s="112"/>
    </row>
    <row r="139" spans="2:2">
      <c r="B139" s="112"/>
    </row>
    <row r="140" spans="2:2">
      <c r="B140" s="112"/>
    </row>
    <row r="141" spans="2:2">
      <c r="B141" s="112"/>
    </row>
    <row r="142" spans="2:2">
      <c r="B142" s="112"/>
    </row>
    <row r="143" spans="2:2">
      <c r="B143" s="112"/>
    </row>
    <row r="144" spans="2:2">
      <c r="B144" s="112"/>
    </row>
    <row r="145" spans="2:2">
      <c r="B145" s="112"/>
    </row>
    <row r="146" spans="2:2">
      <c r="B146" s="112"/>
    </row>
    <row r="147" spans="2:2">
      <c r="B147" s="112"/>
    </row>
    <row r="148" spans="2:2">
      <c r="B148" s="112"/>
    </row>
    <row r="149" spans="2:2">
      <c r="B149" s="112"/>
    </row>
    <row r="150" spans="2:2">
      <c r="B150" s="112"/>
    </row>
    <row r="151" spans="2:2">
      <c r="B151" s="112"/>
    </row>
    <row r="152" spans="2:2">
      <c r="B152" s="112"/>
    </row>
    <row r="153" spans="2:2">
      <c r="B153" s="112"/>
    </row>
    <row r="154" spans="2:2">
      <c r="B154" s="112"/>
    </row>
    <row r="155" spans="2:2">
      <c r="B155" s="112"/>
    </row>
    <row r="156" spans="2:2">
      <c r="B156" s="112"/>
    </row>
    <row r="157" spans="2:2">
      <c r="B157" s="112"/>
    </row>
    <row r="158" spans="2:2">
      <c r="B158" s="11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  <row r="172" spans="2:2">
      <c r="B172" s="2"/>
    </row>
    <row r="173" spans="2:2">
      <c r="B173" s="2"/>
    </row>
    <row r="174" spans="2:2">
      <c r="B174" s="2"/>
    </row>
    <row r="175" spans="2:2">
      <c r="B175" s="2"/>
    </row>
    <row r="176" spans="2:2">
      <c r="B176" s="2"/>
    </row>
    <row r="177" spans="2:2">
      <c r="B177" s="2"/>
    </row>
    <row r="178" spans="2:2">
      <c r="B178" s="2"/>
    </row>
  </sheetData>
  <protectedRanges>
    <protectedRange sqref="E49 D2:E44" name="Intervalo2_2_1_2_1"/>
    <protectedRange sqref="D48:E48" name="Intervalo2_2_1_1_1_1"/>
    <protectedRange sqref="D51" name="Intervalo3_1_1_1_1"/>
  </protectedRanges>
  <autoFilter ref="A1:I56" xr:uid="{00000000-0009-0000-0000-00000B000000}"/>
  <hyperlinks>
    <hyperlink ref="I34" r:id="rId1" display="https://drive.google.com/open?id=1z5iERD74HUScDR_XvYS57oj8IIzNW1io " xr:uid="{00000000-0004-0000-0B00-000000000000}"/>
    <hyperlink ref="I53" r:id="rId2" xr:uid="{00000000-0004-0000-0B00-000001000000}"/>
  </hyperlink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5" orientation="landscape" horizontalDpi="4294967294" verticalDpi="4294967294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72"/>
  <sheetViews>
    <sheetView zoomScaleNormal="100" workbookViewId="0">
      <selection activeCell="D29" sqref="D29"/>
    </sheetView>
  </sheetViews>
  <sheetFormatPr defaultRowHeight="15"/>
  <cols>
    <col min="1" max="1" width="22.85546875" customWidth="1"/>
    <col min="2" max="2" width="58.85546875" customWidth="1"/>
    <col min="3" max="3" width="17.28515625" customWidth="1"/>
    <col min="4" max="4" width="49.140625" bestFit="1" customWidth="1"/>
    <col min="5" max="5" width="19.85546875" bestFit="1" customWidth="1"/>
    <col min="6" max="6" width="13.85546875" customWidth="1"/>
    <col min="8" max="8" width="13.5703125" bestFit="1" customWidth="1"/>
    <col min="9" max="9" width="94" customWidth="1"/>
  </cols>
  <sheetData>
    <row r="1" spans="1:10" ht="31.5">
      <c r="A1" s="251" t="s">
        <v>233</v>
      </c>
      <c r="B1" s="251" t="s">
        <v>234</v>
      </c>
      <c r="C1" s="111" t="s">
        <v>288</v>
      </c>
      <c r="D1" s="111" t="s">
        <v>282</v>
      </c>
      <c r="E1" s="111" t="s">
        <v>289</v>
      </c>
      <c r="F1" s="111" t="s">
        <v>284</v>
      </c>
      <c r="G1" s="111" t="s">
        <v>290</v>
      </c>
      <c r="H1" s="111" t="s">
        <v>291</v>
      </c>
      <c r="I1" s="111" t="s">
        <v>292</v>
      </c>
    </row>
    <row r="2" spans="1:10">
      <c r="A2" s="249" t="s">
        <v>462</v>
      </c>
      <c r="B2" s="250" t="s">
        <v>480</v>
      </c>
      <c r="C2" s="471" t="s">
        <v>481</v>
      </c>
      <c r="D2" s="328" t="s">
        <v>482</v>
      </c>
      <c r="E2" s="328" t="s">
        <v>483</v>
      </c>
      <c r="F2" s="472">
        <v>43282</v>
      </c>
      <c r="G2" s="473"/>
      <c r="H2" s="474">
        <v>14000</v>
      </c>
      <c r="I2" s="245" t="s">
        <v>484</v>
      </c>
      <c r="J2" s="109"/>
    </row>
    <row r="3" spans="1:10">
      <c r="A3" s="249" t="s">
        <v>462</v>
      </c>
      <c r="B3" s="250" t="s">
        <v>480</v>
      </c>
      <c r="C3" s="475" t="s">
        <v>485</v>
      </c>
      <c r="D3" s="476" t="s">
        <v>486</v>
      </c>
      <c r="E3" s="328" t="s">
        <v>483</v>
      </c>
      <c r="F3" s="472">
        <v>43586</v>
      </c>
      <c r="G3" s="473"/>
      <c r="H3" s="477">
        <v>0</v>
      </c>
      <c r="I3" s="245" t="s">
        <v>487</v>
      </c>
      <c r="J3" s="113"/>
    </row>
    <row r="4" spans="1:10">
      <c r="A4" s="249" t="s">
        <v>462</v>
      </c>
      <c r="B4" s="250" t="s">
        <v>480</v>
      </c>
      <c r="C4" s="478">
        <v>10891998000115</v>
      </c>
      <c r="D4" s="479" t="s">
        <v>488</v>
      </c>
      <c r="E4" s="328" t="s">
        <v>483</v>
      </c>
      <c r="F4" s="480">
        <v>43405</v>
      </c>
      <c r="G4" s="306"/>
      <c r="H4" s="477">
        <v>820</v>
      </c>
      <c r="I4" s="246" t="s">
        <v>489</v>
      </c>
      <c r="J4" s="113"/>
    </row>
    <row r="5" spans="1:10">
      <c r="A5" s="249" t="s">
        <v>462</v>
      </c>
      <c r="B5" s="250" t="s">
        <v>480</v>
      </c>
      <c r="C5" s="471" t="s">
        <v>490</v>
      </c>
      <c r="D5" s="481" t="s">
        <v>491</v>
      </c>
      <c r="E5" s="328" t="s">
        <v>483</v>
      </c>
      <c r="F5" s="472">
        <v>43049</v>
      </c>
      <c r="G5" s="306"/>
      <c r="H5" s="482">
        <v>1400</v>
      </c>
      <c r="I5" s="246" t="s">
        <v>492</v>
      </c>
    </row>
    <row r="6" spans="1:10">
      <c r="A6" s="249" t="s">
        <v>462</v>
      </c>
      <c r="B6" s="250" t="s">
        <v>480</v>
      </c>
      <c r="C6" s="475" t="s">
        <v>493</v>
      </c>
      <c r="D6" s="483" t="s">
        <v>494</v>
      </c>
      <c r="E6" s="328" t="s">
        <v>483</v>
      </c>
      <c r="F6" s="472">
        <v>43040</v>
      </c>
      <c r="G6" s="306"/>
      <c r="H6" s="484">
        <v>500</v>
      </c>
      <c r="I6" s="246" t="s">
        <v>495</v>
      </c>
    </row>
    <row r="7" spans="1:10">
      <c r="A7" s="249" t="s">
        <v>462</v>
      </c>
      <c r="B7" s="250" t="s">
        <v>480</v>
      </c>
      <c r="C7" s="475" t="s">
        <v>493</v>
      </c>
      <c r="D7" s="483" t="s">
        <v>494</v>
      </c>
      <c r="E7" s="328" t="s">
        <v>641</v>
      </c>
      <c r="F7" s="472">
        <v>44256</v>
      </c>
      <c r="G7" s="306"/>
      <c r="H7" s="484">
        <v>500</v>
      </c>
      <c r="I7" s="246" t="s">
        <v>642</v>
      </c>
    </row>
    <row r="8" spans="1:10">
      <c r="A8" s="249" t="s">
        <v>462</v>
      </c>
      <c r="B8" s="250" t="s">
        <v>480</v>
      </c>
      <c r="C8" s="471" t="s">
        <v>481</v>
      </c>
      <c r="D8" s="328" t="s">
        <v>482</v>
      </c>
      <c r="E8" s="328" t="s">
        <v>483</v>
      </c>
      <c r="F8" s="472">
        <v>43282</v>
      </c>
      <c r="G8" s="306"/>
      <c r="H8" s="474">
        <v>13000</v>
      </c>
      <c r="I8" s="245" t="s">
        <v>496</v>
      </c>
    </row>
    <row r="9" spans="1:10">
      <c r="A9" s="249" t="s">
        <v>462</v>
      </c>
      <c r="B9" s="250" t="s">
        <v>480</v>
      </c>
      <c r="C9" s="485">
        <v>19533734000164</v>
      </c>
      <c r="D9" s="310" t="s">
        <v>510</v>
      </c>
      <c r="E9" s="328" t="s">
        <v>483</v>
      </c>
      <c r="F9" s="332">
        <v>44256</v>
      </c>
      <c r="G9" s="309"/>
      <c r="H9" s="330">
        <v>1500</v>
      </c>
      <c r="I9" s="309" t="s">
        <v>643</v>
      </c>
    </row>
    <row r="10" spans="1:10">
      <c r="A10" s="249" t="s">
        <v>462</v>
      </c>
      <c r="B10" s="250" t="s">
        <v>480</v>
      </c>
      <c r="C10" s="317" t="s">
        <v>584</v>
      </c>
      <c r="D10" s="310" t="s">
        <v>656</v>
      </c>
      <c r="E10" s="328" t="s">
        <v>483</v>
      </c>
      <c r="F10" s="332">
        <v>44228</v>
      </c>
      <c r="G10" s="309"/>
      <c r="H10" s="329">
        <v>96400</v>
      </c>
      <c r="I10" s="309" t="s">
        <v>657</v>
      </c>
    </row>
    <row r="11" spans="1:10" ht="14.25" customHeight="1">
      <c r="A11" s="249" t="s">
        <v>462</v>
      </c>
      <c r="B11" s="486" t="s">
        <v>480</v>
      </c>
      <c r="C11" s="487" t="s">
        <v>646</v>
      </c>
      <c r="D11" s="488" t="s">
        <v>652</v>
      </c>
      <c r="E11" s="489" t="s">
        <v>483</v>
      </c>
      <c r="F11" s="487" t="s">
        <v>658</v>
      </c>
      <c r="G11" s="490"/>
      <c r="H11" s="491" t="s">
        <v>647</v>
      </c>
      <c r="I11" s="309" t="s">
        <v>659</v>
      </c>
    </row>
    <row r="12" spans="1:10">
      <c r="A12" s="249" t="s">
        <v>462</v>
      </c>
      <c r="B12" s="486" t="s">
        <v>480</v>
      </c>
      <c r="C12" s="487" t="s">
        <v>645</v>
      </c>
      <c r="D12" s="488" t="s">
        <v>603</v>
      </c>
      <c r="E12" s="489" t="s">
        <v>483</v>
      </c>
      <c r="F12" s="487" t="s">
        <v>664</v>
      </c>
      <c r="G12" s="490"/>
      <c r="H12" s="491" t="s">
        <v>660</v>
      </c>
      <c r="I12" s="309" t="s">
        <v>665</v>
      </c>
    </row>
    <row r="13" spans="1:10">
      <c r="B13" s="112"/>
    </row>
    <row r="15" spans="1:10">
      <c r="B15" s="2"/>
    </row>
    <row r="16" spans="1:10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/>
    </row>
    <row r="63" spans="2:2">
      <c r="B63" s="2"/>
    </row>
    <row r="64" spans="2:2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  <row r="110" spans="2:2">
      <c r="B110" s="2"/>
    </row>
    <row r="111" spans="2:2">
      <c r="B111" s="2"/>
    </row>
    <row r="112" spans="2:2">
      <c r="B112" s="2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  <row r="121" spans="2:2">
      <c r="B121" s="2"/>
    </row>
    <row r="122" spans="2:2">
      <c r="B122" s="2"/>
    </row>
    <row r="123" spans="2:2">
      <c r="B123" s="2"/>
    </row>
    <row r="124" spans="2:2">
      <c r="B124" s="2"/>
    </row>
    <row r="125" spans="2:2">
      <c r="B125" s="2"/>
    </row>
    <row r="126" spans="2:2">
      <c r="B126" s="2"/>
    </row>
    <row r="127" spans="2:2">
      <c r="B127" s="2"/>
    </row>
    <row r="128" spans="2:2">
      <c r="B128" s="2"/>
    </row>
    <row r="129" spans="2:2">
      <c r="B129" s="2"/>
    </row>
    <row r="130" spans="2:2">
      <c r="B130" s="2"/>
    </row>
    <row r="131" spans="2:2">
      <c r="B131" s="2"/>
    </row>
    <row r="132" spans="2:2">
      <c r="B132" s="2"/>
    </row>
    <row r="133" spans="2:2">
      <c r="B133" s="2"/>
    </row>
    <row r="134" spans="2:2">
      <c r="B134" s="2"/>
    </row>
    <row r="135" spans="2:2">
      <c r="B135" s="2"/>
    </row>
    <row r="136" spans="2:2">
      <c r="B136" s="2"/>
    </row>
    <row r="137" spans="2:2">
      <c r="B137" s="2"/>
    </row>
    <row r="138" spans="2:2">
      <c r="B138" s="2"/>
    </row>
    <row r="139" spans="2:2">
      <c r="B139" s="2"/>
    </row>
    <row r="140" spans="2:2">
      <c r="B140" s="2"/>
    </row>
    <row r="141" spans="2:2">
      <c r="B141" s="2"/>
    </row>
    <row r="142" spans="2:2">
      <c r="B142" s="2"/>
    </row>
    <row r="143" spans="2:2">
      <c r="B143" s="2"/>
    </row>
    <row r="144" spans="2:2">
      <c r="B144" s="2"/>
    </row>
    <row r="145" spans="2:2">
      <c r="B145" s="2"/>
    </row>
    <row r="146" spans="2:2">
      <c r="B146" s="2"/>
    </row>
    <row r="147" spans="2:2">
      <c r="B147" s="2"/>
    </row>
    <row r="148" spans="2:2">
      <c r="B148" s="2"/>
    </row>
    <row r="149" spans="2:2">
      <c r="B149" s="2"/>
    </row>
    <row r="150" spans="2:2">
      <c r="B150" s="2"/>
    </row>
    <row r="151" spans="2:2">
      <c r="B151" s="2"/>
    </row>
    <row r="152" spans="2:2">
      <c r="B152" s="2"/>
    </row>
    <row r="153" spans="2:2">
      <c r="B153" s="2"/>
    </row>
    <row r="154" spans="2:2">
      <c r="B154" s="2"/>
    </row>
    <row r="155" spans="2:2">
      <c r="B155" s="2"/>
    </row>
    <row r="156" spans="2:2">
      <c r="B156" s="2"/>
    </row>
    <row r="157" spans="2:2">
      <c r="B157" s="2"/>
    </row>
    <row r="158" spans="2:2">
      <c r="B158" s="2"/>
    </row>
    <row r="159" spans="2:2">
      <c r="B159" s="2"/>
    </row>
    <row r="160" spans="2:2">
      <c r="B160" s="2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  <row r="172" spans="2:2">
      <c r="B172" s="2"/>
    </row>
  </sheetData>
  <protectedRanges>
    <protectedRange sqref="B2:B10" name="Intervalo2_1"/>
    <protectedRange sqref="A2:A10" name="Intervalo2_2_1"/>
    <protectedRange sqref="D2 D8" name="Intervalo2_1_1_1_1_1_1_1_1"/>
    <protectedRange sqref="D3" name="Intervalo2_2_3_1_1_1_1_1"/>
    <protectedRange sqref="D4" name="Intervalo2_2_2_1_1_1"/>
    <protectedRange sqref="D5" name="Intervalo2_2_1_1_1_1_1"/>
    <protectedRange sqref="D6:D7" name="Intervalo2_2_1_1_2_1_1_1_1"/>
    <protectedRange sqref="E2:E10" name="Intervalo2_1_1_1_1_2_1_1_1"/>
    <protectedRange sqref="I2:I3" name="Intervalo2_1_1_1_1_4_1_1_1"/>
    <protectedRange sqref="D9:D10" name="Intervalo2_2_1_2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3" orientation="landscape" horizontalDpi="4294967294" verticalDpi="4294967294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4"/>
  <sheetViews>
    <sheetView topLeftCell="A8" zoomScale="89" zoomScaleNormal="89" workbookViewId="0">
      <selection activeCell="I23" sqref="I23"/>
    </sheetView>
  </sheetViews>
  <sheetFormatPr defaultColWidth="9.140625" defaultRowHeight="15"/>
  <cols>
    <col min="1" max="1" width="15.7109375" style="68" customWidth="1"/>
    <col min="2" max="2" width="50.5703125" style="68" customWidth="1"/>
    <col min="3" max="3" width="14.28515625" style="68" customWidth="1"/>
    <col min="4" max="4" width="8.5703125" style="68" customWidth="1"/>
    <col min="5" max="5" width="7.7109375" style="68" customWidth="1"/>
    <col min="6" max="6" width="9.140625" style="68"/>
    <col min="7" max="7" width="9.28515625" style="68" customWidth="1"/>
    <col min="8" max="8" width="6.140625" style="68" customWidth="1"/>
    <col min="9" max="11" width="9.140625" style="68"/>
    <col min="12" max="12" width="12" style="68" customWidth="1"/>
    <col min="13" max="16384" width="9.140625" style="68"/>
  </cols>
  <sheetData>
    <row r="1" spans="1:12" ht="21">
      <c r="A1" s="71"/>
      <c r="B1" s="671"/>
      <c r="C1" s="671"/>
      <c r="D1" s="71"/>
      <c r="E1" s="71"/>
      <c r="F1" s="71"/>
      <c r="G1" s="71"/>
      <c r="H1" s="71"/>
      <c r="I1" s="71"/>
      <c r="J1" s="71"/>
      <c r="K1" s="71"/>
      <c r="L1" s="71"/>
    </row>
    <row r="2" spans="1:12" ht="21">
      <c r="A2" s="71"/>
      <c r="B2" s="69"/>
      <c r="C2" s="69"/>
      <c r="D2" s="71"/>
      <c r="E2" s="71"/>
      <c r="F2" s="71"/>
      <c r="G2" s="71"/>
      <c r="H2" s="71"/>
      <c r="I2" s="71"/>
      <c r="J2" s="71"/>
      <c r="K2" s="71"/>
      <c r="L2" s="71"/>
    </row>
    <row r="3" spans="1:12" ht="21">
      <c r="A3" s="71"/>
      <c r="B3" s="69"/>
      <c r="C3" s="69"/>
      <c r="D3" s="71"/>
      <c r="E3" s="71"/>
      <c r="F3" s="71"/>
      <c r="G3" s="71"/>
      <c r="H3" s="71"/>
      <c r="I3" s="71"/>
      <c r="J3" s="71"/>
      <c r="K3" s="71"/>
      <c r="L3" s="71"/>
    </row>
    <row r="4" spans="1:12" ht="21">
      <c r="A4" s="71"/>
      <c r="B4" s="69"/>
      <c r="C4" s="69"/>
      <c r="D4" s="71"/>
      <c r="E4" s="71"/>
      <c r="F4" s="71"/>
      <c r="G4" s="71"/>
      <c r="H4" s="71"/>
      <c r="I4" s="71"/>
      <c r="J4" s="71"/>
      <c r="K4" s="71"/>
      <c r="L4" s="71"/>
    </row>
    <row r="5" spans="1:12" ht="21" customHeight="1">
      <c r="A5" s="678" t="s">
        <v>0</v>
      </c>
      <c r="B5" s="678"/>
      <c r="C5" s="678"/>
      <c r="D5" s="678"/>
      <c r="E5" s="678"/>
      <c r="F5" s="678"/>
      <c r="G5" s="678"/>
      <c r="H5" s="678"/>
      <c r="I5" s="678"/>
      <c r="J5" s="678"/>
      <c r="K5" s="678"/>
      <c r="L5" s="678"/>
    </row>
    <row r="6" spans="1:12" ht="21" customHeight="1">
      <c r="A6" s="678" t="s">
        <v>2</v>
      </c>
      <c r="B6" s="678"/>
      <c r="C6" s="678"/>
      <c r="D6" s="678"/>
      <c r="E6" s="678"/>
      <c r="F6" s="678"/>
      <c r="G6" s="678"/>
      <c r="H6" s="678"/>
      <c r="I6" s="678"/>
      <c r="J6" s="678"/>
      <c r="K6" s="678"/>
      <c r="L6" s="678"/>
    </row>
    <row r="7" spans="1:12" ht="21" customHeight="1">
      <c r="A7" s="695" t="s">
        <v>5</v>
      </c>
      <c r="B7" s="695"/>
      <c r="C7" s="695"/>
      <c r="D7" s="695"/>
      <c r="E7" s="695"/>
      <c r="F7" s="695"/>
      <c r="G7" s="695"/>
      <c r="H7" s="695"/>
      <c r="I7" s="695"/>
      <c r="J7" s="695"/>
      <c r="K7" s="695"/>
      <c r="L7" s="695"/>
    </row>
    <row r="8" spans="1:12" ht="21">
      <c r="A8" s="71"/>
      <c r="B8" s="70"/>
      <c r="C8" s="70"/>
      <c r="D8" s="71"/>
      <c r="E8" s="71"/>
      <c r="F8" s="71"/>
      <c r="G8" s="71"/>
      <c r="H8" s="71"/>
      <c r="I8" s="71"/>
    </row>
    <row r="9" spans="1:12" ht="21" customHeight="1">
      <c r="A9" s="691" t="s">
        <v>293</v>
      </c>
      <c r="B9" s="691"/>
      <c r="C9" s="691"/>
      <c r="D9" s="691"/>
      <c r="E9" s="691"/>
      <c r="F9" s="691"/>
      <c r="G9" s="691"/>
      <c r="H9" s="691"/>
      <c r="I9" s="691"/>
      <c r="J9" s="696" t="s">
        <v>1</v>
      </c>
      <c r="K9" s="697"/>
      <c r="L9" s="698"/>
    </row>
    <row r="10" spans="1:12" ht="21" customHeight="1">
      <c r="A10" s="691" t="s">
        <v>7</v>
      </c>
      <c r="B10" s="691"/>
      <c r="C10" s="691" t="s">
        <v>294</v>
      </c>
      <c r="D10" s="691"/>
      <c r="E10" s="691"/>
      <c r="F10" s="691"/>
      <c r="G10" s="691"/>
      <c r="H10" s="691"/>
      <c r="I10" s="691"/>
      <c r="J10" s="692" t="s">
        <v>295</v>
      </c>
      <c r="K10" s="692"/>
      <c r="L10" s="692"/>
    </row>
    <row r="11" spans="1:12" ht="42.75" customHeight="1">
      <c r="A11" s="599" t="s">
        <v>459</v>
      </c>
      <c r="B11" s="600"/>
      <c r="C11" s="693" t="s">
        <v>463</v>
      </c>
      <c r="D11" s="693"/>
      <c r="E11" s="693"/>
      <c r="F11" s="693"/>
      <c r="G11" s="693"/>
      <c r="H11" s="693"/>
      <c r="I11" s="693"/>
      <c r="J11" s="694" t="s">
        <v>675</v>
      </c>
      <c r="K11" s="694"/>
      <c r="L11" s="694"/>
    </row>
    <row r="12" spans="1:12" ht="21">
      <c r="A12" s="85"/>
      <c r="B12" s="85"/>
      <c r="C12" s="71"/>
      <c r="D12" s="71"/>
      <c r="E12" s="71"/>
      <c r="F12" s="71"/>
      <c r="G12" s="71"/>
      <c r="H12" s="71"/>
      <c r="I12" s="108"/>
      <c r="J12" s="108"/>
      <c r="K12" s="108"/>
      <c r="L12" s="71"/>
    </row>
    <row r="13" spans="1:12" ht="15.75">
      <c r="A13" s="86" t="s">
        <v>296</v>
      </c>
      <c r="B13" s="685" t="s">
        <v>297</v>
      </c>
      <c r="C13" s="686"/>
      <c r="D13" s="687" t="s">
        <v>298</v>
      </c>
      <c r="E13" s="687"/>
      <c r="F13" s="687"/>
      <c r="G13" s="687"/>
      <c r="H13" s="687"/>
      <c r="I13" s="687"/>
      <c r="J13" s="687"/>
      <c r="K13" s="687"/>
      <c r="L13" s="687"/>
    </row>
    <row r="14" spans="1:12" ht="34.5" customHeight="1">
      <c r="A14" s="87">
        <v>102</v>
      </c>
      <c r="B14" s="599" t="s">
        <v>459</v>
      </c>
      <c r="C14" s="600"/>
      <c r="D14" s="688" t="s">
        <v>681</v>
      </c>
      <c r="E14" s="689"/>
      <c r="F14" s="689"/>
      <c r="G14" s="689"/>
      <c r="H14" s="689"/>
      <c r="I14" s="689"/>
      <c r="J14" s="689"/>
      <c r="K14" s="689"/>
      <c r="L14" s="690"/>
    </row>
    <row r="15" spans="1:12" ht="21">
      <c r="A15" s="88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</row>
    <row r="16" spans="1:12" ht="21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</row>
    <row r="17" spans="1:12" ht="21">
      <c r="A17" s="89"/>
      <c r="B17" s="90"/>
      <c r="C17" s="684"/>
      <c r="D17" s="684"/>
      <c r="E17" s="91"/>
      <c r="F17" s="684"/>
      <c r="G17" s="684"/>
      <c r="H17" s="90"/>
      <c r="I17" s="90"/>
      <c r="J17" s="89"/>
      <c r="K17" s="71"/>
      <c r="L17" s="71"/>
    </row>
    <row r="18" spans="1:12" ht="21">
      <c r="A18" s="71"/>
      <c r="B18" s="92" t="s">
        <v>299</v>
      </c>
      <c r="C18" s="93" t="s">
        <v>300</v>
      </c>
      <c r="D18" s="94">
        <v>2</v>
      </c>
      <c r="E18" s="95" t="s">
        <v>301</v>
      </c>
      <c r="F18" s="94">
        <v>1</v>
      </c>
      <c r="G18" s="96" t="s">
        <v>302</v>
      </c>
      <c r="H18" s="95" t="s">
        <v>303</v>
      </c>
      <c r="I18" s="95">
        <v>2</v>
      </c>
      <c r="J18" s="71"/>
      <c r="K18" s="71"/>
      <c r="L18" s="71"/>
    </row>
    <row r="19" spans="1:12" ht="21">
      <c r="A19" s="71"/>
      <c r="B19" s="92" t="s">
        <v>304</v>
      </c>
      <c r="C19" s="682">
        <v>136</v>
      </c>
      <c r="D19" s="682"/>
      <c r="E19" s="97"/>
      <c r="F19" s="98" t="s">
        <v>305</v>
      </c>
      <c r="G19" s="99"/>
      <c r="H19" s="683">
        <v>100</v>
      </c>
      <c r="I19" s="683"/>
      <c r="J19" s="71"/>
      <c r="K19" s="71"/>
      <c r="L19" s="71"/>
    </row>
    <row r="20" spans="1:12" ht="21">
      <c r="A20" s="71"/>
      <c r="B20" s="100"/>
      <c r="C20" s="684"/>
      <c r="D20" s="684"/>
      <c r="E20" s="100"/>
      <c r="F20" s="100"/>
      <c r="G20" s="100"/>
      <c r="H20" s="100"/>
      <c r="I20" s="100"/>
      <c r="J20" s="71"/>
      <c r="K20" s="71"/>
      <c r="L20" s="71"/>
    </row>
    <row r="21" spans="1:12" ht="21">
      <c r="A21" s="101"/>
      <c r="B21" s="92" t="s">
        <v>306</v>
      </c>
      <c r="C21" s="102">
        <f>(D18+F18)/I18/C19*H19</f>
        <v>1.1029411764705883</v>
      </c>
      <c r="D21" s="103"/>
      <c r="E21" s="103"/>
      <c r="F21" s="100"/>
      <c r="G21" s="100"/>
      <c r="H21" s="100"/>
      <c r="I21" s="100"/>
      <c r="J21" s="71"/>
      <c r="K21" s="71"/>
      <c r="L21" s="71"/>
    </row>
    <row r="22" spans="1:12" ht="21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</row>
    <row r="23" spans="1:12" ht="21">
      <c r="A23" s="71"/>
      <c r="B23" s="104"/>
      <c r="C23" s="105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21">
      <c r="A24" s="71"/>
      <c r="B24" s="104"/>
      <c r="C24" s="106"/>
      <c r="D24" s="107"/>
      <c r="E24" s="71"/>
      <c r="F24" s="71"/>
      <c r="G24" s="71"/>
      <c r="H24" s="71"/>
      <c r="I24" s="71"/>
      <c r="J24" s="71"/>
      <c r="K24" s="71"/>
      <c r="L24" s="71"/>
    </row>
  </sheetData>
  <sheetProtection password="B090" sheet="1" objects="1" scenarios="1"/>
  <mergeCells count="21">
    <mergeCell ref="B1:C1"/>
    <mergeCell ref="A5:L5"/>
    <mergeCell ref="A6:L6"/>
    <mergeCell ref="A7:L7"/>
    <mergeCell ref="A9:I9"/>
    <mergeCell ref="J9:L9"/>
    <mergeCell ref="A10:B10"/>
    <mergeCell ref="C10:I10"/>
    <mergeCell ref="J10:L10"/>
    <mergeCell ref="A11:B11"/>
    <mergeCell ref="C11:I11"/>
    <mergeCell ref="J11:L11"/>
    <mergeCell ref="C19:D19"/>
    <mergeCell ref="H19:I19"/>
    <mergeCell ref="C20:D20"/>
    <mergeCell ref="B13:C13"/>
    <mergeCell ref="D13:L13"/>
    <mergeCell ref="B14:C14"/>
    <mergeCell ref="D14:L14"/>
    <mergeCell ref="C17:D17"/>
    <mergeCell ref="F17:G17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5" orientation="landscape" horizontalDpi="4294967294" verticalDpi="4294967294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6:N26"/>
  <sheetViews>
    <sheetView topLeftCell="A4" zoomScaleNormal="100" workbookViewId="0">
      <selection activeCell="J20" sqref="J20"/>
    </sheetView>
  </sheetViews>
  <sheetFormatPr defaultColWidth="9.140625" defaultRowHeight="15"/>
  <cols>
    <col min="1" max="1" width="38.42578125" style="68" customWidth="1"/>
    <col min="2" max="2" width="9.140625" style="68"/>
    <col min="3" max="14" width="15.85546875" style="68" customWidth="1"/>
    <col min="15" max="16384" width="9.140625" style="68"/>
  </cols>
  <sheetData>
    <row r="6" spans="1:14" ht="21" customHeight="1">
      <c r="A6" s="671" t="s">
        <v>0</v>
      </c>
      <c r="B6" s="671"/>
      <c r="C6" s="671"/>
      <c r="D6" s="671"/>
      <c r="E6" s="671"/>
      <c r="F6" s="671"/>
      <c r="G6" s="671"/>
      <c r="H6" s="671"/>
      <c r="I6" s="671"/>
      <c r="J6" s="671"/>
      <c r="K6" s="671"/>
      <c r="L6" s="671"/>
    </row>
    <row r="7" spans="1:14" ht="21" customHeight="1">
      <c r="A7" s="671" t="s">
        <v>2</v>
      </c>
      <c r="B7" s="671"/>
      <c r="C7" s="671"/>
      <c r="D7" s="671"/>
      <c r="E7" s="671"/>
      <c r="F7" s="671"/>
      <c r="G7" s="671"/>
      <c r="H7" s="671"/>
      <c r="I7" s="671"/>
      <c r="J7" s="671"/>
      <c r="K7" s="671"/>
      <c r="L7" s="671"/>
    </row>
    <row r="8" spans="1:14" ht="21" customHeight="1">
      <c r="A8" s="672" t="s">
        <v>5</v>
      </c>
      <c r="B8" s="672"/>
      <c r="C8" s="672"/>
      <c r="D8" s="672"/>
      <c r="E8" s="672"/>
      <c r="F8" s="672"/>
      <c r="G8" s="672"/>
      <c r="H8" s="672"/>
      <c r="I8" s="672"/>
      <c r="J8" s="672"/>
      <c r="K8" s="672"/>
      <c r="L8" s="672"/>
    </row>
    <row r="9" spans="1:14" ht="21">
      <c r="A9" s="71"/>
      <c r="B9" s="71"/>
      <c r="C9" s="72"/>
      <c r="D9" s="71"/>
      <c r="E9" s="71"/>
      <c r="F9" s="71"/>
      <c r="G9" s="71"/>
      <c r="H9" s="71"/>
      <c r="I9" s="71"/>
    </row>
    <row r="10" spans="1:14" ht="38.25" customHeight="1">
      <c r="A10" s="712" t="s">
        <v>307</v>
      </c>
      <c r="B10" s="712"/>
      <c r="C10" s="712"/>
      <c r="D10" s="712"/>
      <c r="E10" s="712"/>
      <c r="F10" s="712"/>
      <c r="G10" s="712"/>
      <c r="H10" s="712"/>
      <c r="I10" s="712"/>
      <c r="J10" s="712"/>
      <c r="K10" s="712"/>
      <c r="L10" s="712"/>
      <c r="M10" s="713" t="s">
        <v>1</v>
      </c>
      <c r="N10" s="713"/>
    </row>
    <row r="11" spans="1:14" ht="21" customHeight="1">
      <c r="A11" s="707" t="s">
        <v>7</v>
      </c>
      <c r="B11" s="707"/>
      <c r="C11" s="707"/>
      <c r="D11" s="707"/>
      <c r="E11" s="707"/>
      <c r="F11" s="707"/>
      <c r="G11" s="707" t="s">
        <v>294</v>
      </c>
      <c r="H11" s="707"/>
      <c r="I11" s="707"/>
      <c r="J11" s="707"/>
      <c r="K11" s="707"/>
      <c r="L11" s="707"/>
      <c r="M11" s="692" t="s">
        <v>295</v>
      </c>
      <c r="N11" s="692"/>
    </row>
    <row r="12" spans="1:14" ht="23.25" customHeight="1">
      <c r="A12" s="708" t="s">
        <v>459</v>
      </c>
      <c r="B12" s="709"/>
      <c r="C12" s="709"/>
      <c r="D12" s="709"/>
      <c r="E12" s="709"/>
      <c r="F12" s="710"/>
      <c r="G12" s="693" t="s">
        <v>463</v>
      </c>
      <c r="H12" s="693"/>
      <c r="I12" s="693"/>
      <c r="J12" s="693"/>
      <c r="K12" s="693"/>
      <c r="L12" s="693"/>
      <c r="M12" s="711" t="s">
        <v>673</v>
      </c>
      <c r="N12" s="711"/>
    </row>
    <row r="13" spans="1:14" ht="15.75">
      <c r="A13" s="73"/>
      <c r="B13" s="74"/>
      <c r="C13" s="75"/>
      <c r="D13" s="76"/>
      <c r="E13" s="76"/>
      <c r="F13" s="76"/>
      <c r="G13" s="76"/>
      <c r="H13" s="76"/>
    </row>
    <row r="14" spans="1:14">
      <c r="A14" s="73"/>
      <c r="B14" s="77"/>
      <c r="C14" s="73"/>
    </row>
    <row r="15" spans="1:14" ht="18" customHeight="1">
      <c r="A15" s="699" t="s">
        <v>308</v>
      </c>
      <c r="B15" s="700"/>
      <c r="C15" s="700"/>
      <c r="D15" s="700"/>
      <c r="E15" s="700"/>
      <c r="F15" s="700"/>
      <c r="G15" s="700"/>
      <c r="H15" s="700"/>
      <c r="I15" s="700"/>
      <c r="J15" s="700"/>
      <c r="K15" s="700"/>
      <c r="L15" s="700"/>
      <c r="M15" s="700"/>
      <c r="N15" s="700"/>
    </row>
    <row r="16" spans="1:14">
      <c r="A16" s="703" t="s">
        <v>307</v>
      </c>
      <c r="B16" s="704" t="s">
        <v>309</v>
      </c>
      <c r="C16" s="78" t="s">
        <v>310</v>
      </c>
      <c r="D16" s="78" t="s">
        <v>311</v>
      </c>
      <c r="E16" s="78" t="s">
        <v>312</v>
      </c>
      <c r="F16" s="78" t="s">
        <v>313</v>
      </c>
      <c r="G16" s="78" t="s">
        <v>314</v>
      </c>
      <c r="H16" s="78" t="s">
        <v>315</v>
      </c>
      <c r="I16" s="78" t="s">
        <v>316</v>
      </c>
      <c r="J16" s="78" t="s">
        <v>317</v>
      </c>
      <c r="K16" s="78" t="s">
        <v>318</v>
      </c>
      <c r="L16" s="78" t="s">
        <v>319</v>
      </c>
      <c r="M16" s="78" t="s">
        <v>320</v>
      </c>
      <c r="N16" s="78" t="s">
        <v>321</v>
      </c>
    </row>
    <row r="17" spans="1:14">
      <c r="A17" s="703"/>
      <c r="B17" s="704"/>
      <c r="C17" s="78" t="s">
        <v>322</v>
      </c>
      <c r="D17" s="78" t="s">
        <v>322</v>
      </c>
      <c r="E17" s="78" t="s">
        <v>322</v>
      </c>
      <c r="F17" s="78" t="s">
        <v>322</v>
      </c>
      <c r="G17" s="78" t="s">
        <v>322</v>
      </c>
      <c r="H17" s="78" t="s">
        <v>322</v>
      </c>
      <c r="I17" s="78" t="s">
        <v>322</v>
      </c>
      <c r="J17" s="78" t="s">
        <v>322</v>
      </c>
      <c r="K17" s="78" t="s">
        <v>322</v>
      </c>
      <c r="L17" s="78" t="s">
        <v>322</v>
      </c>
      <c r="M17" s="78" t="s">
        <v>322</v>
      </c>
      <c r="N17" s="78" t="s">
        <v>322</v>
      </c>
    </row>
    <row r="18" spans="1:14">
      <c r="A18" s="79" t="s">
        <v>323</v>
      </c>
      <c r="B18" s="705" t="s">
        <v>324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</row>
    <row r="19" spans="1:14" ht="25.5">
      <c r="A19" s="81" t="s">
        <v>325</v>
      </c>
      <c r="B19" s="705"/>
      <c r="C19" s="304">
        <v>77</v>
      </c>
      <c r="D19" s="304">
        <v>78</v>
      </c>
      <c r="E19" s="80">
        <v>78</v>
      </c>
      <c r="F19" s="80">
        <v>79</v>
      </c>
      <c r="G19" s="80">
        <v>79</v>
      </c>
      <c r="H19" s="80">
        <v>77</v>
      </c>
      <c r="I19" s="80">
        <v>76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</row>
    <row r="20" spans="1:14">
      <c r="A20" s="79" t="s">
        <v>326</v>
      </c>
      <c r="B20" s="705"/>
      <c r="C20" s="304">
        <v>59</v>
      </c>
      <c r="D20" s="304">
        <v>61</v>
      </c>
      <c r="E20" s="304">
        <v>59</v>
      </c>
      <c r="F20" s="80">
        <v>61</v>
      </c>
      <c r="G20" s="80">
        <v>61</v>
      </c>
      <c r="H20" s="80">
        <v>59</v>
      </c>
      <c r="I20" s="80">
        <v>59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</row>
    <row r="21" spans="1:14">
      <c r="A21" s="701" t="s">
        <v>327</v>
      </c>
      <c r="B21" s="701"/>
      <c r="C21" s="82">
        <f t="shared" ref="C21:N21" si="0">SUM(C18:C20)</f>
        <v>136</v>
      </c>
      <c r="D21" s="82">
        <f t="shared" si="0"/>
        <v>139</v>
      </c>
      <c r="E21" s="82">
        <f t="shared" si="0"/>
        <v>137</v>
      </c>
      <c r="F21" s="82">
        <f t="shared" si="0"/>
        <v>140</v>
      </c>
      <c r="G21" s="82">
        <f t="shared" si="0"/>
        <v>140</v>
      </c>
      <c r="H21" s="82">
        <f t="shared" si="0"/>
        <v>136</v>
      </c>
      <c r="I21" s="82">
        <f t="shared" si="0"/>
        <v>135</v>
      </c>
      <c r="J21" s="82">
        <f t="shared" si="0"/>
        <v>0</v>
      </c>
      <c r="K21" s="82">
        <f t="shared" si="0"/>
        <v>0</v>
      </c>
      <c r="L21" s="82">
        <f t="shared" si="0"/>
        <v>0</v>
      </c>
      <c r="M21" s="82">
        <f t="shared" si="0"/>
        <v>0</v>
      </c>
      <c r="N21" s="82">
        <f t="shared" si="0"/>
        <v>0</v>
      </c>
    </row>
    <row r="22" spans="1:14">
      <c r="A22" s="79" t="s">
        <v>328</v>
      </c>
      <c r="B22" s="706" t="s">
        <v>329</v>
      </c>
      <c r="C22" s="305">
        <v>21</v>
      </c>
      <c r="D22" s="305">
        <v>20</v>
      </c>
      <c r="E22" s="83">
        <v>20</v>
      </c>
      <c r="F22" s="83">
        <v>21</v>
      </c>
      <c r="G22" s="83">
        <v>20</v>
      </c>
      <c r="H22" s="83">
        <v>21</v>
      </c>
      <c r="I22" s="83">
        <v>20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</row>
    <row r="23" spans="1:14">
      <c r="A23" s="79" t="s">
        <v>330</v>
      </c>
      <c r="B23" s="706"/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</row>
    <row r="24" spans="1:14">
      <c r="A24" s="701" t="s">
        <v>331</v>
      </c>
      <c r="B24" s="701"/>
      <c r="C24" s="82">
        <f t="shared" ref="C24:N24" si="1">SUM(C22:C23)</f>
        <v>21</v>
      </c>
      <c r="D24" s="82">
        <f t="shared" si="1"/>
        <v>20</v>
      </c>
      <c r="E24" s="82">
        <f t="shared" si="1"/>
        <v>20</v>
      </c>
      <c r="F24" s="82">
        <f t="shared" si="1"/>
        <v>21</v>
      </c>
      <c r="G24" s="82">
        <f t="shared" si="1"/>
        <v>20</v>
      </c>
      <c r="H24" s="82">
        <f t="shared" si="1"/>
        <v>21</v>
      </c>
      <c r="I24" s="82">
        <f t="shared" si="1"/>
        <v>20</v>
      </c>
      <c r="J24" s="82">
        <f t="shared" si="1"/>
        <v>0</v>
      </c>
      <c r="K24" s="82">
        <f t="shared" si="1"/>
        <v>0</v>
      </c>
      <c r="L24" s="82">
        <f t="shared" si="1"/>
        <v>0</v>
      </c>
      <c r="M24" s="82">
        <f t="shared" si="1"/>
        <v>0</v>
      </c>
      <c r="N24" s="82">
        <f t="shared" si="1"/>
        <v>0</v>
      </c>
    </row>
    <row r="25" spans="1:14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</row>
    <row r="26" spans="1:14">
      <c r="A26" s="702" t="s">
        <v>332</v>
      </c>
      <c r="B26" s="702"/>
      <c r="C26" s="84">
        <f t="shared" ref="C26:N26" si="2">C24+C21</f>
        <v>157</v>
      </c>
      <c r="D26" s="84">
        <f t="shared" si="2"/>
        <v>159</v>
      </c>
      <c r="E26" s="84">
        <f t="shared" si="2"/>
        <v>157</v>
      </c>
      <c r="F26" s="84">
        <f t="shared" si="2"/>
        <v>161</v>
      </c>
      <c r="G26" s="84">
        <f t="shared" si="2"/>
        <v>160</v>
      </c>
      <c r="H26" s="84">
        <f t="shared" si="2"/>
        <v>157</v>
      </c>
      <c r="I26" s="84">
        <f t="shared" si="2"/>
        <v>155</v>
      </c>
      <c r="J26" s="84">
        <f t="shared" si="2"/>
        <v>0</v>
      </c>
      <c r="K26" s="84">
        <f t="shared" si="2"/>
        <v>0</v>
      </c>
      <c r="L26" s="84">
        <f t="shared" si="2"/>
        <v>0</v>
      </c>
      <c r="M26" s="84">
        <f t="shared" si="2"/>
        <v>0</v>
      </c>
      <c r="N26" s="84">
        <f t="shared" si="2"/>
        <v>0</v>
      </c>
    </row>
  </sheetData>
  <sheetProtection password="B090" sheet="1" objects="1" scenarios="1"/>
  <mergeCells count="19">
    <mergeCell ref="A6:L6"/>
    <mergeCell ref="A7:L7"/>
    <mergeCell ref="A8:L8"/>
    <mergeCell ref="A10:L10"/>
    <mergeCell ref="M10:N10"/>
    <mergeCell ref="A11:F11"/>
    <mergeCell ref="G11:L11"/>
    <mergeCell ref="M11:N11"/>
    <mergeCell ref="A12:F12"/>
    <mergeCell ref="G12:L12"/>
    <mergeCell ref="M12:N12"/>
    <mergeCell ref="A15:N15"/>
    <mergeCell ref="A21:B21"/>
    <mergeCell ref="A24:B24"/>
    <mergeCell ref="A26:B26"/>
    <mergeCell ref="A16:A17"/>
    <mergeCell ref="B16:B17"/>
    <mergeCell ref="B18:B20"/>
    <mergeCell ref="B22:B23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5"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I84"/>
  <sheetViews>
    <sheetView topLeftCell="B64" zoomScale="86" zoomScaleNormal="86" workbookViewId="0">
      <selection activeCell="G77" sqref="G77"/>
    </sheetView>
  </sheetViews>
  <sheetFormatPr defaultColWidth="8.7109375" defaultRowHeight="15.75"/>
  <cols>
    <col min="1" max="1" width="8.140625" style="16" customWidth="1"/>
    <col min="2" max="2" width="33.28515625" style="16" customWidth="1"/>
    <col min="3" max="3" width="35.140625" style="16" customWidth="1"/>
    <col min="4" max="4" width="40" style="16" customWidth="1"/>
    <col min="5" max="5" width="29.42578125" style="16" customWidth="1"/>
    <col min="6" max="6" width="47" style="16" customWidth="1"/>
    <col min="7" max="7" width="27.140625" style="16" customWidth="1"/>
    <col min="8" max="8" width="41" style="16" customWidth="1"/>
    <col min="9" max="9" width="19.7109375" style="16" customWidth="1"/>
    <col min="10" max="256" width="8.7109375" style="16"/>
    <col min="257" max="257" width="8.140625" style="16" customWidth="1"/>
    <col min="258" max="258" width="40.140625" style="16" customWidth="1"/>
    <col min="259" max="259" width="43.42578125" style="16" customWidth="1"/>
    <col min="260" max="260" width="30.7109375" style="16" customWidth="1"/>
    <col min="261" max="261" width="24.85546875" style="16" customWidth="1"/>
    <col min="262" max="262" width="34.42578125" style="16" customWidth="1"/>
    <col min="263" max="263" width="27.140625" style="16" customWidth="1"/>
    <col min="264" max="264" width="23.5703125" style="16" customWidth="1"/>
    <col min="265" max="512" width="8.7109375" style="16"/>
    <col min="513" max="513" width="8.140625" style="16" customWidth="1"/>
    <col min="514" max="514" width="40.140625" style="16" customWidth="1"/>
    <col min="515" max="515" width="43.42578125" style="16" customWidth="1"/>
    <col min="516" max="516" width="30.7109375" style="16" customWidth="1"/>
    <col min="517" max="517" width="24.85546875" style="16" customWidth="1"/>
    <col min="518" max="518" width="34.42578125" style="16" customWidth="1"/>
    <col min="519" max="519" width="27.140625" style="16" customWidth="1"/>
    <col min="520" max="520" width="23.5703125" style="16" customWidth="1"/>
    <col min="521" max="768" width="8.7109375" style="16"/>
    <col min="769" max="769" width="8.140625" style="16" customWidth="1"/>
    <col min="770" max="770" width="40.140625" style="16" customWidth="1"/>
    <col min="771" max="771" width="43.42578125" style="16" customWidth="1"/>
    <col min="772" max="772" width="30.7109375" style="16" customWidth="1"/>
    <col min="773" max="773" width="24.85546875" style="16" customWidth="1"/>
    <col min="774" max="774" width="34.42578125" style="16" customWidth="1"/>
    <col min="775" max="775" width="27.140625" style="16" customWidth="1"/>
    <col min="776" max="776" width="23.5703125" style="16" customWidth="1"/>
    <col min="777" max="1024" width="8.7109375" style="16"/>
    <col min="1025" max="1025" width="8.140625" style="16" customWidth="1"/>
    <col min="1026" max="1026" width="40.140625" style="16" customWidth="1"/>
    <col min="1027" max="1027" width="43.42578125" style="16" customWidth="1"/>
    <col min="1028" max="1028" width="30.7109375" style="16" customWidth="1"/>
    <col min="1029" max="1029" width="24.85546875" style="16" customWidth="1"/>
    <col min="1030" max="1030" width="34.42578125" style="16" customWidth="1"/>
    <col min="1031" max="1031" width="27.140625" style="16" customWidth="1"/>
    <col min="1032" max="1032" width="23.5703125" style="16" customWidth="1"/>
    <col min="1033" max="1280" width="8.7109375" style="16"/>
    <col min="1281" max="1281" width="8.140625" style="16" customWidth="1"/>
    <col min="1282" max="1282" width="40.140625" style="16" customWidth="1"/>
    <col min="1283" max="1283" width="43.42578125" style="16" customWidth="1"/>
    <col min="1284" max="1284" width="30.7109375" style="16" customWidth="1"/>
    <col min="1285" max="1285" width="24.85546875" style="16" customWidth="1"/>
    <col min="1286" max="1286" width="34.42578125" style="16" customWidth="1"/>
    <col min="1287" max="1287" width="27.140625" style="16" customWidth="1"/>
    <col min="1288" max="1288" width="23.5703125" style="16" customWidth="1"/>
    <col min="1289" max="1536" width="8.7109375" style="16"/>
    <col min="1537" max="1537" width="8.140625" style="16" customWidth="1"/>
    <col min="1538" max="1538" width="40.140625" style="16" customWidth="1"/>
    <col min="1539" max="1539" width="43.42578125" style="16" customWidth="1"/>
    <col min="1540" max="1540" width="30.7109375" style="16" customWidth="1"/>
    <col min="1541" max="1541" width="24.85546875" style="16" customWidth="1"/>
    <col min="1542" max="1542" width="34.42578125" style="16" customWidth="1"/>
    <col min="1543" max="1543" width="27.140625" style="16" customWidth="1"/>
    <col min="1544" max="1544" width="23.5703125" style="16" customWidth="1"/>
    <col min="1545" max="1792" width="8.7109375" style="16"/>
    <col min="1793" max="1793" width="8.140625" style="16" customWidth="1"/>
    <col min="1794" max="1794" width="40.140625" style="16" customWidth="1"/>
    <col min="1795" max="1795" width="43.42578125" style="16" customWidth="1"/>
    <col min="1796" max="1796" width="30.7109375" style="16" customWidth="1"/>
    <col min="1797" max="1797" width="24.85546875" style="16" customWidth="1"/>
    <col min="1798" max="1798" width="34.42578125" style="16" customWidth="1"/>
    <col min="1799" max="1799" width="27.140625" style="16" customWidth="1"/>
    <col min="1800" max="1800" width="23.5703125" style="16" customWidth="1"/>
    <col min="1801" max="2048" width="8.7109375" style="16"/>
    <col min="2049" max="2049" width="8.140625" style="16" customWidth="1"/>
    <col min="2050" max="2050" width="40.140625" style="16" customWidth="1"/>
    <col min="2051" max="2051" width="43.42578125" style="16" customWidth="1"/>
    <col min="2052" max="2052" width="30.7109375" style="16" customWidth="1"/>
    <col min="2053" max="2053" width="24.85546875" style="16" customWidth="1"/>
    <col min="2054" max="2054" width="34.42578125" style="16" customWidth="1"/>
    <col min="2055" max="2055" width="27.140625" style="16" customWidth="1"/>
    <col min="2056" max="2056" width="23.5703125" style="16" customWidth="1"/>
    <col min="2057" max="2304" width="8.7109375" style="16"/>
    <col min="2305" max="2305" width="8.140625" style="16" customWidth="1"/>
    <col min="2306" max="2306" width="40.140625" style="16" customWidth="1"/>
    <col min="2307" max="2307" width="43.42578125" style="16" customWidth="1"/>
    <col min="2308" max="2308" width="30.7109375" style="16" customWidth="1"/>
    <col min="2309" max="2309" width="24.85546875" style="16" customWidth="1"/>
    <col min="2310" max="2310" width="34.42578125" style="16" customWidth="1"/>
    <col min="2311" max="2311" width="27.140625" style="16" customWidth="1"/>
    <col min="2312" max="2312" width="23.5703125" style="16" customWidth="1"/>
    <col min="2313" max="2560" width="8.7109375" style="16"/>
    <col min="2561" max="2561" width="8.140625" style="16" customWidth="1"/>
    <col min="2562" max="2562" width="40.140625" style="16" customWidth="1"/>
    <col min="2563" max="2563" width="43.42578125" style="16" customWidth="1"/>
    <col min="2564" max="2564" width="30.7109375" style="16" customWidth="1"/>
    <col min="2565" max="2565" width="24.85546875" style="16" customWidth="1"/>
    <col min="2566" max="2566" width="34.42578125" style="16" customWidth="1"/>
    <col min="2567" max="2567" width="27.140625" style="16" customWidth="1"/>
    <col min="2568" max="2568" width="23.5703125" style="16" customWidth="1"/>
    <col min="2569" max="2816" width="8.7109375" style="16"/>
    <col min="2817" max="2817" width="8.140625" style="16" customWidth="1"/>
    <col min="2818" max="2818" width="40.140625" style="16" customWidth="1"/>
    <col min="2819" max="2819" width="43.42578125" style="16" customWidth="1"/>
    <col min="2820" max="2820" width="30.7109375" style="16" customWidth="1"/>
    <col min="2821" max="2821" width="24.85546875" style="16" customWidth="1"/>
    <col min="2822" max="2822" width="34.42578125" style="16" customWidth="1"/>
    <col min="2823" max="2823" width="27.140625" style="16" customWidth="1"/>
    <col min="2824" max="2824" width="23.5703125" style="16" customWidth="1"/>
    <col min="2825" max="3072" width="8.7109375" style="16"/>
    <col min="3073" max="3073" width="8.140625" style="16" customWidth="1"/>
    <col min="3074" max="3074" width="40.140625" style="16" customWidth="1"/>
    <col min="3075" max="3075" width="43.42578125" style="16" customWidth="1"/>
    <col min="3076" max="3076" width="30.7109375" style="16" customWidth="1"/>
    <col min="3077" max="3077" width="24.85546875" style="16" customWidth="1"/>
    <col min="3078" max="3078" width="34.42578125" style="16" customWidth="1"/>
    <col min="3079" max="3079" width="27.140625" style="16" customWidth="1"/>
    <col min="3080" max="3080" width="23.5703125" style="16" customWidth="1"/>
    <col min="3081" max="3328" width="8.7109375" style="16"/>
    <col min="3329" max="3329" width="8.140625" style="16" customWidth="1"/>
    <col min="3330" max="3330" width="40.140625" style="16" customWidth="1"/>
    <col min="3331" max="3331" width="43.42578125" style="16" customWidth="1"/>
    <col min="3332" max="3332" width="30.7109375" style="16" customWidth="1"/>
    <col min="3333" max="3333" width="24.85546875" style="16" customWidth="1"/>
    <col min="3334" max="3334" width="34.42578125" style="16" customWidth="1"/>
    <col min="3335" max="3335" width="27.140625" style="16" customWidth="1"/>
    <col min="3336" max="3336" width="23.5703125" style="16" customWidth="1"/>
    <col min="3337" max="3584" width="8.7109375" style="16"/>
    <col min="3585" max="3585" width="8.140625" style="16" customWidth="1"/>
    <col min="3586" max="3586" width="40.140625" style="16" customWidth="1"/>
    <col min="3587" max="3587" width="43.42578125" style="16" customWidth="1"/>
    <col min="3588" max="3588" width="30.7109375" style="16" customWidth="1"/>
    <col min="3589" max="3589" width="24.85546875" style="16" customWidth="1"/>
    <col min="3590" max="3590" width="34.42578125" style="16" customWidth="1"/>
    <col min="3591" max="3591" width="27.140625" style="16" customWidth="1"/>
    <col min="3592" max="3592" width="23.5703125" style="16" customWidth="1"/>
    <col min="3593" max="3840" width="8.7109375" style="16"/>
    <col min="3841" max="3841" width="8.140625" style="16" customWidth="1"/>
    <col min="3842" max="3842" width="40.140625" style="16" customWidth="1"/>
    <col min="3843" max="3843" width="43.42578125" style="16" customWidth="1"/>
    <col min="3844" max="3844" width="30.7109375" style="16" customWidth="1"/>
    <col min="3845" max="3845" width="24.85546875" style="16" customWidth="1"/>
    <col min="3846" max="3846" width="34.42578125" style="16" customWidth="1"/>
    <col min="3847" max="3847" width="27.140625" style="16" customWidth="1"/>
    <col min="3848" max="3848" width="23.5703125" style="16" customWidth="1"/>
    <col min="3849" max="4096" width="8.7109375" style="16"/>
    <col min="4097" max="4097" width="8.140625" style="16" customWidth="1"/>
    <col min="4098" max="4098" width="40.140625" style="16" customWidth="1"/>
    <col min="4099" max="4099" width="43.42578125" style="16" customWidth="1"/>
    <col min="4100" max="4100" width="30.7109375" style="16" customWidth="1"/>
    <col min="4101" max="4101" width="24.85546875" style="16" customWidth="1"/>
    <col min="4102" max="4102" width="34.42578125" style="16" customWidth="1"/>
    <col min="4103" max="4103" width="27.140625" style="16" customWidth="1"/>
    <col min="4104" max="4104" width="23.5703125" style="16" customWidth="1"/>
    <col min="4105" max="4352" width="8.7109375" style="16"/>
    <col min="4353" max="4353" width="8.140625" style="16" customWidth="1"/>
    <col min="4354" max="4354" width="40.140625" style="16" customWidth="1"/>
    <col min="4355" max="4355" width="43.42578125" style="16" customWidth="1"/>
    <col min="4356" max="4356" width="30.7109375" style="16" customWidth="1"/>
    <col min="4357" max="4357" width="24.85546875" style="16" customWidth="1"/>
    <col min="4358" max="4358" width="34.42578125" style="16" customWidth="1"/>
    <col min="4359" max="4359" width="27.140625" style="16" customWidth="1"/>
    <col min="4360" max="4360" width="23.5703125" style="16" customWidth="1"/>
    <col min="4361" max="4608" width="8.7109375" style="16"/>
    <col min="4609" max="4609" width="8.140625" style="16" customWidth="1"/>
    <col min="4610" max="4610" width="40.140625" style="16" customWidth="1"/>
    <col min="4611" max="4611" width="43.42578125" style="16" customWidth="1"/>
    <col min="4612" max="4612" width="30.7109375" style="16" customWidth="1"/>
    <col min="4613" max="4613" width="24.85546875" style="16" customWidth="1"/>
    <col min="4614" max="4614" width="34.42578125" style="16" customWidth="1"/>
    <col min="4615" max="4615" width="27.140625" style="16" customWidth="1"/>
    <col min="4616" max="4616" width="23.5703125" style="16" customWidth="1"/>
    <col min="4617" max="4864" width="8.7109375" style="16"/>
    <col min="4865" max="4865" width="8.140625" style="16" customWidth="1"/>
    <col min="4866" max="4866" width="40.140625" style="16" customWidth="1"/>
    <col min="4867" max="4867" width="43.42578125" style="16" customWidth="1"/>
    <col min="4868" max="4868" width="30.7109375" style="16" customWidth="1"/>
    <col min="4869" max="4869" width="24.85546875" style="16" customWidth="1"/>
    <col min="4870" max="4870" width="34.42578125" style="16" customWidth="1"/>
    <col min="4871" max="4871" width="27.140625" style="16" customWidth="1"/>
    <col min="4872" max="4872" width="23.5703125" style="16" customWidth="1"/>
    <col min="4873" max="5120" width="8.7109375" style="16"/>
    <col min="5121" max="5121" width="8.140625" style="16" customWidth="1"/>
    <col min="5122" max="5122" width="40.140625" style="16" customWidth="1"/>
    <col min="5123" max="5123" width="43.42578125" style="16" customWidth="1"/>
    <col min="5124" max="5124" width="30.7109375" style="16" customWidth="1"/>
    <col min="5125" max="5125" width="24.85546875" style="16" customWidth="1"/>
    <col min="5126" max="5126" width="34.42578125" style="16" customWidth="1"/>
    <col min="5127" max="5127" width="27.140625" style="16" customWidth="1"/>
    <col min="5128" max="5128" width="23.5703125" style="16" customWidth="1"/>
    <col min="5129" max="5376" width="8.7109375" style="16"/>
    <col min="5377" max="5377" width="8.140625" style="16" customWidth="1"/>
    <col min="5378" max="5378" width="40.140625" style="16" customWidth="1"/>
    <col min="5379" max="5379" width="43.42578125" style="16" customWidth="1"/>
    <col min="5380" max="5380" width="30.7109375" style="16" customWidth="1"/>
    <col min="5381" max="5381" width="24.85546875" style="16" customWidth="1"/>
    <col min="5382" max="5382" width="34.42578125" style="16" customWidth="1"/>
    <col min="5383" max="5383" width="27.140625" style="16" customWidth="1"/>
    <col min="5384" max="5384" width="23.5703125" style="16" customWidth="1"/>
    <col min="5385" max="5632" width="8.7109375" style="16"/>
    <col min="5633" max="5633" width="8.140625" style="16" customWidth="1"/>
    <col min="5634" max="5634" width="40.140625" style="16" customWidth="1"/>
    <col min="5635" max="5635" width="43.42578125" style="16" customWidth="1"/>
    <col min="5636" max="5636" width="30.7109375" style="16" customWidth="1"/>
    <col min="5637" max="5637" width="24.85546875" style="16" customWidth="1"/>
    <col min="5638" max="5638" width="34.42578125" style="16" customWidth="1"/>
    <col min="5639" max="5639" width="27.140625" style="16" customWidth="1"/>
    <col min="5640" max="5640" width="23.5703125" style="16" customWidth="1"/>
    <col min="5641" max="5888" width="8.7109375" style="16"/>
    <col min="5889" max="5889" width="8.140625" style="16" customWidth="1"/>
    <col min="5890" max="5890" width="40.140625" style="16" customWidth="1"/>
    <col min="5891" max="5891" width="43.42578125" style="16" customWidth="1"/>
    <col min="5892" max="5892" width="30.7109375" style="16" customWidth="1"/>
    <col min="5893" max="5893" width="24.85546875" style="16" customWidth="1"/>
    <col min="5894" max="5894" width="34.42578125" style="16" customWidth="1"/>
    <col min="5895" max="5895" width="27.140625" style="16" customWidth="1"/>
    <col min="5896" max="5896" width="23.5703125" style="16" customWidth="1"/>
    <col min="5897" max="6144" width="8.7109375" style="16"/>
    <col min="6145" max="6145" width="8.140625" style="16" customWidth="1"/>
    <col min="6146" max="6146" width="40.140625" style="16" customWidth="1"/>
    <col min="6147" max="6147" width="43.42578125" style="16" customWidth="1"/>
    <col min="6148" max="6148" width="30.7109375" style="16" customWidth="1"/>
    <col min="6149" max="6149" width="24.85546875" style="16" customWidth="1"/>
    <col min="6150" max="6150" width="34.42578125" style="16" customWidth="1"/>
    <col min="6151" max="6151" width="27.140625" style="16" customWidth="1"/>
    <col min="6152" max="6152" width="23.5703125" style="16" customWidth="1"/>
    <col min="6153" max="6400" width="8.7109375" style="16"/>
    <col min="6401" max="6401" width="8.140625" style="16" customWidth="1"/>
    <col min="6402" max="6402" width="40.140625" style="16" customWidth="1"/>
    <col min="6403" max="6403" width="43.42578125" style="16" customWidth="1"/>
    <col min="6404" max="6404" width="30.7109375" style="16" customWidth="1"/>
    <col min="6405" max="6405" width="24.85546875" style="16" customWidth="1"/>
    <col min="6406" max="6406" width="34.42578125" style="16" customWidth="1"/>
    <col min="6407" max="6407" width="27.140625" style="16" customWidth="1"/>
    <col min="6408" max="6408" width="23.5703125" style="16" customWidth="1"/>
    <col min="6409" max="6656" width="8.7109375" style="16"/>
    <col min="6657" max="6657" width="8.140625" style="16" customWidth="1"/>
    <col min="6658" max="6658" width="40.140625" style="16" customWidth="1"/>
    <col min="6659" max="6659" width="43.42578125" style="16" customWidth="1"/>
    <col min="6660" max="6660" width="30.7109375" style="16" customWidth="1"/>
    <col min="6661" max="6661" width="24.85546875" style="16" customWidth="1"/>
    <col min="6662" max="6662" width="34.42578125" style="16" customWidth="1"/>
    <col min="6663" max="6663" width="27.140625" style="16" customWidth="1"/>
    <col min="6664" max="6664" width="23.5703125" style="16" customWidth="1"/>
    <col min="6665" max="6912" width="8.7109375" style="16"/>
    <col min="6913" max="6913" width="8.140625" style="16" customWidth="1"/>
    <col min="6914" max="6914" width="40.140625" style="16" customWidth="1"/>
    <col min="6915" max="6915" width="43.42578125" style="16" customWidth="1"/>
    <col min="6916" max="6916" width="30.7109375" style="16" customWidth="1"/>
    <col min="6917" max="6917" width="24.85546875" style="16" customWidth="1"/>
    <col min="6918" max="6918" width="34.42578125" style="16" customWidth="1"/>
    <col min="6919" max="6919" width="27.140625" style="16" customWidth="1"/>
    <col min="6920" max="6920" width="23.5703125" style="16" customWidth="1"/>
    <col min="6921" max="7168" width="8.7109375" style="16"/>
    <col min="7169" max="7169" width="8.140625" style="16" customWidth="1"/>
    <col min="7170" max="7170" width="40.140625" style="16" customWidth="1"/>
    <col min="7171" max="7171" width="43.42578125" style="16" customWidth="1"/>
    <col min="7172" max="7172" width="30.7109375" style="16" customWidth="1"/>
    <col min="7173" max="7173" width="24.85546875" style="16" customWidth="1"/>
    <col min="7174" max="7174" width="34.42578125" style="16" customWidth="1"/>
    <col min="7175" max="7175" width="27.140625" style="16" customWidth="1"/>
    <col min="7176" max="7176" width="23.5703125" style="16" customWidth="1"/>
    <col min="7177" max="7424" width="8.7109375" style="16"/>
    <col min="7425" max="7425" width="8.140625" style="16" customWidth="1"/>
    <col min="7426" max="7426" width="40.140625" style="16" customWidth="1"/>
    <col min="7427" max="7427" width="43.42578125" style="16" customWidth="1"/>
    <col min="7428" max="7428" width="30.7109375" style="16" customWidth="1"/>
    <col min="7429" max="7429" width="24.85546875" style="16" customWidth="1"/>
    <col min="7430" max="7430" width="34.42578125" style="16" customWidth="1"/>
    <col min="7431" max="7431" width="27.140625" style="16" customWidth="1"/>
    <col min="7432" max="7432" width="23.5703125" style="16" customWidth="1"/>
    <col min="7433" max="7680" width="8.7109375" style="16"/>
    <col min="7681" max="7681" width="8.140625" style="16" customWidth="1"/>
    <col min="7682" max="7682" width="40.140625" style="16" customWidth="1"/>
    <col min="7683" max="7683" width="43.42578125" style="16" customWidth="1"/>
    <col min="7684" max="7684" width="30.7109375" style="16" customWidth="1"/>
    <col min="7685" max="7685" width="24.85546875" style="16" customWidth="1"/>
    <col min="7686" max="7686" width="34.42578125" style="16" customWidth="1"/>
    <col min="7687" max="7687" width="27.140625" style="16" customWidth="1"/>
    <col min="7688" max="7688" width="23.5703125" style="16" customWidth="1"/>
    <col min="7689" max="7936" width="8.7109375" style="16"/>
    <col min="7937" max="7937" width="8.140625" style="16" customWidth="1"/>
    <col min="7938" max="7938" width="40.140625" style="16" customWidth="1"/>
    <col min="7939" max="7939" width="43.42578125" style="16" customWidth="1"/>
    <col min="7940" max="7940" width="30.7109375" style="16" customWidth="1"/>
    <col min="7941" max="7941" width="24.85546875" style="16" customWidth="1"/>
    <col min="7942" max="7942" width="34.42578125" style="16" customWidth="1"/>
    <col min="7943" max="7943" width="27.140625" style="16" customWidth="1"/>
    <col min="7944" max="7944" width="23.5703125" style="16" customWidth="1"/>
    <col min="7945" max="8192" width="8.7109375" style="16"/>
    <col min="8193" max="8193" width="8.140625" style="16" customWidth="1"/>
    <col min="8194" max="8194" width="40.140625" style="16" customWidth="1"/>
    <col min="8195" max="8195" width="43.42578125" style="16" customWidth="1"/>
    <col min="8196" max="8196" width="30.7109375" style="16" customWidth="1"/>
    <col min="8197" max="8197" width="24.85546875" style="16" customWidth="1"/>
    <col min="8198" max="8198" width="34.42578125" style="16" customWidth="1"/>
    <col min="8199" max="8199" width="27.140625" style="16" customWidth="1"/>
    <col min="8200" max="8200" width="23.5703125" style="16" customWidth="1"/>
    <col min="8201" max="8448" width="8.7109375" style="16"/>
    <col min="8449" max="8449" width="8.140625" style="16" customWidth="1"/>
    <col min="8450" max="8450" width="40.140625" style="16" customWidth="1"/>
    <col min="8451" max="8451" width="43.42578125" style="16" customWidth="1"/>
    <col min="8452" max="8452" width="30.7109375" style="16" customWidth="1"/>
    <col min="8453" max="8453" width="24.85546875" style="16" customWidth="1"/>
    <col min="8454" max="8454" width="34.42578125" style="16" customWidth="1"/>
    <col min="8455" max="8455" width="27.140625" style="16" customWidth="1"/>
    <col min="8456" max="8456" width="23.5703125" style="16" customWidth="1"/>
    <col min="8457" max="8704" width="8.7109375" style="16"/>
    <col min="8705" max="8705" width="8.140625" style="16" customWidth="1"/>
    <col min="8706" max="8706" width="40.140625" style="16" customWidth="1"/>
    <col min="8707" max="8707" width="43.42578125" style="16" customWidth="1"/>
    <col min="8708" max="8708" width="30.7109375" style="16" customWidth="1"/>
    <col min="8709" max="8709" width="24.85546875" style="16" customWidth="1"/>
    <col min="8710" max="8710" width="34.42578125" style="16" customWidth="1"/>
    <col min="8711" max="8711" width="27.140625" style="16" customWidth="1"/>
    <col min="8712" max="8712" width="23.5703125" style="16" customWidth="1"/>
    <col min="8713" max="8960" width="8.7109375" style="16"/>
    <col min="8961" max="8961" width="8.140625" style="16" customWidth="1"/>
    <col min="8962" max="8962" width="40.140625" style="16" customWidth="1"/>
    <col min="8963" max="8963" width="43.42578125" style="16" customWidth="1"/>
    <col min="8964" max="8964" width="30.7109375" style="16" customWidth="1"/>
    <col min="8965" max="8965" width="24.85546875" style="16" customWidth="1"/>
    <col min="8966" max="8966" width="34.42578125" style="16" customWidth="1"/>
    <col min="8967" max="8967" width="27.140625" style="16" customWidth="1"/>
    <col min="8968" max="8968" width="23.5703125" style="16" customWidth="1"/>
    <col min="8969" max="9216" width="8.7109375" style="16"/>
    <col min="9217" max="9217" width="8.140625" style="16" customWidth="1"/>
    <col min="9218" max="9218" width="40.140625" style="16" customWidth="1"/>
    <col min="9219" max="9219" width="43.42578125" style="16" customWidth="1"/>
    <col min="9220" max="9220" width="30.7109375" style="16" customWidth="1"/>
    <col min="9221" max="9221" width="24.85546875" style="16" customWidth="1"/>
    <col min="9222" max="9222" width="34.42578125" style="16" customWidth="1"/>
    <col min="9223" max="9223" width="27.140625" style="16" customWidth="1"/>
    <col min="9224" max="9224" width="23.5703125" style="16" customWidth="1"/>
    <col min="9225" max="9472" width="8.7109375" style="16"/>
    <col min="9473" max="9473" width="8.140625" style="16" customWidth="1"/>
    <col min="9474" max="9474" width="40.140625" style="16" customWidth="1"/>
    <col min="9475" max="9475" width="43.42578125" style="16" customWidth="1"/>
    <col min="9476" max="9476" width="30.7109375" style="16" customWidth="1"/>
    <col min="9477" max="9477" width="24.85546875" style="16" customWidth="1"/>
    <col min="9478" max="9478" width="34.42578125" style="16" customWidth="1"/>
    <col min="9479" max="9479" width="27.140625" style="16" customWidth="1"/>
    <col min="9480" max="9480" width="23.5703125" style="16" customWidth="1"/>
    <col min="9481" max="9728" width="8.7109375" style="16"/>
    <col min="9729" max="9729" width="8.140625" style="16" customWidth="1"/>
    <col min="9730" max="9730" width="40.140625" style="16" customWidth="1"/>
    <col min="9731" max="9731" width="43.42578125" style="16" customWidth="1"/>
    <col min="9732" max="9732" width="30.7109375" style="16" customWidth="1"/>
    <col min="9733" max="9733" width="24.85546875" style="16" customWidth="1"/>
    <col min="9734" max="9734" width="34.42578125" style="16" customWidth="1"/>
    <col min="9735" max="9735" width="27.140625" style="16" customWidth="1"/>
    <col min="9736" max="9736" width="23.5703125" style="16" customWidth="1"/>
    <col min="9737" max="9984" width="8.7109375" style="16"/>
    <col min="9985" max="9985" width="8.140625" style="16" customWidth="1"/>
    <col min="9986" max="9986" width="40.140625" style="16" customWidth="1"/>
    <col min="9987" max="9987" width="43.42578125" style="16" customWidth="1"/>
    <col min="9988" max="9988" width="30.7109375" style="16" customWidth="1"/>
    <col min="9989" max="9989" width="24.85546875" style="16" customWidth="1"/>
    <col min="9990" max="9990" width="34.42578125" style="16" customWidth="1"/>
    <col min="9991" max="9991" width="27.140625" style="16" customWidth="1"/>
    <col min="9992" max="9992" width="23.5703125" style="16" customWidth="1"/>
    <col min="9993" max="10240" width="8.7109375" style="16"/>
    <col min="10241" max="10241" width="8.140625" style="16" customWidth="1"/>
    <col min="10242" max="10242" width="40.140625" style="16" customWidth="1"/>
    <col min="10243" max="10243" width="43.42578125" style="16" customWidth="1"/>
    <col min="10244" max="10244" width="30.7109375" style="16" customWidth="1"/>
    <col min="10245" max="10245" width="24.85546875" style="16" customWidth="1"/>
    <col min="10246" max="10246" width="34.42578125" style="16" customWidth="1"/>
    <col min="10247" max="10247" width="27.140625" style="16" customWidth="1"/>
    <col min="10248" max="10248" width="23.5703125" style="16" customWidth="1"/>
    <col min="10249" max="10496" width="8.7109375" style="16"/>
    <col min="10497" max="10497" width="8.140625" style="16" customWidth="1"/>
    <col min="10498" max="10498" width="40.140625" style="16" customWidth="1"/>
    <col min="10499" max="10499" width="43.42578125" style="16" customWidth="1"/>
    <col min="10500" max="10500" width="30.7109375" style="16" customWidth="1"/>
    <col min="10501" max="10501" width="24.85546875" style="16" customWidth="1"/>
    <col min="10502" max="10502" width="34.42578125" style="16" customWidth="1"/>
    <col min="10503" max="10503" width="27.140625" style="16" customWidth="1"/>
    <col min="10504" max="10504" width="23.5703125" style="16" customWidth="1"/>
    <col min="10505" max="10752" width="8.7109375" style="16"/>
    <col min="10753" max="10753" width="8.140625" style="16" customWidth="1"/>
    <col min="10754" max="10754" width="40.140625" style="16" customWidth="1"/>
    <col min="10755" max="10755" width="43.42578125" style="16" customWidth="1"/>
    <col min="10756" max="10756" width="30.7109375" style="16" customWidth="1"/>
    <col min="10757" max="10757" width="24.85546875" style="16" customWidth="1"/>
    <col min="10758" max="10758" width="34.42578125" style="16" customWidth="1"/>
    <col min="10759" max="10759" width="27.140625" style="16" customWidth="1"/>
    <col min="10760" max="10760" width="23.5703125" style="16" customWidth="1"/>
    <col min="10761" max="11008" width="8.7109375" style="16"/>
    <col min="11009" max="11009" width="8.140625" style="16" customWidth="1"/>
    <col min="11010" max="11010" width="40.140625" style="16" customWidth="1"/>
    <col min="11011" max="11011" width="43.42578125" style="16" customWidth="1"/>
    <col min="11012" max="11012" width="30.7109375" style="16" customWidth="1"/>
    <col min="11013" max="11013" width="24.85546875" style="16" customWidth="1"/>
    <col min="11014" max="11014" width="34.42578125" style="16" customWidth="1"/>
    <col min="11015" max="11015" width="27.140625" style="16" customWidth="1"/>
    <col min="11016" max="11016" width="23.5703125" style="16" customWidth="1"/>
    <col min="11017" max="11264" width="8.7109375" style="16"/>
    <col min="11265" max="11265" width="8.140625" style="16" customWidth="1"/>
    <col min="11266" max="11266" width="40.140625" style="16" customWidth="1"/>
    <col min="11267" max="11267" width="43.42578125" style="16" customWidth="1"/>
    <col min="11268" max="11268" width="30.7109375" style="16" customWidth="1"/>
    <col min="11269" max="11269" width="24.85546875" style="16" customWidth="1"/>
    <col min="11270" max="11270" width="34.42578125" style="16" customWidth="1"/>
    <col min="11271" max="11271" width="27.140625" style="16" customWidth="1"/>
    <col min="11272" max="11272" width="23.5703125" style="16" customWidth="1"/>
    <col min="11273" max="11520" width="8.7109375" style="16"/>
    <col min="11521" max="11521" width="8.140625" style="16" customWidth="1"/>
    <col min="11522" max="11522" width="40.140625" style="16" customWidth="1"/>
    <col min="11523" max="11523" width="43.42578125" style="16" customWidth="1"/>
    <col min="11524" max="11524" width="30.7109375" style="16" customWidth="1"/>
    <col min="11525" max="11525" width="24.85546875" style="16" customWidth="1"/>
    <col min="11526" max="11526" width="34.42578125" style="16" customWidth="1"/>
    <col min="11527" max="11527" width="27.140625" style="16" customWidth="1"/>
    <col min="11528" max="11528" width="23.5703125" style="16" customWidth="1"/>
    <col min="11529" max="11776" width="8.7109375" style="16"/>
    <col min="11777" max="11777" width="8.140625" style="16" customWidth="1"/>
    <col min="11778" max="11778" width="40.140625" style="16" customWidth="1"/>
    <col min="11779" max="11779" width="43.42578125" style="16" customWidth="1"/>
    <col min="11780" max="11780" width="30.7109375" style="16" customWidth="1"/>
    <col min="11781" max="11781" width="24.85546875" style="16" customWidth="1"/>
    <col min="11782" max="11782" width="34.42578125" style="16" customWidth="1"/>
    <col min="11783" max="11783" width="27.140625" style="16" customWidth="1"/>
    <col min="11784" max="11784" width="23.5703125" style="16" customWidth="1"/>
    <col min="11785" max="12032" width="8.7109375" style="16"/>
    <col min="12033" max="12033" width="8.140625" style="16" customWidth="1"/>
    <col min="12034" max="12034" width="40.140625" style="16" customWidth="1"/>
    <col min="12035" max="12035" width="43.42578125" style="16" customWidth="1"/>
    <col min="12036" max="12036" width="30.7109375" style="16" customWidth="1"/>
    <col min="12037" max="12037" width="24.85546875" style="16" customWidth="1"/>
    <col min="12038" max="12038" width="34.42578125" style="16" customWidth="1"/>
    <col min="12039" max="12039" width="27.140625" style="16" customWidth="1"/>
    <col min="12040" max="12040" width="23.5703125" style="16" customWidth="1"/>
    <col min="12041" max="12288" width="8.7109375" style="16"/>
    <col min="12289" max="12289" width="8.140625" style="16" customWidth="1"/>
    <col min="12290" max="12290" width="40.140625" style="16" customWidth="1"/>
    <col min="12291" max="12291" width="43.42578125" style="16" customWidth="1"/>
    <col min="12292" max="12292" width="30.7109375" style="16" customWidth="1"/>
    <col min="12293" max="12293" width="24.85546875" style="16" customWidth="1"/>
    <col min="12294" max="12294" width="34.42578125" style="16" customWidth="1"/>
    <col min="12295" max="12295" width="27.140625" style="16" customWidth="1"/>
    <col min="12296" max="12296" width="23.5703125" style="16" customWidth="1"/>
    <col min="12297" max="12544" width="8.7109375" style="16"/>
    <col min="12545" max="12545" width="8.140625" style="16" customWidth="1"/>
    <col min="12546" max="12546" width="40.140625" style="16" customWidth="1"/>
    <col min="12547" max="12547" width="43.42578125" style="16" customWidth="1"/>
    <col min="12548" max="12548" width="30.7109375" style="16" customWidth="1"/>
    <col min="12549" max="12549" width="24.85546875" style="16" customWidth="1"/>
    <col min="12550" max="12550" width="34.42578125" style="16" customWidth="1"/>
    <col min="12551" max="12551" width="27.140625" style="16" customWidth="1"/>
    <col min="12552" max="12552" width="23.5703125" style="16" customWidth="1"/>
    <col min="12553" max="12800" width="8.7109375" style="16"/>
    <col min="12801" max="12801" width="8.140625" style="16" customWidth="1"/>
    <col min="12802" max="12802" width="40.140625" style="16" customWidth="1"/>
    <col min="12803" max="12803" width="43.42578125" style="16" customWidth="1"/>
    <col min="12804" max="12804" width="30.7109375" style="16" customWidth="1"/>
    <col min="12805" max="12805" width="24.85546875" style="16" customWidth="1"/>
    <col min="12806" max="12806" width="34.42578125" style="16" customWidth="1"/>
    <col min="12807" max="12807" width="27.140625" style="16" customWidth="1"/>
    <col min="12808" max="12808" width="23.5703125" style="16" customWidth="1"/>
    <col min="12809" max="13056" width="8.7109375" style="16"/>
    <col min="13057" max="13057" width="8.140625" style="16" customWidth="1"/>
    <col min="13058" max="13058" width="40.140625" style="16" customWidth="1"/>
    <col min="13059" max="13059" width="43.42578125" style="16" customWidth="1"/>
    <col min="13060" max="13060" width="30.7109375" style="16" customWidth="1"/>
    <col min="13061" max="13061" width="24.85546875" style="16" customWidth="1"/>
    <col min="13062" max="13062" width="34.42578125" style="16" customWidth="1"/>
    <col min="13063" max="13063" width="27.140625" style="16" customWidth="1"/>
    <col min="13064" max="13064" width="23.5703125" style="16" customWidth="1"/>
    <col min="13065" max="13312" width="8.7109375" style="16"/>
    <col min="13313" max="13313" width="8.140625" style="16" customWidth="1"/>
    <col min="13314" max="13314" width="40.140625" style="16" customWidth="1"/>
    <col min="13315" max="13315" width="43.42578125" style="16" customWidth="1"/>
    <col min="13316" max="13316" width="30.7109375" style="16" customWidth="1"/>
    <col min="13317" max="13317" width="24.85546875" style="16" customWidth="1"/>
    <col min="13318" max="13318" width="34.42578125" style="16" customWidth="1"/>
    <col min="13319" max="13319" width="27.140625" style="16" customWidth="1"/>
    <col min="13320" max="13320" width="23.5703125" style="16" customWidth="1"/>
    <col min="13321" max="13568" width="8.7109375" style="16"/>
    <col min="13569" max="13569" width="8.140625" style="16" customWidth="1"/>
    <col min="13570" max="13570" width="40.140625" style="16" customWidth="1"/>
    <col min="13571" max="13571" width="43.42578125" style="16" customWidth="1"/>
    <col min="13572" max="13572" width="30.7109375" style="16" customWidth="1"/>
    <col min="13573" max="13573" width="24.85546875" style="16" customWidth="1"/>
    <col min="13574" max="13574" width="34.42578125" style="16" customWidth="1"/>
    <col min="13575" max="13575" width="27.140625" style="16" customWidth="1"/>
    <col min="13576" max="13576" width="23.5703125" style="16" customWidth="1"/>
    <col min="13577" max="13824" width="8.7109375" style="16"/>
    <col min="13825" max="13825" width="8.140625" style="16" customWidth="1"/>
    <col min="13826" max="13826" width="40.140625" style="16" customWidth="1"/>
    <col min="13827" max="13827" width="43.42578125" style="16" customWidth="1"/>
    <col min="13828" max="13828" width="30.7109375" style="16" customWidth="1"/>
    <col min="13829" max="13829" width="24.85546875" style="16" customWidth="1"/>
    <col min="13830" max="13830" width="34.42578125" style="16" customWidth="1"/>
    <col min="13831" max="13831" width="27.140625" style="16" customWidth="1"/>
    <col min="13832" max="13832" width="23.5703125" style="16" customWidth="1"/>
    <col min="13833" max="14080" width="8.7109375" style="16"/>
    <col min="14081" max="14081" width="8.140625" style="16" customWidth="1"/>
    <col min="14082" max="14082" width="40.140625" style="16" customWidth="1"/>
    <col min="14083" max="14083" width="43.42578125" style="16" customWidth="1"/>
    <col min="14084" max="14084" width="30.7109375" style="16" customWidth="1"/>
    <col min="14085" max="14085" width="24.85546875" style="16" customWidth="1"/>
    <col min="14086" max="14086" width="34.42578125" style="16" customWidth="1"/>
    <col min="14087" max="14087" width="27.140625" style="16" customWidth="1"/>
    <col min="14088" max="14088" width="23.5703125" style="16" customWidth="1"/>
    <col min="14089" max="14336" width="8.7109375" style="16"/>
    <col min="14337" max="14337" width="8.140625" style="16" customWidth="1"/>
    <col min="14338" max="14338" width="40.140625" style="16" customWidth="1"/>
    <col min="14339" max="14339" width="43.42578125" style="16" customWidth="1"/>
    <col min="14340" max="14340" width="30.7109375" style="16" customWidth="1"/>
    <col min="14341" max="14341" width="24.85546875" style="16" customWidth="1"/>
    <col min="14342" max="14342" width="34.42578125" style="16" customWidth="1"/>
    <col min="14343" max="14343" width="27.140625" style="16" customWidth="1"/>
    <col min="14344" max="14344" width="23.5703125" style="16" customWidth="1"/>
    <col min="14345" max="14592" width="8.7109375" style="16"/>
    <col min="14593" max="14593" width="8.140625" style="16" customWidth="1"/>
    <col min="14594" max="14594" width="40.140625" style="16" customWidth="1"/>
    <col min="14595" max="14595" width="43.42578125" style="16" customWidth="1"/>
    <col min="14596" max="14596" width="30.7109375" style="16" customWidth="1"/>
    <col min="14597" max="14597" width="24.85546875" style="16" customWidth="1"/>
    <col min="14598" max="14598" width="34.42578125" style="16" customWidth="1"/>
    <col min="14599" max="14599" width="27.140625" style="16" customWidth="1"/>
    <col min="14600" max="14600" width="23.5703125" style="16" customWidth="1"/>
    <col min="14601" max="14848" width="8.7109375" style="16"/>
    <col min="14849" max="14849" width="8.140625" style="16" customWidth="1"/>
    <col min="14850" max="14850" width="40.140625" style="16" customWidth="1"/>
    <col min="14851" max="14851" width="43.42578125" style="16" customWidth="1"/>
    <col min="14852" max="14852" width="30.7109375" style="16" customWidth="1"/>
    <col min="14853" max="14853" width="24.85546875" style="16" customWidth="1"/>
    <col min="14854" max="14854" width="34.42578125" style="16" customWidth="1"/>
    <col min="14855" max="14855" width="27.140625" style="16" customWidth="1"/>
    <col min="14856" max="14856" width="23.5703125" style="16" customWidth="1"/>
    <col min="14857" max="15104" width="8.7109375" style="16"/>
    <col min="15105" max="15105" width="8.140625" style="16" customWidth="1"/>
    <col min="15106" max="15106" width="40.140625" style="16" customWidth="1"/>
    <col min="15107" max="15107" width="43.42578125" style="16" customWidth="1"/>
    <col min="15108" max="15108" width="30.7109375" style="16" customWidth="1"/>
    <col min="15109" max="15109" width="24.85546875" style="16" customWidth="1"/>
    <col min="15110" max="15110" width="34.42578125" style="16" customWidth="1"/>
    <col min="15111" max="15111" width="27.140625" style="16" customWidth="1"/>
    <col min="15112" max="15112" width="23.5703125" style="16" customWidth="1"/>
    <col min="15113" max="15360" width="8.7109375" style="16"/>
    <col min="15361" max="15361" width="8.140625" style="16" customWidth="1"/>
    <col min="15362" max="15362" width="40.140625" style="16" customWidth="1"/>
    <col min="15363" max="15363" width="43.42578125" style="16" customWidth="1"/>
    <col min="15364" max="15364" width="30.7109375" style="16" customWidth="1"/>
    <col min="15365" max="15365" width="24.85546875" style="16" customWidth="1"/>
    <col min="15366" max="15366" width="34.42578125" style="16" customWidth="1"/>
    <col min="15367" max="15367" width="27.140625" style="16" customWidth="1"/>
    <col min="15368" max="15368" width="23.5703125" style="16" customWidth="1"/>
    <col min="15369" max="15616" width="8.7109375" style="16"/>
    <col min="15617" max="15617" width="8.140625" style="16" customWidth="1"/>
    <col min="15618" max="15618" width="40.140625" style="16" customWidth="1"/>
    <col min="15619" max="15619" width="43.42578125" style="16" customWidth="1"/>
    <col min="15620" max="15620" width="30.7109375" style="16" customWidth="1"/>
    <col min="15621" max="15621" width="24.85546875" style="16" customWidth="1"/>
    <col min="15622" max="15622" width="34.42578125" style="16" customWidth="1"/>
    <col min="15623" max="15623" width="27.140625" style="16" customWidth="1"/>
    <col min="15624" max="15624" width="23.5703125" style="16" customWidth="1"/>
    <col min="15625" max="15872" width="8.7109375" style="16"/>
    <col min="15873" max="15873" width="8.140625" style="16" customWidth="1"/>
    <col min="15874" max="15874" width="40.140625" style="16" customWidth="1"/>
    <col min="15875" max="15875" width="43.42578125" style="16" customWidth="1"/>
    <col min="15876" max="15876" width="30.7109375" style="16" customWidth="1"/>
    <col min="15877" max="15877" width="24.85546875" style="16" customWidth="1"/>
    <col min="15878" max="15878" width="34.42578125" style="16" customWidth="1"/>
    <col min="15879" max="15879" width="27.140625" style="16" customWidth="1"/>
    <col min="15880" max="15880" width="23.5703125" style="16" customWidth="1"/>
    <col min="15881" max="16128" width="8.7109375" style="16"/>
    <col min="16129" max="16129" width="8.140625" style="16" customWidth="1"/>
    <col min="16130" max="16130" width="40.140625" style="16" customWidth="1"/>
    <col min="16131" max="16131" width="43.42578125" style="16" customWidth="1"/>
    <col min="16132" max="16132" width="30.7109375" style="16" customWidth="1"/>
    <col min="16133" max="16133" width="24.85546875" style="16" customWidth="1"/>
    <col min="16134" max="16134" width="34.42578125" style="16" customWidth="1"/>
    <col min="16135" max="16135" width="27.140625" style="16" customWidth="1"/>
    <col min="16136" max="16136" width="23.5703125" style="16" customWidth="1"/>
    <col min="16137" max="16384" width="8.7109375" style="16"/>
  </cols>
  <sheetData>
    <row r="1" spans="2:9">
      <c r="C1" s="17"/>
      <c r="D1" s="17"/>
      <c r="E1" s="17"/>
    </row>
    <row r="2" spans="2:9">
      <c r="C2" s="17"/>
      <c r="D2" s="17"/>
      <c r="E2" s="17"/>
    </row>
    <row r="3" spans="2:9">
      <c r="C3" s="17"/>
      <c r="D3" s="17"/>
      <c r="E3" s="17"/>
    </row>
    <row r="4" spans="2:9">
      <c r="C4" s="17"/>
      <c r="D4" s="17"/>
      <c r="E4" s="17"/>
    </row>
    <row r="5" spans="2:9">
      <c r="C5" s="17"/>
      <c r="D5" s="17"/>
      <c r="E5" s="17"/>
    </row>
    <row r="6" spans="2:9" ht="15.75" customHeight="1">
      <c r="B6" s="678" t="s">
        <v>0</v>
      </c>
      <c r="C6" s="678"/>
      <c r="D6" s="678"/>
      <c r="E6" s="678"/>
      <c r="F6" s="678"/>
      <c r="G6" s="678"/>
      <c r="H6" s="678"/>
    </row>
    <row r="7" spans="2:9" ht="15.75" customHeight="1">
      <c r="B7" s="678" t="s">
        <v>2</v>
      </c>
      <c r="C7" s="678"/>
      <c r="D7" s="678"/>
      <c r="E7" s="678"/>
      <c r="F7" s="678"/>
      <c r="G7" s="678"/>
      <c r="H7" s="678"/>
    </row>
    <row r="8" spans="2:9" ht="15" customHeight="1">
      <c r="B8" s="695" t="s">
        <v>5</v>
      </c>
      <c r="C8" s="695"/>
      <c r="D8" s="695"/>
      <c r="E8" s="695"/>
      <c r="F8" s="695"/>
      <c r="G8" s="695"/>
      <c r="H8" s="695"/>
    </row>
    <row r="11" spans="2:9" s="15" customFormat="1" ht="46.5" customHeight="1">
      <c r="B11" s="732" t="s">
        <v>946</v>
      </c>
      <c r="C11" s="733"/>
      <c r="D11" s="733"/>
      <c r="E11" s="733"/>
      <c r="F11" s="733"/>
      <c r="G11" s="733"/>
      <c r="H11" s="733"/>
    </row>
    <row r="12" spans="2:9">
      <c r="B12" s="728"/>
      <c r="C12" s="728"/>
      <c r="D12" s="728"/>
      <c r="E12" s="728"/>
      <c r="F12" s="728"/>
      <c r="G12" s="728"/>
      <c r="H12" s="18"/>
    </row>
    <row r="13" spans="2:9" s="15" customFormat="1">
      <c r="B13" s="728"/>
      <c r="C13" s="728"/>
      <c r="D13" s="728"/>
      <c r="E13" s="19" t="s">
        <v>333</v>
      </c>
      <c r="F13" s="19" t="s">
        <v>334</v>
      </c>
      <c r="G13" s="19"/>
      <c r="H13" s="20"/>
    </row>
    <row r="14" spans="2:9" ht="15.75" customHeight="1">
      <c r="B14" s="729" t="s">
        <v>335</v>
      </c>
      <c r="C14" s="729"/>
      <c r="D14" s="21">
        <f>4306.98+1435.66+7439.31+2479.78+354.7+612.65+3040.86</f>
        <v>19669.940000000002</v>
      </c>
      <c r="E14" s="22">
        <f>D14*0.08</f>
        <v>1573.5952000000002</v>
      </c>
      <c r="F14" s="22"/>
      <c r="G14" s="288"/>
      <c r="H14" s="23">
        <f>D14+E14+F14+G14</f>
        <v>21243.535200000002</v>
      </c>
      <c r="I14" s="719">
        <f>H14+H16</f>
        <v>21243.535200000002</v>
      </c>
    </row>
    <row r="15" spans="2:9">
      <c r="B15" s="24"/>
      <c r="C15" s="24"/>
      <c r="D15" s="24"/>
      <c r="E15" s="19" t="s">
        <v>333</v>
      </c>
      <c r="F15" s="19" t="s">
        <v>334</v>
      </c>
      <c r="G15" s="19"/>
      <c r="H15" s="24"/>
      <c r="I15" s="720"/>
    </row>
    <row r="16" spans="2:9" ht="21" customHeight="1">
      <c r="B16" s="730" t="s">
        <v>336</v>
      </c>
      <c r="C16" s="730"/>
      <c r="D16" s="25">
        <v>0</v>
      </c>
      <c r="E16" s="22">
        <f>D16*0.08</f>
        <v>0</v>
      </c>
      <c r="F16" s="26"/>
      <c r="G16" s="289"/>
      <c r="H16" s="23">
        <f>D16+E16+F16+G16</f>
        <v>0</v>
      </c>
      <c r="I16" s="721"/>
    </row>
    <row r="17" spans="2:9">
      <c r="B17" s="24"/>
      <c r="C17" s="24"/>
      <c r="D17" s="24"/>
      <c r="E17" s="19" t="s">
        <v>333</v>
      </c>
      <c r="F17" s="19" t="s">
        <v>334</v>
      </c>
      <c r="G17" s="19" t="s">
        <v>242</v>
      </c>
      <c r="H17" s="24"/>
    </row>
    <row r="18" spans="2:9">
      <c r="B18" s="731" t="s">
        <v>337</v>
      </c>
      <c r="C18" s="731"/>
      <c r="D18" s="25">
        <f>8076.77-377.38</f>
        <v>7699.39</v>
      </c>
      <c r="E18" s="26">
        <f>(1797.32+1268.58)*0.08</f>
        <v>245.27199999999996</v>
      </c>
      <c r="F18" s="26"/>
      <c r="G18" s="290">
        <f>G66</f>
        <v>0</v>
      </c>
      <c r="H18" s="23">
        <f>D18+E18+F18+G18</f>
        <v>7944.6620000000003</v>
      </c>
    </row>
    <row r="19" spans="2:9">
      <c r="B19" s="718"/>
      <c r="C19" s="718"/>
      <c r="D19" s="27"/>
      <c r="E19" s="18"/>
      <c r="F19" s="18"/>
      <c r="G19" s="18"/>
      <c r="H19" s="18"/>
    </row>
    <row r="20" spans="2:9">
      <c r="B20" s="18"/>
      <c r="C20" s="18"/>
      <c r="D20" s="18"/>
      <c r="E20" s="18"/>
      <c r="F20" s="18"/>
      <c r="G20" s="18"/>
      <c r="H20" s="18"/>
    </row>
    <row r="21" spans="2:9">
      <c r="B21" s="275" t="s">
        <v>338</v>
      </c>
      <c r="C21" s="276">
        <v>0</v>
      </c>
      <c r="D21" s="28" t="s">
        <v>339</v>
      </c>
      <c r="E21" s="29"/>
      <c r="F21" s="275" t="s">
        <v>340</v>
      </c>
      <c r="G21" s="276">
        <v>23352.400000000001</v>
      </c>
      <c r="H21" s="28" t="s">
        <v>341</v>
      </c>
      <c r="I21" s="18"/>
    </row>
    <row r="22" spans="2:9">
      <c r="B22" s="277" t="s">
        <v>342</v>
      </c>
      <c r="C22" s="291">
        <f>SUM(0)*0.01</f>
        <v>0</v>
      </c>
      <c r="D22" s="29" t="s">
        <v>343</v>
      </c>
      <c r="E22" s="29"/>
      <c r="F22" s="280" t="s">
        <v>344</v>
      </c>
      <c r="G22" s="291">
        <f>SUM(290636.43+1268.58)*0.08-G24</f>
        <v>21778.8056</v>
      </c>
      <c r="H22" s="29" t="s">
        <v>345</v>
      </c>
      <c r="I22" s="18"/>
    </row>
    <row r="23" spans="2:9">
      <c r="B23" s="278" t="s">
        <v>346</v>
      </c>
      <c r="C23" s="282">
        <v>0</v>
      </c>
      <c r="D23" s="29" t="s">
        <v>347</v>
      </c>
      <c r="E23" s="29"/>
      <c r="F23" s="279" t="s">
        <v>348</v>
      </c>
      <c r="G23" s="282">
        <v>0</v>
      </c>
      <c r="H23" s="29" t="s">
        <v>349</v>
      </c>
      <c r="I23" s="18"/>
    </row>
    <row r="24" spans="2:9">
      <c r="B24" s="279" t="s">
        <v>350</v>
      </c>
      <c r="C24" s="282">
        <v>0</v>
      </c>
      <c r="D24" s="726" t="s">
        <v>351</v>
      </c>
      <c r="E24" s="726"/>
      <c r="F24" s="279" t="s">
        <v>352</v>
      </c>
      <c r="G24" s="281">
        <f>E14</f>
        <v>1573.5952000000002</v>
      </c>
      <c r="H24" s="29" t="s">
        <v>353</v>
      </c>
      <c r="I24" s="18"/>
    </row>
    <row r="25" spans="2:9">
      <c r="B25" s="279" t="s">
        <v>354</v>
      </c>
      <c r="C25" s="282">
        <v>0</v>
      </c>
      <c r="D25" s="726" t="s">
        <v>355</v>
      </c>
      <c r="E25" s="726"/>
      <c r="F25" s="279" t="s">
        <v>356</v>
      </c>
      <c r="G25" s="282">
        <f>E16</f>
        <v>0</v>
      </c>
      <c r="H25" s="29" t="s">
        <v>357</v>
      </c>
      <c r="I25" s="18"/>
    </row>
    <row r="26" spans="2:9">
      <c r="B26" s="279" t="s">
        <v>358</v>
      </c>
      <c r="C26" s="282">
        <v>0</v>
      </c>
      <c r="D26" s="274" t="s">
        <v>359</v>
      </c>
      <c r="E26" s="274"/>
      <c r="F26" s="283" t="s">
        <v>360</v>
      </c>
      <c r="G26" s="282">
        <f>E18</f>
        <v>245.27199999999996</v>
      </c>
      <c r="H26" s="29" t="s">
        <v>361</v>
      </c>
      <c r="I26" s="18"/>
    </row>
    <row r="27" spans="2:9">
      <c r="B27" s="298" t="s">
        <v>138</v>
      </c>
      <c r="C27" s="300">
        <f>SUM(C22:C26)-C24</f>
        <v>0</v>
      </c>
      <c r="D27" s="18"/>
      <c r="E27" s="18"/>
      <c r="F27" s="298" t="s">
        <v>138</v>
      </c>
      <c r="G27" s="296">
        <f>SUM(G22:G26)</f>
        <v>23597.6728</v>
      </c>
      <c r="H27" s="18"/>
    </row>
    <row r="28" spans="2:9">
      <c r="B28" s="299" t="s">
        <v>475</v>
      </c>
      <c r="C28" s="297">
        <f>C27-C21</f>
        <v>0</v>
      </c>
      <c r="D28" s="18"/>
      <c r="E28" s="18"/>
      <c r="F28" s="299" t="s">
        <v>475</v>
      </c>
      <c r="G28" s="297">
        <f>G27-G21</f>
        <v>245.27279999999882</v>
      </c>
      <c r="H28" s="18"/>
    </row>
    <row r="29" spans="2:9">
      <c r="B29" s="18"/>
      <c r="C29" s="18"/>
      <c r="D29" s="18"/>
      <c r="E29" s="18"/>
      <c r="F29" s="18"/>
      <c r="G29" s="18"/>
      <c r="H29" s="18"/>
    </row>
    <row r="30" spans="2:9">
      <c r="B30" s="18"/>
      <c r="C30" s="18"/>
      <c r="D30" s="18"/>
      <c r="E30" s="18"/>
      <c r="F30" s="18"/>
      <c r="G30" s="18"/>
      <c r="H30" s="18"/>
    </row>
    <row r="31" spans="2:9">
      <c r="B31" s="727" t="s">
        <v>362</v>
      </c>
      <c r="C31" s="727"/>
      <c r="D31" s="727"/>
      <c r="E31" s="727"/>
      <c r="F31" s="727"/>
      <c r="G31" s="727"/>
      <c r="H31" s="727"/>
    </row>
    <row r="32" spans="2:9" ht="21" customHeight="1">
      <c r="B32" s="32">
        <f>B36+B37-B33-B34-B35</f>
        <v>273472.06</v>
      </c>
      <c r="C32" s="33" t="s">
        <v>363</v>
      </c>
      <c r="D32" s="34"/>
      <c r="E32" s="34"/>
      <c r="F32" s="34"/>
      <c r="G32" s="18"/>
      <c r="H32" s="18"/>
    </row>
    <row r="33" spans="1:8">
      <c r="B33" s="35">
        <f>D14</f>
        <v>19669.940000000002</v>
      </c>
      <c r="C33" s="722" t="s">
        <v>364</v>
      </c>
      <c r="D33" s="722"/>
      <c r="E33" s="722"/>
      <c r="F33" s="722"/>
      <c r="G33" s="18"/>
      <c r="H33" s="18"/>
    </row>
    <row r="34" spans="1:8" ht="15.75" customHeight="1">
      <c r="B34" s="36">
        <f>D16</f>
        <v>0</v>
      </c>
      <c r="C34" s="722" t="s">
        <v>365</v>
      </c>
      <c r="D34" s="722"/>
      <c r="E34" s="722"/>
      <c r="F34" s="722"/>
      <c r="G34" s="18"/>
      <c r="H34" s="18"/>
    </row>
    <row r="35" spans="1:8">
      <c r="B35" s="37">
        <f>D41</f>
        <v>9169.58</v>
      </c>
      <c r="C35" s="722" t="s">
        <v>366</v>
      </c>
      <c r="D35" s="722"/>
      <c r="E35" s="722"/>
      <c r="F35" s="722"/>
      <c r="G35" s="18"/>
      <c r="H35" s="18"/>
    </row>
    <row r="36" spans="1:8" ht="21" customHeight="1">
      <c r="A36" s="38"/>
      <c r="B36" s="39">
        <f>301966.02+345.56</f>
        <v>302311.58</v>
      </c>
      <c r="C36" s="723" t="s">
        <v>367</v>
      </c>
      <c r="D36" s="723"/>
      <c r="E36" s="723"/>
      <c r="F36" s="723"/>
      <c r="G36" s="18"/>
      <c r="H36" s="18"/>
    </row>
    <row r="37" spans="1:8">
      <c r="A37" s="38"/>
      <c r="B37" s="31">
        <v>0</v>
      </c>
      <c r="C37" s="724" t="s">
        <v>368</v>
      </c>
      <c r="D37" s="724"/>
      <c r="E37" s="724"/>
      <c r="F37" s="724"/>
      <c r="G37" s="18"/>
      <c r="H37" s="18"/>
    </row>
    <row r="38" spans="1:8">
      <c r="B38" s="37">
        <f>D18</f>
        <v>7699.39</v>
      </c>
      <c r="C38" s="724" t="s">
        <v>369</v>
      </c>
      <c r="D38" s="724"/>
      <c r="E38" s="724"/>
      <c r="F38" s="724"/>
      <c r="G38" s="18"/>
      <c r="H38" s="18"/>
    </row>
    <row r="39" spans="1:8">
      <c r="B39" s="40">
        <f>SUM(B36:B38)</f>
        <v>310010.97000000003</v>
      </c>
      <c r="C39" s="725" t="s">
        <v>370</v>
      </c>
      <c r="D39" s="725"/>
      <c r="E39" s="725"/>
      <c r="F39" s="725"/>
      <c r="G39" s="18"/>
      <c r="H39" s="18"/>
    </row>
    <row r="40" spans="1:8">
      <c r="B40" s="18"/>
      <c r="C40" s="18"/>
      <c r="D40" s="18"/>
      <c r="E40" s="18"/>
      <c r="F40" s="18"/>
      <c r="G40" s="18"/>
      <c r="H40" s="18"/>
    </row>
    <row r="41" spans="1:8" ht="31.5">
      <c r="B41" s="41" t="s">
        <v>371</v>
      </c>
      <c r="C41" s="272" t="s">
        <v>372</v>
      </c>
      <c r="D41" s="42">
        <f>SUM(D42:D65)</f>
        <v>9169.58</v>
      </c>
      <c r="E41" s="18"/>
      <c r="F41" s="714" t="s">
        <v>373</v>
      </c>
      <c r="G41" s="714"/>
      <c r="H41" s="714"/>
    </row>
    <row r="42" spans="1:8">
      <c r="B42" s="302">
        <v>47</v>
      </c>
      <c r="C42" s="303" t="s">
        <v>476</v>
      </c>
      <c r="D42" s="45">
        <v>1127.94</v>
      </c>
      <c r="E42" s="18"/>
      <c r="F42" s="46" t="s">
        <v>374</v>
      </c>
      <c r="G42" s="47" t="s">
        <v>375</v>
      </c>
      <c r="H42" s="47" t="s">
        <v>241</v>
      </c>
    </row>
    <row r="43" spans="1:8">
      <c r="B43" s="302">
        <v>94</v>
      </c>
      <c r="C43" s="303" t="s">
        <v>477</v>
      </c>
      <c r="D43" s="45">
        <v>1454.64</v>
      </c>
      <c r="E43" s="18"/>
      <c r="F43" s="307"/>
      <c r="G43" s="48"/>
      <c r="H43" s="48">
        <v>0</v>
      </c>
    </row>
    <row r="44" spans="1:8">
      <c r="B44" s="302">
        <v>5</v>
      </c>
      <c r="C44" s="303" t="s">
        <v>478</v>
      </c>
      <c r="D44" s="45">
        <f>4149.89</f>
        <v>4149.8900000000003</v>
      </c>
      <c r="E44" s="18"/>
      <c r="F44" s="308"/>
      <c r="G44" s="48"/>
      <c r="H44" s="48">
        <v>0</v>
      </c>
    </row>
    <row r="45" spans="1:8">
      <c r="B45" s="302">
        <v>553</v>
      </c>
      <c r="C45" s="303" t="s">
        <v>479</v>
      </c>
      <c r="D45" s="45">
        <v>1610.68</v>
      </c>
      <c r="E45" s="18"/>
      <c r="F45" s="50"/>
      <c r="G45" s="48">
        <v>0</v>
      </c>
      <c r="H45" s="48">
        <v>0</v>
      </c>
    </row>
    <row r="46" spans="1:8">
      <c r="B46" s="43">
        <v>29</v>
      </c>
      <c r="C46" s="44" t="s">
        <v>977</v>
      </c>
      <c r="D46" s="45">
        <v>826.43</v>
      </c>
      <c r="E46" s="18"/>
      <c r="F46" s="50"/>
      <c r="G46" s="48">
        <v>0</v>
      </c>
      <c r="H46" s="48">
        <v>0</v>
      </c>
    </row>
    <row r="47" spans="1:8">
      <c r="B47" s="43"/>
      <c r="C47" s="44"/>
      <c r="D47" s="45"/>
      <c r="E47" s="18"/>
      <c r="F47" s="50"/>
      <c r="G47" s="48">
        <v>0</v>
      </c>
      <c r="H47" s="48">
        <v>0</v>
      </c>
    </row>
    <row r="48" spans="1:8">
      <c r="B48" s="43"/>
      <c r="C48" s="44"/>
      <c r="D48" s="45">
        <v>0</v>
      </c>
      <c r="E48" s="18"/>
      <c r="F48" s="50"/>
      <c r="G48" s="48">
        <v>0</v>
      </c>
      <c r="H48" s="48">
        <v>0</v>
      </c>
    </row>
    <row r="49" spans="2:8">
      <c r="B49" s="43"/>
      <c r="C49" s="44"/>
      <c r="D49" s="45">
        <v>0</v>
      </c>
      <c r="E49" s="18"/>
      <c r="F49" s="50"/>
      <c r="G49" s="48">
        <v>0</v>
      </c>
      <c r="H49" s="48">
        <v>0</v>
      </c>
    </row>
    <row r="50" spans="2:8">
      <c r="B50" s="284"/>
      <c r="C50" s="285"/>
      <c r="D50" s="286">
        <v>0</v>
      </c>
      <c r="E50" s="18"/>
      <c r="F50" s="287"/>
      <c r="G50" s="48">
        <v>0</v>
      </c>
      <c r="H50" s="48">
        <v>0</v>
      </c>
    </row>
    <row r="51" spans="2:8">
      <c r="B51" s="284"/>
      <c r="C51" s="285"/>
      <c r="D51" s="286">
        <v>0</v>
      </c>
      <c r="E51" s="18"/>
      <c r="F51" s="287"/>
      <c r="G51" s="48">
        <v>0</v>
      </c>
      <c r="H51" s="48">
        <v>0</v>
      </c>
    </row>
    <row r="52" spans="2:8">
      <c r="B52" s="284"/>
      <c r="C52" s="285"/>
      <c r="D52" s="286">
        <v>0</v>
      </c>
      <c r="E52" s="18"/>
      <c r="F52" s="287"/>
      <c r="G52" s="48">
        <v>0</v>
      </c>
      <c r="H52" s="48">
        <v>0</v>
      </c>
    </row>
    <row r="53" spans="2:8">
      <c r="B53" s="284"/>
      <c r="C53" s="285"/>
      <c r="D53" s="286">
        <v>0</v>
      </c>
      <c r="E53" s="18"/>
      <c r="F53" s="287"/>
      <c r="G53" s="48">
        <v>0</v>
      </c>
      <c r="H53" s="48">
        <v>0</v>
      </c>
    </row>
    <row r="54" spans="2:8">
      <c r="B54" s="284"/>
      <c r="C54" s="285"/>
      <c r="D54" s="286">
        <v>0</v>
      </c>
      <c r="E54" s="18"/>
      <c r="F54" s="287"/>
      <c r="G54" s="48">
        <v>0</v>
      </c>
      <c r="H54" s="48">
        <v>0</v>
      </c>
    </row>
    <row r="55" spans="2:8">
      <c r="B55" s="284"/>
      <c r="C55" s="285"/>
      <c r="D55" s="286">
        <v>0</v>
      </c>
      <c r="E55" s="18"/>
      <c r="F55" s="287"/>
      <c r="G55" s="48">
        <v>0</v>
      </c>
      <c r="H55" s="48">
        <v>0</v>
      </c>
    </row>
    <row r="56" spans="2:8">
      <c r="B56" s="284"/>
      <c r="C56" s="285"/>
      <c r="D56" s="286">
        <v>0</v>
      </c>
      <c r="E56" s="18"/>
      <c r="F56" s="287"/>
      <c r="G56" s="48">
        <v>0</v>
      </c>
      <c r="H56" s="48">
        <v>0</v>
      </c>
    </row>
    <row r="57" spans="2:8">
      <c r="B57" s="284"/>
      <c r="C57" s="285"/>
      <c r="D57" s="286">
        <v>0</v>
      </c>
      <c r="E57" s="18"/>
      <c r="F57" s="287"/>
      <c r="G57" s="48">
        <v>0</v>
      </c>
      <c r="H57" s="48">
        <v>0</v>
      </c>
    </row>
    <row r="58" spans="2:8">
      <c r="B58" s="43"/>
      <c r="C58" s="44"/>
      <c r="D58" s="45">
        <v>0</v>
      </c>
      <c r="E58" s="18"/>
      <c r="F58" s="50"/>
      <c r="G58" s="48">
        <v>0</v>
      </c>
      <c r="H58" s="48">
        <v>0</v>
      </c>
    </row>
    <row r="59" spans="2:8">
      <c r="B59" s="43"/>
      <c r="C59" s="44"/>
      <c r="D59" s="45">
        <v>0</v>
      </c>
      <c r="E59" s="18"/>
      <c r="F59" s="50"/>
      <c r="G59" s="48">
        <v>0</v>
      </c>
      <c r="H59" s="48">
        <v>0</v>
      </c>
    </row>
    <row r="60" spans="2:8">
      <c r="B60" s="43"/>
      <c r="C60" s="44"/>
      <c r="D60" s="45">
        <v>0</v>
      </c>
      <c r="E60" s="18"/>
      <c r="F60" s="50"/>
      <c r="G60" s="48">
        <v>0</v>
      </c>
      <c r="H60" s="48">
        <v>0</v>
      </c>
    </row>
    <row r="61" spans="2:8">
      <c r="B61" s="43"/>
      <c r="C61" s="44"/>
      <c r="D61" s="45">
        <v>0</v>
      </c>
      <c r="E61" s="18"/>
      <c r="F61" s="50"/>
      <c r="G61" s="48">
        <v>0</v>
      </c>
      <c r="H61" s="48">
        <v>0</v>
      </c>
    </row>
    <row r="62" spans="2:8">
      <c r="B62" s="43"/>
      <c r="C62" s="44"/>
      <c r="D62" s="45">
        <v>0</v>
      </c>
      <c r="E62" s="18"/>
      <c r="F62" s="51"/>
      <c r="G62" s="48">
        <v>0</v>
      </c>
      <c r="H62" s="48">
        <v>0</v>
      </c>
    </row>
    <row r="63" spans="2:8">
      <c r="B63" s="43"/>
      <c r="C63" s="44"/>
      <c r="D63" s="45">
        <v>0</v>
      </c>
      <c r="E63" s="18"/>
      <c r="F63" s="51"/>
      <c r="G63" s="48">
        <v>0</v>
      </c>
      <c r="H63" s="48">
        <v>0</v>
      </c>
    </row>
    <row r="64" spans="2:8">
      <c r="B64" s="44"/>
      <c r="C64" s="49"/>
      <c r="D64" s="45">
        <v>0</v>
      </c>
      <c r="E64" s="18"/>
      <c r="F64" s="51"/>
      <c r="G64" s="48">
        <v>0</v>
      </c>
      <c r="H64" s="48">
        <v>0</v>
      </c>
    </row>
    <row r="65" spans="2:9">
      <c r="B65" s="43"/>
      <c r="C65" s="44"/>
      <c r="D65" s="45">
        <v>0</v>
      </c>
      <c r="E65" s="18"/>
      <c r="F65" s="51"/>
      <c r="G65" s="48">
        <v>0</v>
      </c>
      <c r="H65" s="48">
        <v>0</v>
      </c>
    </row>
    <row r="66" spans="2:9">
      <c r="B66" s="18"/>
      <c r="C66" s="18"/>
      <c r="D66" s="18"/>
      <c r="E66" s="18"/>
      <c r="F66" s="52" t="s">
        <v>138</v>
      </c>
      <c r="G66" s="53">
        <f>SUM(G43:G65)</f>
        <v>0</v>
      </c>
      <c r="H66" s="53">
        <f>SUM(H43:H65)</f>
        <v>0</v>
      </c>
    </row>
    <row r="67" spans="2:9">
      <c r="D67" s="18"/>
      <c r="E67" s="18"/>
      <c r="F67" s="301"/>
      <c r="G67" s="301"/>
      <c r="H67" s="301"/>
    </row>
    <row r="68" spans="2:9" ht="33.950000000000003" customHeight="1">
      <c r="B68" s="41" t="s">
        <v>371</v>
      </c>
      <c r="C68" s="272" t="s">
        <v>376</v>
      </c>
      <c r="D68" s="42">
        <f>SUM(D69:D84)</f>
        <v>377.38</v>
      </c>
      <c r="F68" s="715" t="s">
        <v>377</v>
      </c>
      <c r="G68" s="716"/>
      <c r="H68" s="716"/>
      <c r="I68" s="292"/>
    </row>
    <row r="69" spans="2:9">
      <c r="B69" s="43">
        <v>553</v>
      </c>
      <c r="C69" s="44" t="s">
        <v>479</v>
      </c>
      <c r="D69" s="45">
        <v>377.38</v>
      </c>
      <c r="F69" s="54" t="s">
        <v>378</v>
      </c>
      <c r="G69" s="55">
        <f>G22+G23</f>
        <v>21778.8056</v>
      </c>
      <c r="H69" s="56" t="s">
        <v>379</v>
      </c>
      <c r="I69" s="293"/>
    </row>
    <row r="70" spans="2:9">
      <c r="B70" s="43"/>
      <c r="C70" s="44"/>
      <c r="D70" s="45"/>
      <c r="F70" s="54" t="s">
        <v>380</v>
      </c>
      <c r="G70" s="55">
        <f>C22+C23</f>
        <v>0</v>
      </c>
      <c r="H70" s="56" t="s">
        <v>381</v>
      </c>
      <c r="I70" s="293"/>
    </row>
    <row r="71" spans="2:9">
      <c r="B71" s="43"/>
      <c r="C71" s="49"/>
      <c r="D71" s="45"/>
      <c r="F71" s="19"/>
      <c r="G71" s="57"/>
      <c r="H71" s="58"/>
      <c r="I71" s="19"/>
    </row>
    <row r="72" spans="2:9" ht="15.75" customHeight="1">
      <c r="B72" s="43"/>
      <c r="C72" s="44"/>
      <c r="D72" s="45">
        <v>0</v>
      </c>
      <c r="F72" s="717" t="s">
        <v>382</v>
      </c>
      <c r="G72" s="717"/>
      <c r="H72" s="59"/>
      <c r="I72" s="64"/>
    </row>
    <row r="73" spans="2:9">
      <c r="B73" s="43"/>
      <c r="C73" s="44"/>
      <c r="D73" s="45">
        <v>0</v>
      </c>
      <c r="F73" s="60" t="s">
        <v>383</v>
      </c>
      <c r="G73" s="23">
        <f>G74-G80</f>
        <v>49063.74</v>
      </c>
      <c r="H73" s="61"/>
      <c r="I73" s="64"/>
    </row>
    <row r="74" spans="2:9">
      <c r="B74" s="43"/>
      <c r="C74" s="44"/>
      <c r="D74" s="45">
        <v>0</v>
      </c>
      <c r="F74" s="62" t="s">
        <v>384</v>
      </c>
      <c r="G74" s="63">
        <f>SUM(G75:G79)</f>
        <v>56446.34</v>
      </c>
      <c r="H74" s="61"/>
      <c r="I74" s="64"/>
    </row>
    <row r="75" spans="2:9">
      <c r="B75" s="43"/>
      <c r="C75" s="44"/>
      <c r="D75" s="45">
        <v>0</v>
      </c>
      <c r="F75" s="294" t="s">
        <v>385</v>
      </c>
      <c r="G75" s="30">
        <f>9815.35+3133.47</f>
        <v>12948.82</v>
      </c>
      <c r="H75" s="65"/>
      <c r="I75" s="66"/>
    </row>
    <row r="76" spans="2:9">
      <c r="B76" s="43"/>
      <c r="C76" s="44"/>
      <c r="D76" s="45">
        <v>0</v>
      </c>
      <c r="F76" s="294" t="s">
        <v>386</v>
      </c>
      <c r="G76" s="30">
        <v>0</v>
      </c>
      <c r="I76" s="67"/>
    </row>
    <row r="77" spans="2:9">
      <c r="B77" s="43"/>
      <c r="C77" s="44"/>
      <c r="D77" s="45">
        <v>0</v>
      </c>
      <c r="F77" s="294" t="s">
        <v>387</v>
      </c>
      <c r="G77" s="30">
        <f>D43+D44+D46</f>
        <v>6430.9600000000009</v>
      </c>
      <c r="I77" s="67"/>
    </row>
    <row r="78" spans="2:9">
      <c r="B78" s="43"/>
      <c r="C78" s="44"/>
      <c r="D78" s="45">
        <v>0</v>
      </c>
      <c r="F78" s="294" t="s">
        <v>388</v>
      </c>
      <c r="G78" s="30"/>
      <c r="I78" s="67"/>
    </row>
    <row r="79" spans="2:9">
      <c r="B79" s="43"/>
      <c r="C79" s="44"/>
      <c r="D79" s="45">
        <v>0</v>
      </c>
      <c r="F79" s="295" t="s">
        <v>389</v>
      </c>
      <c r="G79" s="30">
        <f>14740+22326.56</f>
        <v>37066.559999999998</v>
      </c>
      <c r="I79" s="67"/>
    </row>
    <row r="80" spans="2:9">
      <c r="B80" s="43"/>
      <c r="C80" s="44"/>
      <c r="D80" s="45">
        <v>0</v>
      </c>
      <c r="F80" s="62" t="s">
        <v>390</v>
      </c>
      <c r="G80" s="63">
        <f>SUM(G81:G83)</f>
        <v>7382.6</v>
      </c>
      <c r="H80" s="18"/>
      <c r="I80" s="18"/>
    </row>
    <row r="81" spans="2:9">
      <c r="B81" s="43"/>
      <c r="C81" s="44"/>
      <c r="D81" s="45">
        <v>0</v>
      </c>
      <c r="F81" s="294" t="s">
        <v>391</v>
      </c>
      <c r="G81" s="30">
        <v>4693.79</v>
      </c>
      <c r="H81" s="273"/>
      <c r="I81" s="273"/>
    </row>
    <row r="82" spans="2:9">
      <c r="B82" s="43"/>
      <c r="C82" s="44"/>
      <c r="D82" s="45">
        <v>0</v>
      </c>
      <c r="F82" s="295" t="s">
        <v>392</v>
      </c>
      <c r="G82" s="30"/>
      <c r="H82" s="273" t="s">
        <v>474</v>
      </c>
      <c r="I82" s="273"/>
    </row>
    <row r="83" spans="2:9">
      <c r="B83" s="44"/>
      <c r="C83" s="49"/>
      <c r="D83" s="45">
        <v>0</v>
      </c>
      <c r="F83" s="294" t="s">
        <v>393</v>
      </c>
      <c r="G83" s="30">
        <f>2649.72+39.09</f>
        <v>2688.81</v>
      </c>
      <c r="H83" s="718"/>
      <c r="I83" s="718"/>
    </row>
    <row r="84" spans="2:9">
      <c r="B84" s="43"/>
      <c r="C84" s="44"/>
      <c r="D84" s="45">
        <v>0</v>
      </c>
    </row>
  </sheetData>
  <sheetProtection password="B090" sheet="1" objects="1" scenarios="1"/>
  <mergeCells count="26">
    <mergeCell ref="B6:H6"/>
    <mergeCell ref="B7:H7"/>
    <mergeCell ref="B8:H8"/>
    <mergeCell ref="B11:H11"/>
    <mergeCell ref="B12:D12"/>
    <mergeCell ref="E12:G12"/>
    <mergeCell ref="B13:D13"/>
    <mergeCell ref="B14:C14"/>
    <mergeCell ref="B16:C16"/>
    <mergeCell ref="B18:C18"/>
    <mergeCell ref="B19:C19"/>
    <mergeCell ref="F41:H41"/>
    <mergeCell ref="F68:H68"/>
    <mergeCell ref="F72:G72"/>
    <mergeCell ref="H83:I83"/>
    <mergeCell ref="I14:I16"/>
    <mergeCell ref="C35:F35"/>
    <mergeCell ref="C36:F36"/>
    <mergeCell ref="C37:F37"/>
    <mergeCell ref="C38:F38"/>
    <mergeCell ref="C39:F39"/>
    <mergeCell ref="D24:E24"/>
    <mergeCell ref="D25:E25"/>
    <mergeCell ref="B31:H31"/>
    <mergeCell ref="C33:F33"/>
    <mergeCell ref="C34:F34"/>
  </mergeCells>
  <pageMargins left="0.51181102362204722" right="0.51181102362204722" top="0.78740157480314965" bottom="0.78740157480314965" header="0.31496062992125984" footer="0.31496062992125984"/>
  <pageSetup paperSize="9" scale="35" orientation="landscape" horizontalDpi="1200" verticalDpi="1200" r:id="rId1"/>
  <colBreaks count="1" manualBreakCount="1">
    <brk id="9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3"/>
  <sheetViews>
    <sheetView topLeftCell="A14" workbookViewId="0">
      <selection activeCell="A14" sqref="A14:A29"/>
    </sheetView>
  </sheetViews>
  <sheetFormatPr defaultColWidth="9.140625" defaultRowHeight="15"/>
  <cols>
    <col min="1" max="1" width="16.140625" style="1" customWidth="1"/>
    <col min="2" max="2" width="46" style="1" customWidth="1"/>
    <col min="3" max="3" width="14.28515625" style="1" customWidth="1"/>
    <col min="4" max="4" width="8.7109375" style="1" customWidth="1"/>
    <col min="5" max="5" width="12.5703125" style="1" customWidth="1"/>
    <col min="6" max="6" width="61.28515625" style="1" customWidth="1"/>
    <col min="7" max="7" width="16" style="1" customWidth="1"/>
    <col min="8" max="9" width="8.7109375" style="1" customWidth="1"/>
    <col min="10" max="10" width="29.140625" style="1" customWidth="1"/>
    <col min="11" max="996" width="8.7109375" style="1" customWidth="1"/>
    <col min="997" max="16384" width="9.140625" style="1"/>
  </cols>
  <sheetData>
    <row r="1" spans="1:7">
      <c r="B1" s="2"/>
      <c r="C1" s="2"/>
      <c r="D1" s="2"/>
    </row>
    <row r="2" spans="1:7">
      <c r="B2" s="2"/>
      <c r="C2" s="2"/>
      <c r="D2" s="2"/>
    </row>
    <row r="3" spans="1:7">
      <c r="B3" s="2"/>
      <c r="C3" s="2"/>
      <c r="D3" s="2"/>
    </row>
    <row r="4" spans="1:7">
      <c r="B4" s="2"/>
      <c r="C4" s="2"/>
      <c r="D4" s="2"/>
    </row>
    <row r="5" spans="1:7">
      <c r="B5" s="2"/>
      <c r="C5" s="2"/>
      <c r="D5" s="2"/>
    </row>
    <row r="6" spans="1:7" ht="15.75" customHeight="1">
      <c r="A6" s="678" t="s">
        <v>0</v>
      </c>
      <c r="B6" s="678"/>
      <c r="C6" s="678"/>
      <c r="D6" s="678"/>
      <c r="E6" s="678"/>
      <c r="F6" s="678"/>
      <c r="G6" s="678"/>
    </row>
    <row r="7" spans="1:7" ht="15.75" customHeight="1">
      <c r="A7" s="678" t="s">
        <v>2</v>
      </c>
      <c r="B7" s="678"/>
      <c r="C7" s="678"/>
      <c r="D7" s="678"/>
      <c r="E7" s="678"/>
      <c r="F7" s="678"/>
      <c r="G7" s="678"/>
    </row>
    <row r="8" spans="1:7" ht="15" customHeight="1">
      <c r="A8" s="695" t="s">
        <v>394</v>
      </c>
      <c r="B8" s="695"/>
      <c r="C8" s="695"/>
      <c r="D8" s="695"/>
      <c r="E8" s="695"/>
      <c r="F8" s="695"/>
      <c r="G8" s="695"/>
    </row>
    <row r="9" spans="1:7">
      <c r="B9" s="3"/>
      <c r="C9" s="3"/>
      <c r="D9" s="3"/>
    </row>
    <row r="10" spans="1:7" ht="41.25" customHeight="1">
      <c r="A10" s="747" t="s">
        <v>464</v>
      </c>
      <c r="B10" s="747"/>
      <c r="C10" s="747"/>
      <c r="D10" s="747"/>
      <c r="E10" s="747"/>
      <c r="F10" s="747"/>
      <c r="G10" s="747"/>
    </row>
    <row r="12" spans="1:7" ht="28.5" customHeight="1">
      <c r="A12" s="748" t="s">
        <v>976</v>
      </c>
      <c r="B12" s="749"/>
      <c r="C12" s="749"/>
      <c r="D12" s="749"/>
      <c r="E12" s="749"/>
      <c r="F12" s="749"/>
      <c r="G12" s="750"/>
    </row>
    <row r="13" spans="1:7" ht="30.75" customHeight="1">
      <c r="A13" s="741" t="s">
        <v>395</v>
      </c>
      <c r="B13" s="741"/>
      <c r="C13" s="741"/>
      <c r="E13" s="742" t="s">
        <v>396</v>
      </c>
      <c r="F13" s="742"/>
      <c r="G13" s="742"/>
    </row>
    <row r="14" spans="1:7" ht="27.75" customHeight="1">
      <c r="A14" s="737" t="s">
        <v>397</v>
      </c>
      <c r="B14" s="4" t="s">
        <v>398</v>
      </c>
      <c r="C14" s="5" t="s">
        <v>649</v>
      </c>
      <c r="E14" s="743" t="s">
        <v>399</v>
      </c>
      <c r="F14" s="743"/>
      <c r="G14" s="6"/>
    </row>
    <row r="15" spans="1:7" ht="27.75" customHeight="1">
      <c r="A15" s="738"/>
      <c r="B15" s="4" t="s">
        <v>400</v>
      </c>
      <c r="C15" s="5" t="s">
        <v>649</v>
      </c>
      <c r="E15" s="740" t="s">
        <v>401</v>
      </c>
      <c r="F15" s="7" t="s">
        <v>402</v>
      </c>
      <c r="G15" s="5" t="s">
        <v>651</v>
      </c>
    </row>
    <row r="16" spans="1:7" ht="38.25">
      <c r="A16" s="738"/>
      <c r="B16" s="8" t="s">
        <v>403</v>
      </c>
      <c r="C16" s="5" t="s">
        <v>649</v>
      </c>
      <c r="E16" s="740"/>
      <c r="F16" s="7" t="s">
        <v>404</v>
      </c>
      <c r="G16" s="5" t="s">
        <v>651</v>
      </c>
    </row>
    <row r="17" spans="1:7" ht="27.75" customHeight="1">
      <c r="A17" s="738"/>
      <c r="B17" s="8" t="s">
        <v>405</v>
      </c>
      <c r="C17" s="5" t="s">
        <v>650</v>
      </c>
      <c r="E17" s="740"/>
      <c r="F17" s="7" t="s">
        <v>406</v>
      </c>
      <c r="G17" s="5" t="s">
        <v>651</v>
      </c>
    </row>
    <row r="18" spans="1:7" ht="27.75" customHeight="1">
      <c r="A18" s="738"/>
      <c r="B18" s="8" t="s">
        <v>407</v>
      </c>
      <c r="C18" s="5" t="s">
        <v>651</v>
      </c>
      <c r="E18" s="740"/>
      <c r="F18" s="7" t="s">
        <v>22</v>
      </c>
      <c r="G18" s="5" t="s">
        <v>650</v>
      </c>
    </row>
    <row r="19" spans="1:7" ht="89.25">
      <c r="A19" s="738"/>
      <c r="B19" s="8" t="s">
        <v>408</v>
      </c>
      <c r="C19" s="5" t="s">
        <v>651</v>
      </c>
      <c r="E19" s="740"/>
      <c r="F19" s="7" t="s">
        <v>409</v>
      </c>
      <c r="G19" s="5" t="s">
        <v>651</v>
      </c>
    </row>
    <row r="20" spans="1:7" ht="27.75" customHeight="1">
      <c r="A20" s="738"/>
      <c r="B20" s="4" t="s">
        <v>410</v>
      </c>
      <c r="C20" s="5" t="s">
        <v>651</v>
      </c>
      <c r="E20" s="740"/>
      <c r="F20" s="7" t="s">
        <v>411</v>
      </c>
      <c r="G20" s="565" t="s">
        <v>651</v>
      </c>
    </row>
    <row r="21" spans="1:7" ht="27.75" customHeight="1">
      <c r="A21" s="738"/>
      <c r="B21" s="4" t="s">
        <v>412</v>
      </c>
      <c r="C21" s="5" t="s">
        <v>651</v>
      </c>
      <c r="E21" s="740"/>
      <c r="F21" s="7" t="s">
        <v>413</v>
      </c>
      <c r="G21" s="5" t="s">
        <v>651</v>
      </c>
    </row>
    <row r="22" spans="1:7" ht="27.75" customHeight="1">
      <c r="A22" s="738"/>
      <c r="B22" s="4" t="s">
        <v>414</v>
      </c>
      <c r="C22" s="5" t="s">
        <v>651</v>
      </c>
      <c r="E22" s="740"/>
      <c r="F22" s="7" t="s">
        <v>415</v>
      </c>
      <c r="G22" s="5" t="s">
        <v>651</v>
      </c>
    </row>
    <row r="23" spans="1:7" ht="27.75" customHeight="1">
      <c r="A23" s="738"/>
      <c r="B23" s="4" t="s">
        <v>416</v>
      </c>
      <c r="C23" s="5" t="s">
        <v>651</v>
      </c>
      <c r="E23" s="740"/>
      <c r="F23" s="7" t="s">
        <v>417</v>
      </c>
      <c r="G23" s="5" t="s">
        <v>651</v>
      </c>
    </row>
    <row r="24" spans="1:7" ht="27.75" customHeight="1">
      <c r="A24" s="738"/>
      <c r="B24" s="4" t="s">
        <v>418</v>
      </c>
      <c r="C24" s="5" t="s">
        <v>651</v>
      </c>
      <c r="E24" s="740"/>
      <c r="F24" s="7" t="s">
        <v>419</v>
      </c>
      <c r="G24" s="5" t="s">
        <v>651</v>
      </c>
    </row>
    <row r="25" spans="1:7" ht="27.75" customHeight="1">
      <c r="A25" s="738"/>
      <c r="B25" s="4" t="s">
        <v>420</v>
      </c>
      <c r="C25" s="5" t="s">
        <v>651</v>
      </c>
      <c r="E25" s="740"/>
      <c r="F25" s="7" t="s">
        <v>421</v>
      </c>
      <c r="G25" s="5" t="s">
        <v>651</v>
      </c>
    </row>
    <row r="26" spans="1:7" ht="38.25">
      <c r="A26" s="738"/>
      <c r="B26" s="4" t="s">
        <v>422</v>
      </c>
      <c r="C26" s="5" t="s">
        <v>651</v>
      </c>
      <c r="E26" s="740"/>
      <c r="F26" s="7" t="s">
        <v>423</v>
      </c>
      <c r="G26" s="5" t="s">
        <v>651</v>
      </c>
    </row>
    <row r="27" spans="1:7" ht="25.5">
      <c r="A27" s="738"/>
      <c r="B27" s="4" t="s">
        <v>415</v>
      </c>
      <c r="C27" s="5" t="s">
        <v>651</v>
      </c>
      <c r="E27" s="740"/>
      <c r="F27" s="7" t="s">
        <v>424</v>
      </c>
      <c r="G27" s="5" t="s">
        <v>651</v>
      </c>
    </row>
    <row r="28" spans="1:7" ht="27.75" customHeight="1">
      <c r="A28" s="738"/>
      <c r="B28" s="4" t="s">
        <v>425</v>
      </c>
      <c r="C28" s="5" t="s">
        <v>651</v>
      </c>
      <c r="E28" s="740"/>
      <c r="F28" s="7" t="s">
        <v>426</v>
      </c>
      <c r="G28" s="376" t="s">
        <v>650</v>
      </c>
    </row>
    <row r="29" spans="1:7" ht="25.5" customHeight="1">
      <c r="A29" s="738"/>
      <c r="B29" s="4" t="s">
        <v>427</v>
      </c>
      <c r="C29" s="5" t="s">
        <v>651</v>
      </c>
      <c r="E29" s="740"/>
      <c r="F29" s="7" t="s">
        <v>428</v>
      </c>
      <c r="G29" s="521" t="s">
        <v>651</v>
      </c>
    </row>
    <row r="30" spans="1:7" ht="27.75" customHeight="1">
      <c r="A30" s="737" t="s">
        <v>429</v>
      </c>
      <c r="B30" s="7" t="s">
        <v>430</v>
      </c>
      <c r="C30" s="5" t="s">
        <v>651</v>
      </c>
      <c r="E30" s="740"/>
      <c r="F30" s="7" t="s">
        <v>431</v>
      </c>
      <c r="G30" s="5" t="s">
        <v>651</v>
      </c>
    </row>
    <row r="31" spans="1:7" ht="27.75" customHeight="1">
      <c r="A31" s="739"/>
      <c r="B31" s="9" t="s">
        <v>432</v>
      </c>
      <c r="C31" s="5" t="s">
        <v>651</v>
      </c>
      <c r="E31" s="740"/>
      <c r="F31" s="7" t="s">
        <v>407</v>
      </c>
      <c r="G31" s="5" t="s">
        <v>651</v>
      </c>
    </row>
    <row r="32" spans="1:7" ht="27.75" customHeight="1">
      <c r="A32" s="739"/>
      <c r="B32" s="9" t="s">
        <v>433</v>
      </c>
      <c r="C32" s="5" t="s">
        <v>651</v>
      </c>
      <c r="E32" s="740"/>
      <c r="F32" s="7" t="s">
        <v>434</v>
      </c>
      <c r="G32" s="5" t="s">
        <v>651</v>
      </c>
    </row>
    <row r="33" spans="1:7" ht="27.75" customHeight="1">
      <c r="A33" s="739"/>
      <c r="B33" s="9" t="s">
        <v>435</v>
      </c>
      <c r="C33" s="5" t="s">
        <v>651</v>
      </c>
      <c r="E33" s="740"/>
      <c r="F33" s="7" t="s">
        <v>436</v>
      </c>
      <c r="G33" s="5" t="s">
        <v>651</v>
      </c>
    </row>
    <row r="34" spans="1:7" ht="27.75" customHeight="1">
      <c r="A34" s="739"/>
      <c r="B34" s="7" t="s">
        <v>411</v>
      </c>
      <c r="C34" s="565" t="s">
        <v>651</v>
      </c>
      <c r="E34" s="740"/>
      <c r="F34" s="7" t="s">
        <v>437</v>
      </c>
      <c r="G34" s="5" t="s">
        <v>651</v>
      </c>
    </row>
    <row r="35" spans="1:7" ht="27.75" customHeight="1">
      <c r="A35" s="739"/>
      <c r="B35" s="7" t="s">
        <v>438</v>
      </c>
      <c r="C35" s="5" t="s">
        <v>651</v>
      </c>
      <c r="E35" s="740"/>
      <c r="F35" s="7" t="s">
        <v>439</v>
      </c>
      <c r="G35" s="5" t="s">
        <v>651</v>
      </c>
    </row>
    <row r="36" spans="1:7" ht="27.75" customHeight="1">
      <c r="A36" s="739"/>
      <c r="B36" s="7" t="s">
        <v>440</v>
      </c>
      <c r="C36" s="5" t="s">
        <v>651</v>
      </c>
      <c r="E36" s="740"/>
      <c r="F36" s="7" t="s">
        <v>441</v>
      </c>
      <c r="G36" s="5" t="s">
        <v>651</v>
      </c>
    </row>
    <row r="37" spans="1:7" ht="27.75" customHeight="1">
      <c r="A37" s="739"/>
      <c r="B37" s="7" t="s">
        <v>442</v>
      </c>
      <c r="C37" s="5" t="s">
        <v>651</v>
      </c>
      <c r="E37" s="740"/>
      <c r="F37" s="7" t="s">
        <v>438</v>
      </c>
      <c r="G37" s="5" t="s">
        <v>651</v>
      </c>
    </row>
    <row r="38" spans="1:7" ht="27.75" customHeight="1">
      <c r="A38" s="739"/>
      <c r="B38" s="7" t="s">
        <v>443</v>
      </c>
      <c r="C38" s="5" t="s">
        <v>651</v>
      </c>
      <c r="E38" s="740"/>
      <c r="F38" s="7" t="s">
        <v>440</v>
      </c>
      <c r="G38" s="5" t="s">
        <v>651</v>
      </c>
    </row>
    <row r="39" spans="1:7" ht="27.75" customHeight="1">
      <c r="A39" s="739"/>
      <c r="B39" s="7" t="s">
        <v>444</v>
      </c>
      <c r="C39" s="5" t="s">
        <v>651</v>
      </c>
      <c r="E39" s="740"/>
      <c r="F39" s="7" t="s">
        <v>444</v>
      </c>
      <c r="G39" s="5" t="s">
        <v>651</v>
      </c>
    </row>
    <row r="40" spans="1:7" ht="27.75" customHeight="1">
      <c r="A40" s="739"/>
      <c r="B40" s="7" t="s">
        <v>445</v>
      </c>
      <c r="C40" s="5" t="s">
        <v>651</v>
      </c>
      <c r="E40" s="740"/>
      <c r="F40" s="7" t="s">
        <v>446</v>
      </c>
      <c r="G40" s="5" t="s">
        <v>651</v>
      </c>
    </row>
    <row r="41" spans="1:7" ht="27.75" customHeight="1">
      <c r="A41" s="739"/>
      <c r="B41" s="7" t="s">
        <v>413</v>
      </c>
      <c r="C41" s="5" t="s">
        <v>651</v>
      </c>
      <c r="E41" s="740"/>
      <c r="F41" s="7" t="s">
        <v>445</v>
      </c>
      <c r="G41" s="5" t="s">
        <v>651</v>
      </c>
    </row>
    <row r="42" spans="1:7" ht="38.25">
      <c r="A42" s="739"/>
      <c r="B42" s="7" t="s">
        <v>423</v>
      </c>
      <c r="C42" s="5" t="s">
        <v>651</v>
      </c>
      <c r="E42" s="740"/>
      <c r="F42" s="7" t="s">
        <v>447</v>
      </c>
      <c r="G42" s="5" t="s">
        <v>651</v>
      </c>
    </row>
    <row r="43" spans="1:7" ht="27.75" customHeight="1">
      <c r="A43" s="739"/>
      <c r="B43" s="7" t="s">
        <v>448</v>
      </c>
      <c r="C43" s="5" t="s">
        <v>651</v>
      </c>
      <c r="E43" s="740"/>
      <c r="F43" s="7" t="s">
        <v>449</v>
      </c>
      <c r="G43" s="5" t="s">
        <v>651</v>
      </c>
    </row>
    <row r="44" spans="1:7" ht="27.75" customHeight="1">
      <c r="A44" s="739"/>
      <c r="B44" s="7" t="s">
        <v>450</v>
      </c>
      <c r="C44" s="5" t="s">
        <v>651</v>
      </c>
      <c r="E44" s="740"/>
      <c r="F44" s="7" t="s">
        <v>451</v>
      </c>
      <c r="G44" s="5" t="s">
        <v>651</v>
      </c>
    </row>
    <row r="45" spans="1:7" ht="27.75" customHeight="1">
      <c r="A45" s="739"/>
      <c r="B45" s="7" t="s">
        <v>419</v>
      </c>
      <c r="C45" s="5" t="s">
        <v>651</v>
      </c>
      <c r="E45" s="740"/>
      <c r="F45" s="7" t="s">
        <v>452</v>
      </c>
      <c r="G45" s="5" t="s">
        <v>651</v>
      </c>
    </row>
    <row r="46" spans="1:7" ht="27.75" customHeight="1">
      <c r="A46" s="739"/>
      <c r="B46" s="7" t="s">
        <v>424</v>
      </c>
      <c r="C46" s="5" t="s">
        <v>651</v>
      </c>
      <c r="E46" s="10"/>
      <c r="F46" s="11"/>
      <c r="G46" s="12"/>
    </row>
    <row r="47" spans="1:7" ht="38.25">
      <c r="A47" s="739"/>
      <c r="B47" s="7" t="s">
        <v>426</v>
      </c>
      <c r="C47" s="376" t="s">
        <v>650</v>
      </c>
      <c r="E47" s="10"/>
      <c r="F47" s="11"/>
      <c r="G47" s="12"/>
    </row>
    <row r="48" spans="1:7" ht="27.75" customHeight="1">
      <c r="A48" s="739"/>
      <c r="B48" s="7" t="s">
        <v>428</v>
      </c>
      <c r="C48" s="521" t="s">
        <v>651</v>
      </c>
      <c r="E48" s="10"/>
      <c r="F48" s="11"/>
      <c r="G48" s="12"/>
    </row>
    <row r="49" spans="1:7" ht="27.75" customHeight="1">
      <c r="A49" s="739"/>
      <c r="B49" s="7" t="s">
        <v>434</v>
      </c>
      <c r="C49" s="5" t="s">
        <v>651</v>
      </c>
      <c r="E49" s="10"/>
      <c r="F49" s="11"/>
      <c r="G49" s="12"/>
    </row>
    <row r="50" spans="1:7" ht="27.75" customHeight="1">
      <c r="A50" s="739"/>
      <c r="B50" s="7" t="s">
        <v>436</v>
      </c>
      <c r="C50" s="5" t="s">
        <v>651</v>
      </c>
      <c r="E50" s="10"/>
      <c r="F50" s="11"/>
      <c r="G50" s="12"/>
    </row>
    <row r="51" spans="1:7" ht="27.75" customHeight="1">
      <c r="A51" s="739"/>
      <c r="B51" s="7" t="s">
        <v>437</v>
      </c>
      <c r="C51" s="5" t="s">
        <v>651</v>
      </c>
      <c r="E51" s="10"/>
      <c r="F51" s="11"/>
      <c r="G51" s="12"/>
    </row>
    <row r="52" spans="1:7" ht="27.75" customHeight="1">
      <c r="A52" s="739"/>
      <c r="B52" s="7" t="s">
        <v>439</v>
      </c>
      <c r="C52" s="5" t="s">
        <v>651</v>
      </c>
      <c r="E52" s="10"/>
      <c r="F52" s="11"/>
      <c r="G52" s="12"/>
    </row>
    <row r="53" spans="1:7" ht="27.75" customHeight="1">
      <c r="A53" s="739"/>
      <c r="B53" s="7" t="s">
        <v>449</v>
      </c>
      <c r="C53" s="5" t="s">
        <v>651</v>
      </c>
      <c r="E53" s="10"/>
      <c r="F53" s="11"/>
      <c r="G53" s="12"/>
    </row>
    <row r="54" spans="1:7" ht="27.75" customHeight="1">
      <c r="A54" s="739"/>
      <c r="B54" s="7" t="s">
        <v>452</v>
      </c>
      <c r="C54" s="5" t="s">
        <v>651</v>
      </c>
      <c r="E54" s="10"/>
      <c r="F54" s="11"/>
      <c r="G54" s="12"/>
    </row>
    <row r="55" spans="1:7" ht="27.75" customHeight="1">
      <c r="A55" s="739"/>
      <c r="B55" s="7" t="s">
        <v>453</v>
      </c>
      <c r="C55" s="5" t="s">
        <v>651</v>
      </c>
      <c r="E55" s="10"/>
      <c r="F55" s="11"/>
      <c r="G55" s="12"/>
    </row>
    <row r="56" spans="1:7">
      <c r="E56" s="13"/>
      <c r="F56" s="14"/>
      <c r="G56" s="12"/>
    </row>
    <row r="57" spans="1:7">
      <c r="E57" s="13"/>
      <c r="F57" s="14"/>
      <c r="G57" s="12"/>
    </row>
    <row r="60" spans="1:7">
      <c r="A60" s="744" t="s">
        <v>454</v>
      </c>
      <c r="B60" s="745"/>
      <c r="C60" s="745"/>
      <c r="D60" s="746"/>
    </row>
    <row r="61" spans="1:7">
      <c r="A61" s="734" t="s">
        <v>455</v>
      </c>
      <c r="B61" s="735"/>
      <c r="C61" s="735"/>
      <c r="D61" s="736"/>
    </row>
    <row r="62" spans="1:7">
      <c r="A62" s="734" t="s">
        <v>456</v>
      </c>
      <c r="B62" s="735"/>
      <c r="C62" s="735"/>
      <c r="D62" s="736"/>
    </row>
    <row r="63" spans="1:7">
      <c r="A63" s="734" t="s">
        <v>457</v>
      </c>
      <c r="B63" s="735"/>
      <c r="C63" s="735"/>
      <c r="D63" s="736"/>
    </row>
  </sheetData>
  <sheetProtection password="B090" sheet="1" objects="1" scenarios="1"/>
  <mergeCells count="15">
    <mergeCell ref="A6:G6"/>
    <mergeCell ref="A7:G7"/>
    <mergeCell ref="A8:G8"/>
    <mergeCell ref="A10:G10"/>
    <mergeCell ref="A12:G12"/>
    <mergeCell ref="A13:C13"/>
    <mergeCell ref="E13:G13"/>
    <mergeCell ref="E14:F14"/>
    <mergeCell ref="A60:D60"/>
    <mergeCell ref="A61:D61"/>
    <mergeCell ref="A62:D62"/>
    <mergeCell ref="A63:D63"/>
    <mergeCell ref="A14:A29"/>
    <mergeCell ref="A30:A55"/>
    <mergeCell ref="E15:E45"/>
  </mergeCells>
  <pageMargins left="0.511811024" right="0.511811024" top="0.78740157499999996" bottom="0.78740157499999996" header="0.31496062000000002" footer="0.31496062000000002"/>
  <pageSetup paperSize="9" scale="45" orientation="portrait" horizontalDpi="4294967294" verticalDpi="4294967294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70"/>
  <sheetViews>
    <sheetView topLeftCell="A7" zoomScale="85" zoomScaleNormal="85" workbookViewId="0">
      <selection activeCell="A27" sqref="A27"/>
    </sheetView>
  </sheetViews>
  <sheetFormatPr defaultColWidth="9.140625" defaultRowHeight="15"/>
  <cols>
    <col min="1" max="1" width="26" style="1" customWidth="1"/>
    <col min="2" max="2" width="23.7109375" style="1" customWidth="1"/>
    <col min="3" max="3" width="26.85546875" style="1" customWidth="1"/>
    <col min="4" max="4" width="45.7109375" style="1" customWidth="1"/>
    <col min="5" max="5" width="57.140625" style="1" customWidth="1"/>
    <col min="6" max="7" width="27.85546875" style="1" customWidth="1"/>
    <col min="8" max="16384" width="9.140625" style="1"/>
  </cols>
  <sheetData>
    <row r="2" spans="1:7" ht="18" customHeight="1">
      <c r="B2" s="168"/>
      <c r="C2" s="651" t="s">
        <v>0</v>
      </c>
      <c r="D2" s="651"/>
      <c r="E2" s="651"/>
      <c r="F2" s="168"/>
      <c r="G2" s="71"/>
    </row>
    <row r="3" spans="1:7" ht="15.75">
      <c r="B3" s="168"/>
      <c r="C3" s="651" t="s">
        <v>2</v>
      </c>
      <c r="D3" s="651"/>
      <c r="E3" s="651"/>
      <c r="F3" s="168"/>
      <c r="G3" s="69"/>
    </row>
    <row r="4" spans="1:7" ht="15" customHeight="1">
      <c r="B4" s="169"/>
      <c r="C4" s="651" t="s">
        <v>5</v>
      </c>
      <c r="D4" s="651"/>
      <c r="E4" s="651"/>
      <c r="F4" s="169"/>
      <c r="G4" s="70"/>
    </row>
    <row r="7" spans="1:7" ht="61.5" customHeight="1">
      <c r="A7" s="652" t="s">
        <v>676</v>
      </c>
      <c r="B7" s="653"/>
      <c r="C7" s="653"/>
      <c r="D7" s="653"/>
      <c r="E7" s="653"/>
      <c r="F7" s="653"/>
      <c r="G7" s="653"/>
    </row>
    <row r="9" spans="1:7">
      <c r="A9" s="170" t="s">
        <v>155</v>
      </c>
      <c r="B9" s="170" t="s">
        <v>156</v>
      </c>
      <c r="C9" s="170" t="s">
        <v>157</v>
      </c>
      <c r="D9" s="170" t="s">
        <v>158</v>
      </c>
      <c r="E9" s="170" t="s">
        <v>11</v>
      </c>
      <c r="F9" s="170" t="s">
        <v>159</v>
      </c>
      <c r="G9" s="170" t="s">
        <v>160</v>
      </c>
    </row>
    <row r="10" spans="1:7">
      <c r="A10" s="171" t="s">
        <v>974</v>
      </c>
      <c r="B10" s="171">
        <v>44379</v>
      </c>
      <c r="C10" s="172">
        <v>1</v>
      </c>
      <c r="D10" s="172" t="s">
        <v>947</v>
      </c>
      <c r="E10" s="172" t="s">
        <v>948</v>
      </c>
      <c r="F10" s="173">
        <v>9.9600000000000009</v>
      </c>
      <c r="G10" s="173">
        <v>2000</v>
      </c>
    </row>
    <row r="11" spans="1:7">
      <c r="A11" s="171" t="s">
        <v>974</v>
      </c>
      <c r="B11" s="171">
        <v>44379</v>
      </c>
      <c r="C11" s="320">
        <v>2</v>
      </c>
      <c r="D11" s="172" t="s">
        <v>947</v>
      </c>
      <c r="E11" s="172" t="s">
        <v>949</v>
      </c>
      <c r="F11" s="173">
        <v>10.7</v>
      </c>
      <c r="G11" s="173">
        <v>0</v>
      </c>
    </row>
    <row r="12" spans="1:7">
      <c r="A12" s="171" t="s">
        <v>974</v>
      </c>
      <c r="B12" s="171">
        <v>44386</v>
      </c>
      <c r="C12" s="320">
        <v>3</v>
      </c>
      <c r="D12" s="172" t="s">
        <v>950</v>
      </c>
      <c r="E12" s="172" t="s">
        <v>951</v>
      </c>
      <c r="F12" s="173">
        <v>42.93</v>
      </c>
      <c r="G12" s="173">
        <v>0</v>
      </c>
    </row>
    <row r="13" spans="1:7">
      <c r="A13" s="171" t="s">
        <v>974</v>
      </c>
      <c r="B13" s="171">
        <v>44391</v>
      </c>
      <c r="C13" s="320">
        <v>4</v>
      </c>
      <c r="D13" s="172" t="s">
        <v>947</v>
      </c>
      <c r="E13" s="172" t="s">
        <v>952</v>
      </c>
      <c r="F13" s="173">
        <v>32.75</v>
      </c>
      <c r="G13" s="173">
        <v>0</v>
      </c>
    </row>
    <row r="14" spans="1:7">
      <c r="A14" s="171" t="s">
        <v>974</v>
      </c>
      <c r="B14" s="171">
        <v>44392</v>
      </c>
      <c r="C14" s="320">
        <v>5</v>
      </c>
      <c r="D14" s="172" t="s">
        <v>947</v>
      </c>
      <c r="E14" s="172" t="s">
        <v>948</v>
      </c>
      <c r="F14" s="173">
        <v>20.170000000000002</v>
      </c>
      <c r="G14" s="173">
        <v>0</v>
      </c>
    </row>
    <row r="15" spans="1:7">
      <c r="A15" s="171" t="s">
        <v>974</v>
      </c>
      <c r="B15" s="171">
        <v>44392</v>
      </c>
      <c r="C15" s="320">
        <v>6</v>
      </c>
      <c r="D15" s="172" t="s">
        <v>947</v>
      </c>
      <c r="E15" s="172" t="s">
        <v>953</v>
      </c>
      <c r="F15" s="173">
        <v>28.1</v>
      </c>
      <c r="G15" s="173">
        <v>0</v>
      </c>
    </row>
    <row r="16" spans="1:7">
      <c r="A16" s="171" t="s">
        <v>974</v>
      </c>
      <c r="B16" s="171">
        <v>44392</v>
      </c>
      <c r="C16" s="172">
        <v>8</v>
      </c>
      <c r="D16" s="172" t="s">
        <v>950</v>
      </c>
      <c r="E16" s="172" t="s">
        <v>954</v>
      </c>
      <c r="F16" s="173">
        <v>87.92</v>
      </c>
      <c r="G16" s="173">
        <v>0</v>
      </c>
    </row>
    <row r="17" spans="1:7">
      <c r="A17" s="171" t="s">
        <v>974</v>
      </c>
      <c r="B17" s="171" t="s">
        <v>955</v>
      </c>
      <c r="C17" s="172">
        <v>9</v>
      </c>
      <c r="D17" s="172" t="s">
        <v>950</v>
      </c>
      <c r="E17" s="172" t="s">
        <v>956</v>
      </c>
      <c r="F17" s="173">
        <v>11.94</v>
      </c>
      <c r="G17" s="173">
        <v>0</v>
      </c>
    </row>
    <row r="18" spans="1:7">
      <c r="A18" s="171" t="s">
        <v>975</v>
      </c>
      <c r="B18" s="171">
        <v>44397</v>
      </c>
      <c r="C18" s="172">
        <v>1378732</v>
      </c>
      <c r="D18" s="172" t="s">
        <v>957</v>
      </c>
      <c r="E18" s="172" t="s">
        <v>958</v>
      </c>
      <c r="F18" s="173">
        <v>80.27</v>
      </c>
      <c r="G18" s="173">
        <v>0</v>
      </c>
    </row>
    <row r="19" spans="1:7">
      <c r="A19" s="171" t="s">
        <v>975</v>
      </c>
      <c r="B19" s="171">
        <v>44397</v>
      </c>
      <c r="C19" s="172">
        <v>1378733</v>
      </c>
      <c r="D19" s="172" t="s">
        <v>957</v>
      </c>
      <c r="E19" s="172" t="s">
        <v>958</v>
      </c>
      <c r="F19" s="173">
        <v>501.22</v>
      </c>
      <c r="G19" s="173">
        <v>0</v>
      </c>
    </row>
    <row r="20" spans="1:7">
      <c r="A20" s="171" t="s">
        <v>974</v>
      </c>
      <c r="B20" s="171">
        <v>44398</v>
      </c>
      <c r="C20" s="172">
        <v>10</v>
      </c>
      <c r="D20" s="172" t="s">
        <v>947</v>
      </c>
      <c r="E20" s="172" t="s">
        <v>959</v>
      </c>
      <c r="F20" s="173">
        <v>20.96</v>
      </c>
      <c r="G20" s="173">
        <v>0</v>
      </c>
    </row>
    <row r="21" spans="1:7">
      <c r="A21" s="171" t="s">
        <v>974</v>
      </c>
      <c r="B21" s="171">
        <v>44398</v>
      </c>
      <c r="C21" s="172">
        <v>11</v>
      </c>
      <c r="D21" s="172" t="s">
        <v>947</v>
      </c>
      <c r="E21" s="172" t="s">
        <v>960</v>
      </c>
      <c r="F21" s="173">
        <v>12.8</v>
      </c>
      <c r="G21" s="173">
        <v>0</v>
      </c>
    </row>
    <row r="22" spans="1:7">
      <c r="A22" s="171" t="s">
        <v>215</v>
      </c>
      <c r="B22" s="171">
        <v>44399</v>
      </c>
      <c r="C22" s="172">
        <v>16366</v>
      </c>
      <c r="D22" s="172" t="s">
        <v>961</v>
      </c>
      <c r="E22" s="172" t="s">
        <v>962</v>
      </c>
      <c r="F22" s="173">
        <v>84</v>
      </c>
      <c r="G22" s="173">
        <v>0</v>
      </c>
    </row>
    <row r="23" spans="1:7">
      <c r="A23" s="171" t="s">
        <v>974</v>
      </c>
      <c r="B23" s="171">
        <v>44399</v>
      </c>
      <c r="C23" s="320">
        <v>12</v>
      </c>
      <c r="D23" s="172" t="s">
        <v>950</v>
      </c>
      <c r="E23" s="172" t="s">
        <v>963</v>
      </c>
      <c r="F23" s="173">
        <v>11.58</v>
      </c>
      <c r="G23" s="173">
        <v>0</v>
      </c>
    </row>
    <row r="24" spans="1:7">
      <c r="A24" s="171" t="s">
        <v>974</v>
      </c>
      <c r="B24" s="171">
        <v>44399</v>
      </c>
      <c r="C24" s="320">
        <v>13</v>
      </c>
      <c r="D24" s="172" t="s">
        <v>950</v>
      </c>
      <c r="E24" s="172" t="s">
        <v>964</v>
      </c>
      <c r="F24" s="173">
        <v>10.43</v>
      </c>
      <c r="G24" s="173">
        <v>0</v>
      </c>
    </row>
    <row r="25" spans="1:7">
      <c r="A25" s="171" t="s">
        <v>215</v>
      </c>
      <c r="B25" s="171">
        <v>44405</v>
      </c>
      <c r="C25" s="320">
        <v>235</v>
      </c>
      <c r="D25" s="172" t="s">
        <v>603</v>
      </c>
      <c r="E25" s="172" t="s">
        <v>962</v>
      </c>
      <c r="F25" s="173">
        <v>360</v>
      </c>
      <c r="G25" s="173">
        <v>0</v>
      </c>
    </row>
    <row r="26" spans="1:7">
      <c r="A26" s="171" t="s">
        <v>193</v>
      </c>
      <c r="B26" s="171">
        <v>44405</v>
      </c>
      <c r="C26" s="172">
        <v>12563</v>
      </c>
      <c r="D26" s="172" t="s">
        <v>965</v>
      </c>
      <c r="E26" s="172" t="s">
        <v>966</v>
      </c>
      <c r="F26" s="173">
        <v>197.2</v>
      </c>
      <c r="G26" s="173">
        <v>0</v>
      </c>
    </row>
    <row r="27" spans="1:7">
      <c r="A27" s="171" t="s">
        <v>181</v>
      </c>
      <c r="B27" s="171">
        <v>44405</v>
      </c>
      <c r="C27" s="172">
        <v>12563</v>
      </c>
      <c r="D27" s="172" t="s">
        <v>965</v>
      </c>
      <c r="E27" s="172" t="s">
        <v>967</v>
      </c>
      <c r="F27" s="173">
        <v>140</v>
      </c>
      <c r="G27" s="173">
        <v>0</v>
      </c>
    </row>
    <row r="28" spans="1:7">
      <c r="A28" s="171" t="s">
        <v>193</v>
      </c>
      <c r="B28" s="171">
        <v>44405</v>
      </c>
      <c r="C28" s="172">
        <v>12563</v>
      </c>
      <c r="D28" s="172" t="s">
        <v>965</v>
      </c>
      <c r="E28" s="172" t="s">
        <v>968</v>
      </c>
      <c r="F28" s="173">
        <v>52.5</v>
      </c>
      <c r="G28" s="173">
        <v>0</v>
      </c>
    </row>
    <row r="29" spans="1:7">
      <c r="A29" s="171" t="s">
        <v>177</v>
      </c>
      <c r="B29" s="171">
        <v>44408</v>
      </c>
      <c r="C29" s="172">
        <v>5506</v>
      </c>
      <c r="D29" s="172" t="s">
        <v>969</v>
      </c>
      <c r="E29" s="172" t="s">
        <v>970</v>
      </c>
      <c r="F29" s="173">
        <v>11.9</v>
      </c>
      <c r="G29" s="173">
        <v>0</v>
      </c>
    </row>
    <row r="30" spans="1:7">
      <c r="A30" s="171" t="s">
        <v>193</v>
      </c>
      <c r="B30" s="171">
        <v>44408</v>
      </c>
      <c r="C30" s="172">
        <v>5506</v>
      </c>
      <c r="D30" s="172" t="s">
        <v>969</v>
      </c>
      <c r="E30" s="172" t="s">
        <v>971</v>
      </c>
      <c r="F30" s="173">
        <v>21.5</v>
      </c>
      <c r="G30" s="173">
        <v>0</v>
      </c>
    </row>
    <row r="31" spans="1:7">
      <c r="A31" s="171" t="s">
        <v>975</v>
      </c>
      <c r="B31" s="171">
        <v>44408</v>
      </c>
      <c r="C31" s="172">
        <v>5506</v>
      </c>
      <c r="D31" s="172" t="s">
        <v>969</v>
      </c>
      <c r="E31" s="172" t="s">
        <v>972</v>
      </c>
      <c r="F31" s="173">
        <v>88.51</v>
      </c>
      <c r="G31" s="173">
        <v>0</v>
      </c>
    </row>
    <row r="32" spans="1:7">
      <c r="A32" s="171" t="s">
        <v>193</v>
      </c>
      <c r="B32" s="171">
        <v>44408</v>
      </c>
      <c r="C32" s="172">
        <v>85013</v>
      </c>
      <c r="D32" s="172" t="s">
        <v>973</v>
      </c>
      <c r="E32" s="172" t="s">
        <v>971</v>
      </c>
      <c r="F32" s="173">
        <v>36</v>
      </c>
      <c r="G32" s="173">
        <v>0</v>
      </c>
    </row>
    <row r="33" spans="1:7">
      <c r="A33" s="171" t="s">
        <v>215</v>
      </c>
      <c r="B33" s="171">
        <v>44408</v>
      </c>
      <c r="C33" s="172">
        <v>85013</v>
      </c>
      <c r="D33" s="172" t="s">
        <v>973</v>
      </c>
      <c r="E33" s="172" t="s">
        <v>962</v>
      </c>
      <c r="F33" s="173">
        <v>125.7</v>
      </c>
      <c r="G33" s="173">
        <v>0</v>
      </c>
    </row>
    <row r="34" spans="1:7">
      <c r="A34" s="247"/>
      <c r="B34" s="171"/>
      <c r="C34" s="172"/>
      <c r="D34" s="172"/>
      <c r="E34" s="172"/>
      <c r="F34" s="173"/>
      <c r="G34" s="173"/>
    </row>
    <row r="35" spans="1:7">
      <c r="A35" s="247"/>
      <c r="B35" s="171"/>
      <c r="C35" s="172"/>
      <c r="D35" s="172"/>
      <c r="E35" s="172"/>
      <c r="F35" s="173"/>
      <c r="G35" s="173"/>
    </row>
    <row r="36" spans="1:7">
      <c r="A36" s="247"/>
      <c r="B36" s="247"/>
      <c r="C36" s="248"/>
      <c r="D36" s="248"/>
      <c r="E36" s="248"/>
      <c r="F36" s="173">
        <v>0</v>
      </c>
      <c r="G36" s="173">
        <v>0</v>
      </c>
    </row>
    <row r="37" spans="1:7">
      <c r="A37" s="247"/>
      <c r="B37" s="247"/>
      <c r="C37" s="248"/>
      <c r="D37" s="248"/>
      <c r="E37" s="248"/>
      <c r="F37" s="173">
        <v>0</v>
      </c>
      <c r="G37" s="173">
        <v>0</v>
      </c>
    </row>
    <row r="38" spans="1:7">
      <c r="A38" s="247"/>
      <c r="B38" s="247"/>
      <c r="C38" s="248"/>
      <c r="D38" s="248"/>
      <c r="E38" s="248"/>
      <c r="F38" s="173">
        <v>0</v>
      </c>
      <c r="G38" s="173">
        <v>0</v>
      </c>
    </row>
    <row r="39" spans="1:7">
      <c r="A39" s="247"/>
      <c r="B39" s="247"/>
      <c r="C39" s="248"/>
      <c r="D39" s="248"/>
      <c r="E39" s="248"/>
      <c r="F39" s="173">
        <v>0</v>
      </c>
      <c r="G39" s="173">
        <v>0</v>
      </c>
    </row>
    <row r="40" spans="1:7">
      <c r="A40" s="247"/>
      <c r="B40" s="247"/>
      <c r="C40" s="248"/>
      <c r="D40" s="248"/>
      <c r="E40" s="248"/>
      <c r="F40" s="173">
        <v>0</v>
      </c>
      <c r="G40" s="173">
        <v>0</v>
      </c>
    </row>
    <row r="41" spans="1:7">
      <c r="A41" s="247"/>
      <c r="B41" s="247"/>
      <c r="C41" s="248"/>
      <c r="D41" s="248"/>
      <c r="E41" s="248"/>
      <c r="F41" s="173">
        <v>0</v>
      </c>
      <c r="G41" s="173">
        <v>0</v>
      </c>
    </row>
    <row r="42" spans="1:7">
      <c r="A42" s="247"/>
      <c r="B42" s="247"/>
      <c r="C42" s="248"/>
      <c r="D42" s="248"/>
      <c r="E42" s="248"/>
      <c r="F42" s="173">
        <v>0</v>
      </c>
      <c r="G42" s="173">
        <v>0</v>
      </c>
    </row>
    <row r="43" spans="1:7">
      <c r="A43" s="247"/>
      <c r="B43" s="247"/>
      <c r="C43" s="248"/>
      <c r="D43" s="248"/>
      <c r="E43" s="248"/>
      <c r="F43" s="173">
        <v>0</v>
      </c>
      <c r="G43" s="173">
        <v>0</v>
      </c>
    </row>
    <row r="44" spans="1:7">
      <c r="A44" s="247"/>
      <c r="B44" s="247"/>
      <c r="C44" s="248"/>
      <c r="D44" s="248"/>
      <c r="E44" s="248"/>
      <c r="F44" s="173">
        <v>0</v>
      </c>
      <c r="G44" s="173">
        <v>0</v>
      </c>
    </row>
    <row r="45" spans="1:7">
      <c r="A45" s="247"/>
      <c r="B45" s="247"/>
      <c r="C45" s="248"/>
      <c r="D45" s="248"/>
      <c r="E45" s="248"/>
      <c r="F45" s="173">
        <v>0</v>
      </c>
      <c r="G45" s="173">
        <v>0</v>
      </c>
    </row>
    <row r="46" spans="1:7">
      <c r="A46" s="247"/>
      <c r="B46" s="247"/>
      <c r="C46" s="248"/>
      <c r="D46" s="248"/>
      <c r="E46" s="248"/>
      <c r="F46" s="173">
        <v>0</v>
      </c>
      <c r="G46" s="173">
        <v>0</v>
      </c>
    </row>
    <row r="47" spans="1:7">
      <c r="A47" s="247"/>
      <c r="B47" s="247"/>
      <c r="C47" s="248"/>
      <c r="D47" s="248"/>
      <c r="E47" s="248"/>
      <c r="F47" s="173">
        <v>0</v>
      </c>
      <c r="G47" s="173">
        <v>0</v>
      </c>
    </row>
    <row r="48" spans="1:7">
      <c r="A48" s="247"/>
      <c r="B48" s="247"/>
      <c r="C48" s="248"/>
      <c r="D48" s="248"/>
      <c r="E48" s="248"/>
      <c r="F48" s="173">
        <v>0</v>
      </c>
      <c r="G48" s="173">
        <v>0</v>
      </c>
    </row>
    <row r="49" spans="1:7">
      <c r="A49" s="247"/>
      <c r="B49" s="247"/>
      <c r="C49" s="248"/>
      <c r="D49" s="248"/>
      <c r="E49" s="248"/>
      <c r="F49" s="173">
        <v>0</v>
      </c>
      <c r="G49" s="173">
        <v>0</v>
      </c>
    </row>
    <row r="50" spans="1:7">
      <c r="A50" s="247"/>
      <c r="B50" s="247"/>
      <c r="C50" s="248"/>
      <c r="D50" s="248"/>
      <c r="E50" s="248"/>
      <c r="F50" s="173">
        <v>0</v>
      </c>
      <c r="G50" s="173">
        <v>0</v>
      </c>
    </row>
    <row r="51" spans="1:7">
      <c r="A51" s="171"/>
      <c r="B51" s="171"/>
      <c r="C51" s="172"/>
      <c r="D51" s="172"/>
      <c r="E51" s="172"/>
      <c r="F51" s="173">
        <v>0</v>
      </c>
      <c r="G51" s="173">
        <v>0</v>
      </c>
    </row>
    <row r="52" spans="1:7">
      <c r="A52" s="171"/>
      <c r="B52" s="172"/>
      <c r="C52" s="172"/>
      <c r="D52" s="172"/>
      <c r="E52" s="172"/>
      <c r="F52" s="173">
        <v>0</v>
      </c>
      <c r="G52" s="173">
        <v>0</v>
      </c>
    </row>
    <row r="53" spans="1:7">
      <c r="A53" s="171"/>
      <c r="B53" s="172"/>
      <c r="C53" s="172"/>
      <c r="D53" s="172"/>
      <c r="E53" s="172"/>
      <c r="F53" s="173">
        <v>0</v>
      </c>
      <c r="G53" s="173">
        <v>0</v>
      </c>
    </row>
    <row r="54" spans="1:7">
      <c r="A54" s="171"/>
      <c r="B54" s="172"/>
      <c r="C54" s="172"/>
      <c r="D54" s="172"/>
      <c r="E54" s="172"/>
      <c r="F54" s="173">
        <v>0</v>
      </c>
      <c r="G54" s="173">
        <v>0</v>
      </c>
    </row>
    <row r="55" spans="1:7">
      <c r="A55" s="171"/>
      <c r="B55" s="172"/>
      <c r="C55" s="172"/>
      <c r="D55" s="172"/>
      <c r="E55" s="172"/>
      <c r="F55" s="173">
        <v>0</v>
      </c>
      <c r="G55" s="173">
        <v>0</v>
      </c>
    </row>
    <row r="56" spans="1:7">
      <c r="A56" s="172"/>
      <c r="B56" s="172"/>
      <c r="C56" s="172"/>
      <c r="D56" s="172"/>
      <c r="E56" s="172"/>
      <c r="F56" s="173">
        <v>0</v>
      </c>
      <c r="G56" s="173">
        <v>0</v>
      </c>
    </row>
    <row r="57" spans="1:7">
      <c r="A57" s="654" t="s">
        <v>138</v>
      </c>
      <c r="B57" s="655"/>
      <c r="C57" s="655"/>
      <c r="D57" s="655"/>
      <c r="E57" s="656"/>
      <c r="F57" s="174">
        <f>SUM(F10:F56)</f>
        <v>1999.0400000000002</v>
      </c>
      <c r="G57" s="174">
        <f>SUM(G10:G56)</f>
        <v>2000</v>
      </c>
    </row>
    <row r="58" spans="1:7">
      <c r="A58" s="175"/>
      <c r="B58" s="175"/>
      <c r="C58" s="175"/>
      <c r="D58" s="175"/>
      <c r="E58" s="175"/>
      <c r="F58" s="175"/>
    </row>
    <row r="59" spans="1:7">
      <c r="B59" s="176"/>
      <c r="C59" s="176"/>
      <c r="D59" s="176"/>
      <c r="E59" s="176"/>
      <c r="F59" s="176"/>
    </row>
    <row r="60" spans="1:7">
      <c r="A60" s="648" t="s">
        <v>161</v>
      </c>
      <c r="B60" s="648"/>
      <c r="C60" s="648"/>
      <c r="D60" s="177"/>
    </row>
    <row r="61" spans="1:7" ht="15" customHeight="1">
      <c r="A61" s="649" t="s">
        <v>162</v>
      </c>
      <c r="B61" s="649"/>
      <c r="C61" s="178">
        <v>-2.61</v>
      </c>
      <c r="D61" s="179"/>
    </row>
    <row r="62" spans="1:7" ht="15" customHeight="1">
      <c r="A62" s="649" t="s">
        <v>163</v>
      </c>
      <c r="B62" s="649"/>
      <c r="C62" s="180">
        <f>F57</f>
        <v>1999.0400000000002</v>
      </c>
      <c r="D62" s="181"/>
    </row>
    <row r="63" spans="1:7" ht="15" customHeight="1">
      <c r="A63" s="649" t="s">
        <v>164</v>
      </c>
      <c r="B63" s="649"/>
      <c r="C63" s="180">
        <f>G57</f>
        <v>2000</v>
      </c>
      <c r="D63" s="181"/>
    </row>
    <row r="64" spans="1:7">
      <c r="A64" s="650" t="s">
        <v>165</v>
      </c>
      <c r="B64" s="650"/>
      <c r="C64" s="182">
        <f>C61-C62+C63</f>
        <v>-1.6500000000000909</v>
      </c>
      <c r="D64" s="183"/>
    </row>
    <row r="65" spans="2:5">
      <c r="D65" s="184"/>
    </row>
    <row r="69" spans="2:5">
      <c r="B69" s="646" t="s">
        <v>166</v>
      </c>
      <c r="C69" s="646"/>
      <c r="D69" s="646"/>
      <c r="E69" s="646"/>
    </row>
    <row r="70" spans="2:5">
      <c r="B70" s="647" t="s">
        <v>167</v>
      </c>
      <c r="C70" s="647"/>
      <c r="D70" s="647"/>
      <c r="E70" s="647"/>
    </row>
  </sheetData>
  <sheetProtection password="B090" sheet="1" objects="1" scenarios="1"/>
  <mergeCells count="12">
    <mergeCell ref="C2:E2"/>
    <mergeCell ref="C3:E3"/>
    <mergeCell ref="C4:E4"/>
    <mergeCell ref="A7:G7"/>
    <mergeCell ref="A57:E57"/>
    <mergeCell ref="B69:E69"/>
    <mergeCell ref="B70:E70"/>
    <mergeCell ref="A60:C60"/>
    <mergeCell ref="A61:B61"/>
    <mergeCell ref="A62:B62"/>
    <mergeCell ref="A63:B63"/>
    <mergeCell ref="A64:B64"/>
  </mergeCells>
  <phoneticPr fontId="168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5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256"/>
  <sheetViews>
    <sheetView topLeftCell="A19" workbookViewId="0">
      <selection activeCell="D13" sqref="D13 C249:D249"/>
    </sheetView>
  </sheetViews>
  <sheetFormatPr defaultColWidth="9.140625" defaultRowHeight="15"/>
  <cols>
    <col min="1" max="1" width="25.5703125" style="1" customWidth="1"/>
    <col min="2" max="4" width="29.140625" style="1" customWidth="1"/>
    <col min="5" max="5" width="23.28515625" style="1" customWidth="1"/>
    <col min="6" max="16384" width="9.140625" style="1"/>
  </cols>
  <sheetData>
    <row r="3" spans="1:5" ht="15.75">
      <c r="B3" s="659" t="s">
        <v>0</v>
      </c>
      <c r="C3" s="659"/>
      <c r="D3" s="659"/>
    </row>
    <row r="4" spans="1:5" ht="15.75">
      <c r="B4" s="659" t="s">
        <v>2</v>
      </c>
      <c r="C4" s="659"/>
      <c r="D4" s="659"/>
    </row>
    <row r="5" spans="1:5" ht="15.75">
      <c r="B5" s="659" t="s">
        <v>5</v>
      </c>
      <c r="C5" s="659"/>
      <c r="D5" s="659"/>
    </row>
    <row r="8" spans="1:5" ht="50.25" customHeight="1">
      <c r="A8" s="660" t="s">
        <v>677</v>
      </c>
      <c r="B8" s="661"/>
      <c r="C8" s="661"/>
      <c r="D8" s="661"/>
      <c r="E8" s="661"/>
    </row>
    <row r="10" spans="1:5" ht="46.5" customHeight="1">
      <c r="A10" s="662" t="s">
        <v>458</v>
      </c>
      <c r="B10" s="663"/>
      <c r="C10" s="663"/>
      <c r="D10" s="663"/>
      <c r="E10" s="663"/>
    </row>
    <row r="13" spans="1:5">
      <c r="B13" s="657" t="s">
        <v>170</v>
      </c>
      <c r="C13" s="657"/>
      <c r="D13" s="162">
        <v>0</v>
      </c>
    </row>
    <row r="14" spans="1:5">
      <c r="B14" s="163" t="s">
        <v>156</v>
      </c>
      <c r="C14" s="163" t="s">
        <v>171</v>
      </c>
      <c r="D14" s="163" t="s">
        <v>172</v>
      </c>
    </row>
    <row r="15" spans="1:5">
      <c r="B15" s="171">
        <v>44369</v>
      </c>
      <c r="C15" s="538">
        <v>0</v>
      </c>
      <c r="D15" s="538">
        <v>0</v>
      </c>
    </row>
    <row r="16" spans="1:5">
      <c r="B16" s="171">
        <v>44384</v>
      </c>
      <c r="C16" s="375">
        <v>0</v>
      </c>
      <c r="D16" s="374">
        <v>891287.27</v>
      </c>
    </row>
    <row r="17" spans="2:4">
      <c r="B17" s="171">
        <v>44384</v>
      </c>
      <c r="C17" s="375">
        <v>0</v>
      </c>
      <c r="D17" s="374">
        <v>170000</v>
      </c>
    </row>
    <row r="18" spans="2:4">
      <c r="B18" s="171">
        <v>44384</v>
      </c>
      <c r="C18" s="374">
        <v>286.08</v>
      </c>
      <c r="D18" s="374">
        <v>0</v>
      </c>
    </row>
    <row r="19" spans="2:4">
      <c r="B19" s="171">
        <v>44384</v>
      </c>
      <c r="C19" s="374">
        <v>2000</v>
      </c>
      <c r="D19" s="374">
        <v>0</v>
      </c>
    </row>
    <row r="20" spans="2:4">
      <c r="B20" s="171">
        <v>44384</v>
      </c>
      <c r="C20" s="374">
        <v>31980</v>
      </c>
      <c r="D20" s="374">
        <v>0</v>
      </c>
    </row>
    <row r="21" spans="2:4">
      <c r="B21" s="171">
        <v>44384</v>
      </c>
      <c r="C21" s="374">
        <v>20000</v>
      </c>
      <c r="D21" s="374">
        <v>0</v>
      </c>
    </row>
    <row r="22" spans="2:4">
      <c r="B22" s="171">
        <v>44384</v>
      </c>
      <c r="C22" s="374">
        <v>90471.4</v>
      </c>
      <c r="D22" s="374">
        <v>0</v>
      </c>
    </row>
    <row r="23" spans="2:4">
      <c r="B23" s="171">
        <v>44384</v>
      </c>
      <c r="C23" s="374">
        <v>25714.9</v>
      </c>
      <c r="D23" s="374">
        <v>0</v>
      </c>
    </row>
    <row r="24" spans="2:4">
      <c r="B24" s="171">
        <v>44384</v>
      </c>
      <c r="C24" s="374">
        <v>37446.15</v>
      </c>
      <c r="D24" s="374">
        <v>0</v>
      </c>
    </row>
    <row r="25" spans="2:4">
      <c r="B25" s="171">
        <v>44384</v>
      </c>
      <c r="C25" s="374">
        <v>16131.84</v>
      </c>
      <c r="D25" s="374">
        <v>0</v>
      </c>
    </row>
    <row r="26" spans="2:4">
      <c r="B26" s="171">
        <v>44384</v>
      </c>
      <c r="C26" s="374">
        <v>21795.15</v>
      </c>
      <c r="D26" s="374">
        <v>0</v>
      </c>
    </row>
    <row r="27" spans="2:4">
      <c r="B27" s="171">
        <v>44384</v>
      </c>
      <c r="C27" s="374">
        <v>236435.29</v>
      </c>
      <c r="D27" s="374">
        <v>0</v>
      </c>
    </row>
    <row r="28" spans="2:4">
      <c r="B28" s="171">
        <v>44384</v>
      </c>
      <c r="C28" s="374">
        <v>13830.31</v>
      </c>
      <c r="D28" s="374">
        <v>0</v>
      </c>
    </row>
    <row r="29" spans="2:4">
      <c r="B29" s="171">
        <v>44384</v>
      </c>
      <c r="C29" s="374">
        <v>176987.59</v>
      </c>
      <c r="D29" s="374">
        <v>0</v>
      </c>
    </row>
    <row r="30" spans="2:4">
      <c r="B30" s="171">
        <v>44384</v>
      </c>
      <c r="C30" s="374">
        <v>25388.73</v>
      </c>
      <c r="D30" s="374">
        <v>0</v>
      </c>
    </row>
    <row r="31" spans="2:4">
      <c r="B31" s="171">
        <v>44384</v>
      </c>
      <c r="C31" s="374">
        <v>961.17</v>
      </c>
      <c r="D31" s="374">
        <v>0</v>
      </c>
    </row>
    <row r="32" spans="2:4">
      <c r="B32" s="171">
        <v>44384</v>
      </c>
      <c r="C32" s="374">
        <v>433.42</v>
      </c>
      <c r="D32" s="374">
        <v>0</v>
      </c>
    </row>
    <row r="33" spans="2:4">
      <c r="B33" s="171">
        <v>44384</v>
      </c>
      <c r="C33" s="374">
        <v>16547.64</v>
      </c>
      <c r="D33" s="374">
        <v>0</v>
      </c>
    </row>
    <row r="34" spans="2:4">
      <c r="B34" s="171">
        <v>44384</v>
      </c>
      <c r="C34" s="374">
        <v>2175.58</v>
      </c>
      <c r="D34" s="374">
        <v>0</v>
      </c>
    </row>
    <row r="35" spans="2:4">
      <c r="B35" s="171">
        <v>44384</v>
      </c>
      <c r="C35" s="374">
        <v>3233.27</v>
      </c>
      <c r="D35" s="374">
        <v>0</v>
      </c>
    </row>
    <row r="36" spans="2:4">
      <c r="B36" s="171">
        <v>44384</v>
      </c>
      <c r="C36" s="374">
        <v>500</v>
      </c>
      <c r="D36" s="374">
        <v>0</v>
      </c>
    </row>
    <row r="37" spans="2:4">
      <c r="B37" s="171">
        <v>44384</v>
      </c>
      <c r="C37" s="374">
        <v>2388.9</v>
      </c>
      <c r="D37" s="374">
        <v>0</v>
      </c>
    </row>
    <row r="38" spans="2:4">
      <c r="B38" s="171">
        <v>44384</v>
      </c>
      <c r="C38" s="374">
        <v>640</v>
      </c>
      <c r="D38" s="374">
        <v>0</v>
      </c>
    </row>
    <row r="39" spans="2:4">
      <c r="B39" s="171">
        <v>44384</v>
      </c>
      <c r="C39" s="374">
        <v>11349.19</v>
      </c>
      <c r="D39" s="374">
        <v>0</v>
      </c>
    </row>
    <row r="40" spans="2:4">
      <c r="B40" s="171">
        <v>44384</v>
      </c>
      <c r="C40" s="374">
        <v>14713.33</v>
      </c>
      <c r="D40" s="374">
        <v>0</v>
      </c>
    </row>
    <row r="41" spans="2:4">
      <c r="B41" s="171">
        <v>44384</v>
      </c>
      <c r="C41" s="374">
        <v>29.24</v>
      </c>
      <c r="D41" s="374">
        <v>0</v>
      </c>
    </row>
    <row r="42" spans="2:4">
      <c r="B42" s="171">
        <v>44384</v>
      </c>
      <c r="C42" s="374">
        <v>3000</v>
      </c>
      <c r="D42" s="374">
        <v>0</v>
      </c>
    </row>
    <row r="43" spans="2:4">
      <c r="B43" s="171">
        <v>44384</v>
      </c>
      <c r="C43" s="374">
        <v>1796.85</v>
      </c>
      <c r="D43" s="374">
        <v>0</v>
      </c>
    </row>
    <row r="44" spans="2:4">
      <c r="B44" s="171">
        <v>44384</v>
      </c>
      <c r="C44" s="374">
        <v>4405.8500000000004</v>
      </c>
      <c r="D44" s="374">
        <v>0</v>
      </c>
    </row>
    <row r="45" spans="2:4">
      <c r="B45" s="171">
        <v>44384</v>
      </c>
      <c r="C45" s="374">
        <v>598</v>
      </c>
      <c r="D45" s="374">
        <v>0</v>
      </c>
    </row>
    <row r="46" spans="2:4">
      <c r="B46" s="171">
        <v>44384</v>
      </c>
      <c r="C46" s="374">
        <v>507.2</v>
      </c>
      <c r="D46" s="374">
        <v>0</v>
      </c>
    </row>
    <row r="47" spans="2:4">
      <c r="B47" s="171">
        <v>44384</v>
      </c>
      <c r="C47" s="374">
        <v>1950</v>
      </c>
      <c r="D47" s="374">
        <v>0</v>
      </c>
    </row>
    <row r="48" spans="2:4">
      <c r="B48" s="171">
        <v>44384</v>
      </c>
      <c r="C48" s="374">
        <v>1695.6</v>
      </c>
      <c r="D48" s="374">
        <v>0</v>
      </c>
    </row>
    <row r="49" spans="2:4">
      <c r="B49" s="171">
        <v>44384</v>
      </c>
      <c r="C49" s="374">
        <v>3300</v>
      </c>
      <c r="D49" s="374">
        <v>0</v>
      </c>
    </row>
    <row r="50" spans="2:4">
      <c r="B50" s="171">
        <v>44384</v>
      </c>
      <c r="C50" s="374">
        <v>736.8</v>
      </c>
      <c r="D50" s="374">
        <v>0</v>
      </c>
    </row>
    <row r="51" spans="2:4">
      <c r="B51" s="171">
        <v>44384</v>
      </c>
      <c r="C51" s="374">
        <v>7708.97</v>
      </c>
      <c r="D51" s="374">
        <v>0</v>
      </c>
    </row>
    <row r="52" spans="2:4">
      <c r="B52" s="171">
        <v>44384</v>
      </c>
      <c r="C52" s="374">
        <v>328</v>
      </c>
      <c r="D52" s="374">
        <v>0</v>
      </c>
    </row>
    <row r="53" spans="2:4">
      <c r="B53" s="171">
        <v>44384</v>
      </c>
      <c r="C53" s="374">
        <v>1635</v>
      </c>
      <c r="D53" s="374">
        <v>0</v>
      </c>
    </row>
    <row r="54" spans="2:4">
      <c r="B54" s="171">
        <v>44384</v>
      </c>
      <c r="C54" s="374">
        <v>1323.4</v>
      </c>
      <c r="D54" s="374">
        <v>0</v>
      </c>
    </row>
    <row r="55" spans="2:4">
      <c r="B55" s="171">
        <v>44384</v>
      </c>
      <c r="C55" s="374">
        <v>3812.59</v>
      </c>
      <c r="D55" s="374">
        <v>0</v>
      </c>
    </row>
    <row r="56" spans="2:4">
      <c r="B56" s="171">
        <v>44384</v>
      </c>
      <c r="C56" s="374">
        <v>2678.5</v>
      </c>
      <c r="D56" s="374">
        <v>0</v>
      </c>
    </row>
    <row r="57" spans="2:4">
      <c r="B57" s="171">
        <v>44384</v>
      </c>
      <c r="C57" s="374">
        <v>6726.2</v>
      </c>
      <c r="D57" s="374">
        <v>0</v>
      </c>
    </row>
    <row r="58" spans="2:4">
      <c r="B58" s="171">
        <v>44384</v>
      </c>
      <c r="C58" s="374">
        <v>3613.6</v>
      </c>
      <c r="D58" s="374">
        <v>0</v>
      </c>
    </row>
    <row r="59" spans="2:4">
      <c r="B59" s="171">
        <v>44384</v>
      </c>
      <c r="C59" s="374">
        <v>9815.35</v>
      </c>
      <c r="D59" s="374">
        <v>0</v>
      </c>
    </row>
    <row r="60" spans="2:4">
      <c r="B60" s="171">
        <v>44384</v>
      </c>
      <c r="C60" s="374">
        <v>5263.68</v>
      </c>
      <c r="D60" s="374">
        <v>0</v>
      </c>
    </row>
    <row r="61" spans="2:4">
      <c r="B61" s="171">
        <v>44384</v>
      </c>
      <c r="C61" s="374">
        <v>13968</v>
      </c>
      <c r="D61" s="374">
        <v>0</v>
      </c>
    </row>
    <row r="62" spans="2:4">
      <c r="B62" s="171">
        <v>44384</v>
      </c>
      <c r="C62" s="374">
        <v>500</v>
      </c>
      <c r="D62" s="374">
        <v>0</v>
      </c>
    </row>
    <row r="63" spans="2:4">
      <c r="B63" s="171">
        <v>44384</v>
      </c>
      <c r="C63" s="374">
        <v>21297.599999999999</v>
      </c>
      <c r="D63" s="374">
        <v>0</v>
      </c>
    </row>
    <row r="64" spans="2:4">
      <c r="B64" s="171">
        <v>44384</v>
      </c>
      <c r="C64" s="374">
        <v>39660.730000000003</v>
      </c>
      <c r="D64" s="374">
        <v>0</v>
      </c>
    </row>
    <row r="65" spans="2:4">
      <c r="B65" s="171">
        <v>44384</v>
      </c>
      <c r="C65" s="374">
        <v>40129.879999999997</v>
      </c>
      <c r="D65" s="374">
        <v>0</v>
      </c>
    </row>
    <row r="66" spans="2:4">
      <c r="B66" s="171">
        <v>44384</v>
      </c>
      <c r="C66" s="374">
        <v>9054.65</v>
      </c>
      <c r="D66" s="374">
        <v>0</v>
      </c>
    </row>
    <row r="67" spans="2:4">
      <c r="B67" s="171">
        <v>44384</v>
      </c>
      <c r="C67" s="374">
        <v>21078.42</v>
      </c>
      <c r="D67" s="374">
        <v>0</v>
      </c>
    </row>
    <row r="68" spans="2:4">
      <c r="B68" s="171">
        <v>44384</v>
      </c>
      <c r="C68" s="374">
        <v>8551.92</v>
      </c>
      <c r="D68" s="374">
        <v>0</v>
      </c>
    </row>
    <row r="69" spans="2:4">
      <c r="B69" s="171">
        <v>44384</v>
      </c>
      <c r="C69" s="374">
        <v>6768</v>
      </c>
      <c r="D69" s="374">
        <v>0</v>
      </c>
    </row>
    <row r="70" spans="2:4">
      <c r="B70" s="171">
        <v>44384</v>
      </c>
      <c r="C70" s="374">
        <v>1549.07</v>
      </c>
      <c r="D70" s="374">
        <v>0</v>
      </c>
    </row>
    <row r="71" spans="2:4">
      <c r="B71" s="171">
        <v>44384</v>
      </c>
      <c r="C71" s="374">
        <v>820</v>
      </c>
      <c r="D71" s="374">
        <v>0</v>
      </c>
    </row>
    <row r="72" spans="2:4">
      <c r="B72" s="171">
        <v>44384</v>
      </c>
      <c r="C72" s="374">
        <v>14000</v>
      </c>
      <c r="D72" s="374">
        <v>0</v>
      </c>
    </row>
    <row r="73" spans="2:4">
      <c r="B73" s="171">
        <v>44384</v>
      </c>
      <c r="C73" s="374">
        <v>4703.68</v>
      </c>
      <c r="D73" s="374">
        <v>0</v>
      </c>
    </row>
    <row r="74" spans="2:4">
      <c r="B74" s="171">
        <v>44384</v>
      </c>
      <c r="C74" s="374">
        <v>4820.1400000000003</v>
      </c>
      <c r="D74" s="374">
        <v>0</v>
      </c>
    </row>
    <row r="75" spans="2:4">
      <c r="B75" s="171">
        <v>44384</v>
      </c>
      <c r="C75" s="374">
        <v>5136</v>
      </c>
      <c r="D75" s="374">
        <v>0</v>
      </c>
    </row>
    <row r="76" spans="2:4">
      <c r="B76" s="171">
        <v>44384</v>
      </c>
      <c r="C76" s="374">
        <v>300</v>
      </c>
      <c r="D76" s="374">
        <v>0</v>
      </c>
    </row>
    <row r="77" spans="2:4">
      <c r="B77" s="171">
        <v>44384</v>
      </c>
      <c r="C77" s="374">
        <v>5893.04</v>
      </c>
      <c r="D77" s="374">
        <v>0</v>
      </c>
    </row>
    <row r="78" spans="2:4">
      <c r="B78" s="171">
        <v>44384</v>
      </c>
      <c r="C78" s="374">
        <v>16163.76</v>
      </c>
      <c r="D78" s="374">
        <v>0</v>
      </c>
    </row>
    <row r="79" spans="2:4">
      <c r="B79" s="171">
        <v>44384</v>
      </c>
      <c r="C79" s="374">
        <v>3542.83</v>
      </c>
      <c r="D79" s="374">
        <v>0</v>
      </c>
    </row>
    <row r="80" spans="2:4">
      <c r="B80" s="171">
        <v>44384</v>
      </c>
      <c r="C80" s="374">
        <v>3116</v>
      </c>
      <c r="D80" s="374">
        <v>0</v>
      </c>
    </row>
    <row r="81" spans="2:4">
      <c r="B81" s="171">
        <v>44384</v>
      </c>
      <c r="C81" s="374">
        <v>22000</v>
      </c>
      <c r="D81" s="374">
        <v>0</v>
      </c>
    </row>
    <row r="82" spans="2:4">
      <c r="B82" s="171">
        <v>44384</v>
      </c>
      <c r="C82" s="374">
        <v>13000</v>
      </c>
      <c r="D82" s="374">
        <v>0</v>
      </c>
    </row>
    <row r="83" spans="2:4">
      <c r="B83" s="171">
        <v>44384</v>
      </c>
      <c r="C83" s="374">
        <v>14000</v>
      </c>
      <c r="D83" s="374">
        <v>0</v>
      </c>
    </row>
    <row r="84" spans="2:4">
      <c r="B84" s="171">
        <v>44384</v>
      </c>
      <c r="C84" s="374">
        <v>998</v>
      </c>
      <c r="D84" s="374">
        <v>0</v>
      </c>
    </row>
    <row r="85" spans="2:4">
      <c r="B85" s="171">
        <v>44384</v>
      </c>
      <c r="C85" s="374">
        <v>3289.51</v>
      </c>
      <c r="D85" s="374">
        <v>0</v>
      </c>
    </row>
    <row r="86" spans="2:4">
      <c r="B86" s="171">
        <v>44384</v>
      </c>
      <c r="C86" s="375">
        <v>0</v>
      </c>
      <c r="D86" s="374">
        <v>25388.73</v>
      </c>
    </row>
    <row r="87" spans="2:4">
      <c r="B87" s="171">
        <v>44385</v>
      </c>
      <c r="C87" s="374">
        <v>400.85</v>
      </c>
      <c r="D87" s="374">
        <v>0</v>
      </c>
    </row>
    <row r="88" spans="2:4">
      <c r="B88" s="171">
        <v>44385</v>
      </c>
      <c r="C88" s="374">
        <v>38462.18</v>
      </c>
      <c r="D88" s="374">
        <v>0</v>
      </c>
    </row>
    <row r="89" spans="2:4">
      <c r="B89" s="171">
        <v>44385</v>
      </c>
      <c r="C89" s="374">
        <v>736.8</v>
      </c>
      <c r="D89" s="374">
        <v>0</v>
      </c>
    </row>
    <row r="90" spans="2:4">
      <c r="B90" s="171">
        <v>44385</v>
      </c>
      <c r="C90" s="374">
        <v>13748.79</v>
      </c>
      <c r="D90" s="374">
        <v>0</v>
      </c>
    </row>
    <row r="91" spans="2:4">
      <c r="B91" s="171">
        <v>44385</v>
      </c>
      <c r="C91" s="374">
        <v>2865.92</v>
      </c>
      <c r="D91" s="374">
        <v>0</v>
      </c>
    </row>
    <row r="92" spans="2:4">
      <c r="B92" s="171">
        <v>44385</v>
      </c>
      <c r="C92" s="374">
        <v>414.04</v>
      </c>
      <c r="D92" s="374">
        <v>0</v>
      </c>
    </row>
    <row r="93" spans="2:4">
      <c r="B93" s="171">
        <v>44385</v>
      </c>
      <c r="C93" s="374">
        <v>3266.5</v>
      </c>
      <c r="D93" s="374">
        <v>0</v>
      </c>
    </row>
    <row r="94" spans="2:4">
      <c r="B94" s="171">
        <v>44385</v>
      </c>
      <c r="C94" s="374">
        <v>621.35</v>
      </c>
      <c r="D94" s="374">
        <v>0</v>
      </c>
    </row>
    <row r="95" spans="2:4">
      <c r="B95" s="171">
        <v>44385</v>
      </c>
      <c r="C95" s="374">
        <v>1823.66</v>
      </c>
      <c r="D95" s="374">
        <v>0</v>
      </c>
    </row>
    <row r="96" spans="2:4">
      <c r="B96" s="171">
        <v>44385</v>
      </c>
      <c r="C96" s="374">
        <v>1963.95</v>
      </c>
      <c r="D96" s="374">
        <v>0</v>
      </c>
    </row>
    <row r="97" spans="2:4">
      <c r="B97" s="171">
        <v>44385</v>
      </c>
      <c r="C97" s="374">
        <v>621.35</v>
      </c>
      <c r="D97" s="374">
        <v>0</v>
      </c>
    </row>
    <row r="98" spans="2:4">
      <c r="B98" s="171">
        <v>44385</v>
      </c>
      <c r="C98" s="374">
        <v>1222.3599999999999</v>
      </c>
      <c r="D98" s="374">
        <v>0</v>
      </c>
    </row>
    <row r="99" spans="2:4">
      <c r="B99" s="171">
        <v>44385</v>
      </c>
      <c r="C99" s="374">
        <v>621.35</v>
      </c>
      <c r="D99" s="374">
        <v>0</v>
      </c>
    </row>
    <row r="100" spans="2:4">
      <c r="B100" s="171">
        <v>44385</v>
      </c>
      <c r="C100" s="374">
        <v>1222.3599999999999</v>
      </c>
      <c r="D100" s="374">
        <v>0</v>
      </c>
    </row>
    <row r="101" spans="2:4">
      <c r="B101" s="171">
        <v>44385</v>
      </c>
      <c r="C101" s="374">
        <v>601.29999999999995</v>
      </c>
      <c r="D101" s="374">
        <v>0</v>
      </c>
    </row>
    <row r="102" spans="2:4">
      <c r="B102" s="171">
        <v>44385</v>
      </c>
      <c r="C102" s="374">
        <v>641.11</v>
      </c>
      <c r="D102" s="374">
        <v>0</v>
      </c>
    </row>
    <row r="103" spans="2:4">
      <c r="B103" s="171">
        <v>44385</v>
      </c>
      <c r="C103" s="374">
        <v>601.29999999999995</v>
      </c>
      <c r="D103" s="374">
        <v>0</v>
      </c>
    </row>
    <row r="104" spans="2:4">
      <c r="B104" s="171">
        <v>44385</v>
      </c>
      <c r="C104" s="374">
        <v>621.05999999999995</v>
      </c>
      <c r="D104" s="374">
        <v>0</v>
      </c>
    </row>
    <row r="105" spans="2:4">
      <c r="B105" s="171">
        <v>44385</v>
      </c>
      <c r="C105" s="374">
        <v>601.29999999999995</v>
      </c>
      <c r="D105" s="374">
        <v>0</v>
      </c>
    </row>
    <row r="106" spans="2:4">
      <c r="B106" s="171">
        <v>44385</v>
      </c>
      <c r="C106" s="374">
        <v>1823.66</v>
      </c>
      <c r="D106" s="374">
        <v>0</v>
      </c>
    </row>
    <row r="107" spans="2:4">
      <c r="B107" s="171">
        <v>44385</v>
      </c>
      <c r="C107" s="374">
        <v>1036.29</v>
      </c>
      <c r="D107" s="374">
        <v>0</v>
      </c>
    </row>
    <row r="108" spans="2:4">
      <c r="B108" s="171">
        <v>44385</v>
      </c>
      <c r="C108" s="374">
        <v>1903.83</v>
      </c>
      <c r="D108" s="374">
        <v>0</v>
      </c>
    </row>
    <row r="109" spans="2:4">
      <c r="B109" s="171">
        <v>44385</v>
      </c>
      <c r="C109" s="374">
        <v>1843.43</v>
      </c>
      <c r="D109" s="374">
        <v>0</v>
      </c>
    </row>
    <row r="110" spans="2:4">
      <c r="B110" s="171">
        <v>44385</v>
      </c>
      <c r="C110" s="374">
        <v>2473.8000000000002</v>
      </c>
      <c r="D110" s="374">
        <v>0</v>
      </c>
    </row>
    <row r="111" spans="2:4">
      <c r="B111" s="171">
        <v>44385</v>
      </c>
      <c r="C111" s="374">
        <v>500</v>
      </c>
      <c r="D111" s="374">
        <v>0</v>
      </c>
    </row>
    <row r="112" spans="2:4">
      <c r="B112" s="171">
        <v>44385</v>
      </c>
      <c r="C112" s="374">
        <v>480</v>
      </c>
      <c r="D112" s="374">
        <v>0</v>
      </c>
    </row>
    <row r="113" spans="2:4">
      <c r="B113" s="171">
        <v>44385</v>
      </c>
      <c r="C113" s="374">
        <v>1500</v>
      </c>
      <c r="D113" s="374">
        <v>0</v>
      </c>
    </row>
    <row r="114" spans="2:4">
      <c r="B114" s="171">
        <v>44385</v>
      </c>
      <c r="C114" s="374">
        <v>54.3</v>
      </c>
      <c r="D114" s="374">
        <v>0</v>
      </c>
    </row>
    <row r="115" spans="2:4">
      <c r="B115" s="171">
        <v>44385</v>
      </c>
      <c r="C115" s="374">
        <v>49.03</v>
      </c>
      <c r="D115" s="374">
        <v>0</v>
      </c>
    </row>
    <row r="116" spans="2:4">
      <c r="B116" s="171">
        <v>44385</v>
      </c>
      <c r="C116" s="374">
        <v>148.80000000000001</v>
      </c>
      <c r="D116" s="374">
        <v>0</v>
      </c>
    </row>
    <row r="117" spans="2:4">
      <c r="B117" s="171">
        <v>44385</v>
      </c>
      <c r="C117" s="374">
        <v>6660.95</v>
      </c>
      <c r="D117" s="374">
        <v>0</v>
      </c>
    </row>
    <row r="118" spans="2:4">
      <c r="B118" s="171">
        <v>44385</v>
      </c>
      <c r="C118" s="374">
        <v>21360.18</v>
      </c>
      <c r="D118" s="374">
        <v>0</v>
      </c>
    </row>
    <row r="119" spans="2:4">
      <c r="B119" s="171">
        <v>44385</v>
      </c>
      <c r="C119" s="374">
        <v>666.36</v>
      </c>
      <c r="D119" s="374">
        <v>0</v>
      </c>
    </row>
    <row r="120" spans="2:4">
      <c r="B120" s="171">
        <v>44385</v>
      </c>
      <c r="C120" s="374">
        <v>476.75</v>
      </c>
      <c r="D120" s="374">
        <v>0</v>
      </c>
    </row>
    <row r="121" spans="2:4">
      <c r="B121" s="171">
        <v>44385</v>
      </c>
      <c r="C121" s="374">
        <v>0</v>
      </c>
      <c r="D121" s="374">
        <v>112034.91</v>
      </c>
    </row>
    <row r="122" spans="2:4">
      <c r="B122" s="171">
        <v>44389</v>
      </c>
      <c r="C122" s="374">
        <v>3758.33</v>
      </c>
      <c r="D122" s="374">
        <v>0</v>
      </c>
    </row>
    <row r="123" spans="2:4">
      <c r="B123" s="171">
        <v>44389</v>
      </c>
      <c r="C123" s="374">
        <v>0</v>
      </c>
      <c r="D123" s="374">
        <v>3758.33</v>
      </c>
    </row>
    <row r="124" spans="2:4">
      <c r="B124" s="171">
        <v>44390</v>
      </c>
      <c r="C124" s="374">
        <v>1600</v>
      </c>
      <c r="D124" s="374">
        <v>0</v>
      </c>
    </row>
    <row r="125" spans="2:4">
      <c r="B125" s="171">
        <v>44390</v>
      </c>
      <c r="C125" s="374">
        <v>613.27</v>
      </c>
      <c r="D125" s="374">
        <v>0</v>
      </c>
    </row>
    <row r="126" spans="2:4">
      <c r="B126" s="171">
        <v>44390</v>
      </c>
      <c r="C126" s="374">
        <v>0</v>
      </c>
      <c r="D126" s="374">
        <v>2213.27</v>
      </c>
    </row>
    <row r="127" spans="2:4">
      <c r="B127" s="171">
        <v>44392</v>
      </c>
      <c r="C127" s="374">
        <v>4720.55</v>
      </c>
      <c r="D127" s="374">
        <v>0</v>
      </c>
    </row>
    <row r="128" spans="2:4">
      <c r="B128" s="171">
        <v>44392</v>
      </c>
      <c r="C128" s="374">
        <v>14737.18</v>
      </c>
      <c r="D128" s="374">
        <v>0</v>
      </c>
    </row>
    <row r="129" spans="2:4">
      <c r="B129" s="171">
        <v>44392</v>
      </c>
      <c r="C129" s="374">
        <v>0</v>
      </c>
      <c r="D129" s="374">
        <v>19457.73</v>
      </c>
    </row>
    <row r="130" spans="2:4">
      <c r="B130" s="171">
        <v>44393</v>
      </c>
      <c r="C130" s="374">
        <v>3133.47</v>
      </c>
      <c r="D130" s="374">
        <v>0</v>
      </c>
    </row>
    <row r="131" spans="2:4">
      <c r="B131" s="171">
        <v>44393</v>
      </c>
      <c r="C131" s="374">
        <v>0</v>
      </c>
      <c r="D131" s="374">
        <v>3133.47</v>
      </c>
    </row>
    <row r="132" spans="2:4">
      <c r="B132" s="171">
        <v>44403</v>
      </c>
      <c r="C132" s="374">
        <v>40.090000000000003</v>
      </c>
      <c r="D132" s="374">
        <v>0</v>
      </c>
    </row>
    <row r="133" spans="2:4">
      <c r="B133" s="171">
        <v>44403</v>
      </c>
      <c r="C133" s="374">
        <v>0</v>
      </c>
      <c r="D133" s="374">
        <v>40.090000000000003</v>
      </c>
    </row>
    <row r="134" spans="2:4">
      <c r="B134" s="171">
        <v>44405</v>
      </c>
      <c r="C134" s="374">
        <v>28.19</v>
      </c>
      <c r="D134" s="374">
        <v>0</v>
      </c>
    </row>
    <row r="135" spans="2:4">
      <c r="B135" s="171">
        <v>44405</v>
      </c>
      <c r="C135" s="374">
        <v>0</v>
      </c>
      <c r="D135" s="374">
        <v>28.19</v>
      </c>
    </row>
    <row r="136" spans="2:4">
      <c r="B136" s="171">
        <v>44406</v>
      </c>
      <c r="C136" s="374">
        <v>0</v>
      </c>
      <c r="D136" s="374">
        <v>3133.47</v>
      </c>
    </row>
    <row r="137" spans="2:4">
      <c r="B137" s="171">
        <v>44406</v>
      </c>
      <c r="C137" s="374">
        <v>0</v>
      </c>
      <c r="D137" s="374">
        <v>28.19</v>
      </c>
    </row>
    <row r="138" spans="2:4">
      <c r="B138" s="171">
        <v>44406</v>
      </c>
      <c r="C138" s="374">
        <v>3161.66</v>
      </c>
      <c r="D138" s="374">
        <v>0</v>
      </c>
    </row>
    <row r="139" spans="2:4">
      <c r="B139" s="171">
        <v>44407</v>
      </c>
      <c r="C139" s="374">
        <v>0</v>
      </c>
      <c r="D139" s="374">
        <v>0</v>
      </c>
    </row>
    <row r="140" spans="2:4">
      <c r="B140" s="171">
        <v>44407</v>
      </c>
      <c r="C140" s="374">
        <v>14446.55</v>
      </c>
      <c r="D140" s="374">
        <v>0</v>
      </c>
    </row>
    <row r="141" spans="2:4">
      <c r="B141" s="171">
        <v>44408</v>
      </c>
      <c r="C141" s="374">
        <v>0</v>
      </c>
      <c r="D141" s="374">
        <v>14446.55</v>
      </c>
    </row>
    <row r="142" spans="2:4">
      <c r="B142" s="247"/>
      <c r="C142" s="507"/>
      <c r="D142" s="508"/>
    </row>
    <row r="143" spans="2:4">
      <c r="B143" s="247"/>
      <c r="C143" s="507"/>
      <c r="D143" s="507"/>
    </row>
    <row r="144" spans="2:4">
      <c r="B144" s="247"/>
      <c r="C144" s="507"/>
      <c r="D144" s="508"/>
    </row>
    <row r="145" spans="2:4">
      <c r="B145" s="171"/>
      <c r="C145" s="375"/>
      <c r="D145" s="374"/>
    </row>
    <row r="146" spans="2:4">
      <c r="B146" s="171"/>
      <c r="C146" s="375"/>
      <c r="D146" s="374"/>
    </row>
    <row r="147" spans="2:4">
      <c r="B147" s="171"/>
      <c r="C147" s="375"/>
      <c r="D147" s="374"/>
    </row>
    <row r="148" spans="2:4">
      <c r="B148" s="171"/>
      <c r="C148" s="375"/>
      <c r="D148" s="374"/>
    </row>
    <row r="149" spans="2:4">
      <c r="B149" s="171"/>
      <c r="C149" s="375"/>
      <c r="D149" s="374"/>
    </row>
    <row r="150" spans="2:4">
      <c r="B150" s="171"/>
      <c r="C150" s="375"/>
      <c r="D150" s="374"/>
    </row>
    <row r="151" spans="2:4">
      <c r="B151" s="171"/>
      <c r="C151" s="375"/>
      <c r="D151" s="374"/>
    </row>
    <row r="152" spans="2:4">
      <c r="B152" s="171"/>
      <c r="C152" s="375"/>
      <c r="D152" s="374"/>
    </row>
    <row r="153" spans="2:4">
      <c r="B153" s="171"/>
      <c r="C153" s="375"/>
      <c r="D153" s="374"/>
    </row>
    <row r="154" spans="2:4">
      <c r="B154" s="171"/>
      <c r="C154" s="375"/>
      <c r="D154" s="374"/>
    </row>
    <row r="155" spans="2:4">
      <c r="B155" s="171"/>
      <c r="C155" s="375"/>
      <c r="D155" s="374"/>
    </row>
    <row r="156" spans="2:4">
      <c r="B156" s="171"/>
      <c r="C156" s="375"/>
      <c r="D156" s="374"/>
    </row>
    <row r="157" spans="2:4">
      <c r="B157" s="171"/>
      <c r="C157" s="375"/>
      <c r="D157" s="374"/>
    </row>
    <row r="158" spans="2:4">
      <c r="B158" s="171"/>
      <c r="C158" s="375"/>
      <c r="D158" s="374"/>
    </row>
    <row r="159" spans="2:4">
      <c r="B159" s="171"/>
      <c r="C159" s="375"/>
      <c r="D159" s="374"/>
    </row>
    <row r="160" spans="2:4">
      <c r="B160" s="171"/>
      <c r="C160" s="375"/>
      <c r="D160" s="374"/>
    </row>
    <row r="161" spans="2:4">
      <c r="B161" s="171"/>
      <c r="C161" s="375"/>
      <c r="D161" s="164"/>
    </row>
    <row r="162" spans="2:4">
      <c r="B162" s="171"/>
      <c r="C162" s="375"/>
      <c r="D162" s="164"/>
    </row>
    <row r="163" spans="2:4">
      <c r="B163" s="171"/>
      <c r="C163" s="375"/>
      <c r="D163" s="164"/>
    </row>
    <row r="164" spans="2:4">
      <c r="B164" s="171"/>
      <c r="C164" s="375"/>
      <c r="D164" s="164"/>
    </row>
    <row r="165" spans="2:4">
      <c r="B165" s="171"/>
      <c r="C165" s="375"/>
      <c r="D165" s="164"/>
    </row>
    <row r="166" spans="2:4">
      <c r="B166" s="171"/>
      <c r="C166" s="375"/>
      <c r="D166" s="164"/>
    </row>
    <row r="167" spans="2:4">
      <c r="B167" s="171"/>
      <c r="C167" s="375"/>
      <c r="D167" s="374"/>
    </row>
    <row r="168" spans="2:4">
      <c r="B168" s="171"/>
      <c r="C168" s="375"/>
      <c r="D168" s="164"/>
    </row>
    <row r="169" spans="2:4">
      <c r="B169" s="171"/>
      <c r="C169" s="375"/>
      <c r="D169" s="164"/>
    </row>
    <row r="170" spans="2:4">
      <c r="B170" s="171"/>
      <c r="C170" s="375"/>
      <c r="D170" s="164"/>
    </row>
    <row r="171" spans="2:4">
      <c r="B171" s="171"/>
      <c r="C171" s="375"/>
      <c r="D171" s="374"/>
    </row>
    <row r="172" spans="2:4">
      <c r="B172" s="171"/>
      <c r="C172" s="375"/>
      <c r="D172" s="164"/>
    </row>
    <row r="173" spans="2:4">
      <c r="B173" s="171"/>
      <c r="C173" s="375"/>
      <c r="D173" s="164"/>
    </row>
    <row r="174" spans="2:4">
      <c r="B174" s="171"/>
      <c r="C174" s="375"/>
      <c r="D174" s="164"/>
    </row>
    <row r="175" spans="2:4">
      <c r="B175" s="171"/>
      <c r="C175" s="375"/>
      <c r="D175" s="164"/>
    </row>
    <row r="176" spans="2:4">
      <c r="B176" s="171"/>
      <c r="C176" s="375"/>
      <c r="D176" s="164"/>
    </row>
    <row r="177" spans="2:4">
      <c r="B177" s="171"/>
      <c r="C177" s="375"/>
      <c r="D177" s="164"/>
    </row>
    <row r="178" spans="2:4">
      <c r="B178" s="171"/>
      <c r="C178" s="375"/>
      <c r="D178" s="164"/>
    </row>
    <row r="179" spans="2:4">
      <c r="B179" s="171"/>
      <c r="C179" s="375"/>
      <c r="D179" s="164"/>
    </row>
    <row r="180" spans="2:4">
      <c r="B180" s="171"/>
      <c r="C180" s="375"/>
      <c r="D180" s="164"/>
    </row>
    <row r="181" spans="2:4">
      <c r="B181" s="171"/>
      <c r="C181" s="375"/>
      <c r="D181" s="164"/>
    </row>
    <row r="182" spans="2:4">
      <c r="B182" s="171"/>
      <c r="C182" s="375"/>
      <c r="D182" s="164"/>
    </row>
    <row r="183" spans="2:4">
      <c r="B183" s="171"/>
      <c r="C183" s="375"/>
      <c r="D183" s="164"/>
    </row>
    <row r="184" spans="2:4">
      <c r="B184" s="171"/>
      <c r="C184" s="374"/>
      <c r="D184" s="375"/>
    </row>
    <row r="185" spans="2:4">
      <c r="B185" s="171"/>
      <c r="C185" s="375"/>
      <c r="D185" s="164"/>
    </row>
    <row r="186" spans="2:4">
      <c r="B186" s="171"/>
      <c r="C186" s="374"/>
      <c r="D186" s="375"/>
    </row>
    <row r="187" spans="2:4">
      <c r="B187" s="171"/>
      <c r="C187" s="375"/>
      <c r="D187" s="164"/>
    </row>
    <row r="188" spans="2:4">
      <c r="B188" s="171"/>
      <c r="C188" s="374"/>
      <c r="D188" s="375"/>
    </row>
    <row r="189" spans="2:4">
      <c r="B189" s="171"/>
      <c r="C189" s="375"/>
      <c r="D189" s="164"/>
    </row>
    <row r="190" spans="2:4">
      <c r="B190" s="171"/>
      <c r="C190" s="375"/>
      <c r="D190" s="164"/>
    </row>
    <row r="191" spans="2:4">
      <c r="B191" s="171"/>
      <c r="C191" s="375"/>
      <c r="D191" s="164"/>
    </row>
    <row r="192" spans="2:4">
      <c r="B192" s="171"/>
      <c r="C192" s="375"/>
      <c r="D192" s="164"/>
    </row>
    <row r="193" spans="2:4">
      <c r="B193" s="171"/>
      <c r="C193" s="375"/>
      <c r="D193" s="164"/>
    </row>
    <row r="194" spans="2:4">
      <c r="B194" s="171"/>
      <c r="C194" s="375"/>
      <c r="D194" s="164"/>
    </row>
    <row r="195" spans="2:4">
      <c r="B195" s="171"/>
      <c r="C195" s="374"/>
      <c r="D195" s="375"/>
    </row>
    <row r="196" spans="2:4">
      <c r="B196" s="5"/>
      <c r="C196" s="164">
        <v>0</v>
      </c>
      <c r="D196" s="164">
        <v>0</v>
      </c>
    </row>
    <row r="197" spans="2:4">
      <c r="B197" s="5"/>
      <c r="C197" s="164">
        <v>0</v>
      </c>
      <c r="D197" s="164">
        <v>0</v>
      </c>
    </row>
    <row r="198" spans="2:4">
      <c r="B198" s="5"/>
      <c r="C198" s="164">
        <v>0</v>
      </c>
      <c r="D198" s="164">
        <v>0</v>
      </c>
    </row>
    <row r="199" spans="2:4">
      <c r="B199" s="5"/>
      <c r="C199" s="164">
        <v>0</v>
      </c>
      <c r="D199" s="164">
        <v>0</v>
      </c>
    </row>
    <row r="200" spans="2:4">
      <c r="B200" s="5"/>
      <c r="C200" s="164">
        <v>0</v>
      </c>
      <c r="D200" s="164">
        <v>0</v>
      </c>
    </row>
    <row r="201" spans="2:4">
      <c r="B201" s="5"/>
      <c r="C201" s="164">
        <v>0</v>
      </c>
      <c r="D201" s="164">
        <v>0</v>
      </c>
    </row>
    <row r="202" spans="2:4">
      <c r="B202" s="5"/>
      <c r="C202" s="164">
        <v>0</v>
      </c>
      <c r="D202" s="164">
        <v>0</v>
      </c>
    </row>
    <row r="203" spans="2:4">
      <c r="B203" s="5"/>
      <c r="C203" s="164">
        <v>0</v>
      </c>
      <c r="D203" s="164">
        <v>0</v>
      </c>
    </row>
    <row r="204" spans="2:4">
      <c r="B204" s="5"/>
      <c r="C204" s="164">
        <v>0</v>
      </c>
      <c r="D204" s="164">
        <v>0</v>
      </c>
    </row>
    <row r="205" spans="2:4">
      <c r="B205" s="5"/>
      <c r="C205" s="164">
        <v>0</v>
      </c>
      <c r="D205" s="164">
        <v>0</v>
      </c>
    </row>
    <row r="206" spans="2:4">
      <c r="B206" s="5"/>
      <c r="C206" s="164">
        <v>0</v>
      </c>
      <c r="D206" s="164">
        <v>0</v>
      </c>
    </row>
    <row r="207" spans="2:4">
      <c r="B207" s="5"/>
      <c r="C207" s="164">
        <v>0</v>
      </c>
      <c r="D207" s="164">
        <v>0</v>
      </c>
    </row>
    <row r="208" spans="2:4">
      <c r="B208" s="5"/>
      <c r="C208" s="164">
        <v>0</v>
      </c>
      <c r="D208" s="164">
        <v>0</v>
      </c>
    </row>
    <row r="209" spans="2:4">
      <c r="B209" s="5"/>
      <c r="C209" s="164">
        <v>0</v>
      </c>
      <c r="D209" s="164">
        <v>0</v>
      </c>
    </row>
    <row r="210" spans="2:4">
      <c r="B210" s="5"/>
      <c r="C210" s="164">
        <v>0</v>
      </c>
      <c r="D210" s="164">
        <v>0</v>
      </c>
    </row>
    <row r="211" spans="2:4">
      <c r="B211" s="5"/>
      <c r="C211" s="164">
        <v>0</v>
      </c>
      <c r="D211" s="164">
        <v>0</v>
      </c>
    </row>
    <row r="212" spans="2:4">
      <c r="B212" s="5"/>
      <c r="C212" s="164">
        <v>0</v>
      </c>
      <c r="D212" s="164">
        <v>0</v>
      </c>
    </row>
    <row r="213" spans="2:4">
      <c r="B213" s="5"/>
      <c r="C213" s="164">
        <v>0</v>
      </c>
      <c r="D213" s="164">
        <v>0</v>
      </c>
    </row>
    <row r="214" spans="2:4">
      <c r="B214" s="5"/>
      <c r="C214" s="164">
        <v>0</v>
      </c>
      <c r="D214" s="164">
        <v>0</v>
      </c>
    </row>
    <row r="215" spans="2:4">
      <c r="B215" s="5"/>
      <c r="C215" s="164">
        <v>0</v>
      </c>
      <c r="D215" s="164">
        <v>0</v>
      </c>
    </row>
    <row r="216" spans="2:4">
      <c r="B216" s="5"/>
      <c r="C216" s="164">
        <v>0</v>
      </c>
      <c r="D216" s="164">
        <v>0</v>
      </c>
    </row>
    <row r="217" spans="2:4">
      <c r="B217" s="5"/>
      <c r="C217" s="164">
        <v>0</v>
      </c>
      <c r="D217" s="164">
        <v>0</v>
      </c>
    </row>
    <row r="218" spans="2:4">
      <c r="B218" s="5"/>
      <c r="C218" s="164">
        <v>0</v>
      </c>
      <c r="D218" s="164">
        <v>0</v>
      </c>
    </row>
    <row r="219" spans="2:4">
      <c r="B219" s="5"/>
      <c r="C219" s="164">
        <v>0</v>
      </c>
      <c r="D219" s="164">
        <v>0</v>
      </c>
    </row>
    <row r="220" spans="2:4">
      <c r="B220" s="5"/>
      <c r="C220" s="164">
        <v>0</v>
      </c>
      <c r="D220" s="164">
        <v>0</v>
      </c>
    </row>
    <row r="221" spans="2:4">
      <c r="B221" s="5"/>
      <c r="C221" s="164">
        <v>0</v>
      </c>
      <c r="D221" s="164">
        <v>0</v>
      </c>
    </row>
    <row r="222" spans="2:4">
      <c r="B222" s="5"/>
      <c r="C222" s="164">
        <v>0</v>
      </c>
      <c r="D222" s="164">
        <v>0</v>
      </c>
    </row>
    <row r="223" spans="2:4">
      <c r="B223" s="5"/>
      <c r="C223" s="164">
        <v>0</v>
      </c>
      <c r="D223" s="164">
        <v>0</v>
      </c>
    </row>
    <row r="224" spans="2:4">
      <c r="B224" s="5"/>
      <c r="C224" s="164">
        <v>0</v>
      </c>
      <c r="D224" s="164">
        <v>0</v>
      </c>
    </row>
    <row r="225" spans="2:4">
      <c r="B225" s="5"/>
      <c r="C225" s="164">
        <v>0</v>
      </c>
      <c r="D225" s="164">
        <v>0</v>
      </c>
    </row>
    <row r="226" spans="2:4">
      <c r="B226" s="5"/>
      <c r="C226" s="164">
        <v>0</v>
      </c>
      <c r="D226" s="164">
        <v>0</v>
      </c>
    </row>
    <row r="227" spans="2:4">
      <c r="B227" s="5"/>
      <c r="C227" s="164">
        <v>0</v>
      </c>
      <c r="D227" s="164">
        <v>0</v>
      </c>
    </row>
    <row r="228" spans="2:4">
      <c r="B228" s="5"/>
      <c r="C228" s="164">
        <v>0</v>
      </c>
      <c r="D228" s="164">
        <v>0</v>
      </c>
    </row>
    <row r="229" spans="2:4">
      <c r="B229" s="5"/>
      <c r="C229" s="164">
        <v>0</v>
      </c>
      <c r="D229" s="164">
        <v>0</v>
      </c>
    </row>
    <row r="230" spans="2:4">
      <c r="B230" s="5"/>
      <c r="C230" s="164">
        <v>0</v>
      </c>
      <c r="D230" s="164">
        <v>0</v>
      </c>
    </row>
    <row r="231" spans="2:4">
      <c r="B231" s="5"/>
      <c r="C231" s="164">
        <v>0</v>
      </c>
      <c r="D231" s="164">
        <v>0</v>
      </c>
    </row>
    <row r="232" spans="2:4">
      <c r="B232" s="5"/>
      <c r="C232" s="164">
        <v>0</v>
      </c>
      <c r="D232" s="164">
        <v>0</v>
      </c>
    </row>
    <row r="233" spans="2:4">
      <c r="B233" s="5"/>
      <c r="C233" s="164">
        <v>0</v>
      </c>
      <c r="D233" s="164">
        <v>0</v>
      </c>
    </row>
    <row r="234" spans="2:4">
      <c r="B234" s="5"/>
      <c r="C234" s="164">
        <v>0</v>
      </c>
      <c r="D234" s="164">
        <v>0</v>
      </c>
    </row>
    <row r="235" spans="2:4">
      <c r="B235" s="5"/>
      <c r="C235" s="164">
        <v>0</v>
      </c>
      <c r="D235" s="164">
        <v>0</v>
      </c>
    </row>
    <row r="236" spans="2:4">
      <c r="B236" s="5"/>
      <c r="C236" s="164">
        <v>0</v>
      </c>
      <c r="D236" s="164">
        <v>0</v>
      </c>
    </row>
    <row r="237" spans="2:4">
      <c r="B237" s="5"/>
      <c r="C237" s="164">
        <v>0</v>
      </c>
      <c r="D237" s="164">
        <v>0</v>
      </c>
    </row>
    <row r="238" spans="2:4">
      <c r="B238" s="5"/>
      <c r="C238" s="164">
        <v>0</v>
      </c>
      <c r="D238" s="164">
        <v>0</v>
      </c>
    </row>
    <row r="239" spans="2:4">
      <c r="B239" s="5"/>
      <c r="C239" s="164">
        <v>0</v>
      </c>
      <c r="D239" s="164">
        <v>0</v>
      </c>
    </row>
    <row r="240" spans="2:4">
      <c r="B240" s="5"/>
      <c r="C240" s="164">
        <v>0</v>
      </c>
      <c r="D240" s="164">
        <v>0</v>
      </c>
    </row>
    <row r="241" spans="2:4">
      <c r="B241" s="5"/>
      <c r="C241" s="164">
        <v>0</v>
      </c>
      <c r="D241" s="164">
        <v>0</v>
      </c>
    </row>
    <row r="242" spans="2:4">
      <c r="B242" s="5"/>
      <c r="C242" s="164">
        <v>0</v>
      </c>
      <c r="D242" s="164">
        <v>0</v>
      </c>
    </row>
    <row r="243" spans="2:4">
      <c r="B243" s="5"/>
      <c r="C243" s="164">
        <v>0</v>
      </c>
      <c r="D243" s="164">
        <v>0</v>
      </c>
    </row>
    <row r="244" spans="2:4">
      <c r="B244" s="5"/>
      <c r="C244" s="164">
        <v>0</v>
      </c>
      <c r="D244" s="164">
        <v>0</v>
      </c>
    </row>
    <row r="245" spans="2:4">
      <c r="B245" s="5"/>
      <c r="C245" s="164">
        <v>0</v>
      </c>
      <c r="D245" s="164">
        <v>0</v>
      </c>
    </row>
    <row r="246" spans="2:4">
      <c r="B246" s="5"/>
      <c r="C246" s="164">
        <v>0</v>
      </c>
      <c r="D246" s="164">
        <v>0</v>
      </c>
    </row>
    <row r="247" spans="2:4">
      <c r="B247" s="5"/>
      <c r="C247" s="164">
        <v>0</v>
      </c>
      <c r="D247" s="164">
        <v>0</v>
      </c>
    </row>
    <row r="248" spans="2:4">
      <c r="B248" s="5"/>
      <c r="C248" s="164">
        <v>0</v>
      </c>
      <c r="D248" s="164">
        <v>0</v>
      </c>
    </row>
    <row r="249" spans="2:4">
      <c r="B249" s="165" t="s">
        <v>138</v>
      </c>
      <c r="C249" s="166">
        <f>SUM(C15:C248)</f>
        <v>1244950.2000000007</v>
      </c>
      <c r="D249" s="166">
        <f>SUM(D15:D248)</f>
        <v>1244950.2</v>
      </c>
    </row>
    <row r="250" spans="2:4">
      <c r="B250" s="658" t="s">
        <v>173</v>
      </c>
      <c r="C250" s="658"/>
      <c r="D250" s="167">
        <f>D13-C249+D249</f>
        <v>0</v>
      </c>
    </row>
    <row r="255" spans="2:4">
      <c r="B255" s="646" t="s">
        <v>174</v>
      </c>
      <c r="C255" s="646"/>
      <c r="D255" s="646"/>
    </row>
    <row r="256" spans="2:4">
      <c r="B256" s="647" t="s">
        <v>175</v>
      </c>
      <c r="C256" s="647"/>
      <c r="D256" s="647"/>
    </row>
  </sheetData>
  <sheetProtection password="B090" sheet="1" objects="1" scenarios="1"/>
  <mergeCells count="9">
    <mergeCell ref="B13:C13"/>
    <mergeCell ref="B250:C250"/>
    <mergeCell ref="B255:D255"/>
    <mergeCell ref="B256:D256"/>
    <mergeCell ref="B3:D3"/>
    <mergeCell ref="B4:D4"/>
    <mergeCell ref="B5:D5"/>
    <mergeCell ref="A8:E8"/>
    <mergeCell ref="A10:E10"/>
  </mergeCells>
  <pageMargins left="0.511811024" right="0.511811024" top="0.78740157499999996" bottom="0.78740157499999996" header="0.31496062000000002" footer="0.31496062000000002"/>
  <pageSetup paperSize="9" scale="64" orientation="portrait" horizontalDpi="4294967294" verticalDpi="4294967294" r:id="rId1"/>
  <rowBreaks count="3" manualBreakCount="3">
    <brk id="74" max="16383" man="1"/>
    <brk id="150" max="16383" man="1"/>
    <brk id="21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E256"/>
  <sheetViews>
    <sheetView workbookViewId="0">
      <selection activeCell="D36" sqref="D36"/>
    </sheetView>
  </sheetViews>
  <sheetFormatPr defaultColWidth="9.140625" defaultRowHeight="15"/>
  <cols>
    <col min="1" max="1" width="25.5703125" style="1" customWidth="1"/>
    <col min="2" max="4" width="29.140625" style="1" customWidth="1"/>
    <col min="5" max="5" width="26.28515625" style="1" customWidth="1"/>
    <col min="6" max="16384" width="9.140625" style="1"/>
  </cols>
  <sheetData>
    <row r="3" spans="1:5" ht="15.75">
      <c r="B3" s="659" t="s">
        <v>0</v>
      </c>
      <c r="C3" s="659"/>
      <c r="D3" s="659"/>
    </row>
    <row r="4" spans="1:5" ht="15.75">
      <c r="B4" s="659" t="s">
        <v>2</v>
      </c>
      <c r="C4" s="659"/>
      <c r="D4" s="659"/>
    </row>
    <row r="5" spans="1:5" ht="15.75">
      <c r="B5" s="659" t="s">
        <v>5</v>
      </c>
      <c r="C5" s="659"/>
      <c r="D5" s="659"/>
    </row>
    <row r="8" spans="1:5" ht="50.25" customHeight="1">
      <c r="A8" s="660" t="s">
        <v>168</v>
      </c>
      <c r="B8" s="664"/>
      <c r="C8" s="664"/>
      <c r="D8" s="664"/>
      <c r="E8" s="664"/>
    </row>
    <row r="10" spans="1:5" ht="46.5" customHeight="1">
      <c r="A10" s="665" t="s">
        <v>169</v>
      </c>
      <c r="B10" s="666"/>
      <c r="C10" s="666"/>
      <c r="D10" s="666"/>
      <c r="E10" s="666"/>
    </row>
    <row r="13" spans="1:5">
      <c r="B13" s="657" t="s">
        <v>170</v>
      </c>
      <c r="C13" s="657"/>
      <c r="D13" s="162">
        <v>0</v>
      </c>
    </row>
    <row r="14" spans="1:5">
      <c r="B14" s="163" t="s">
        <v>156</v>
      </c>
      <c r="C14" s="163" t="s">
        <v>171</v>
      </c>
      <c r="D14" s="163" t="s">
        <v>172</v>
      </c>
    </row>
    <row r="15" spans="1:5">
      <c r="B15" s="5"/>
      <c r="C15" s="164">
        <v>0</v>
      </c>
      <c r="D15" s="164">
        <v>0</v>
      </c>
    </row>
    <row r="16" spans="1:5">
      <c r="B16" s="5"/>
      <c r="C16" s="164">
        <v>0</v>
      </c>
      <c r="D16" s="164">
        <v>0</v>
      </c>
    </row>
    <row r="17" spans="2:4">
      <c r="B17" s="5"/>
      <c r="C17" s="164">
        <v>0</v>
      </c>
      <c r="D17" s="164">
        <v>0</v>
      </c>
    </row>
    <row r="18" spans="2:4">
      <c r="B18" s="5"/>
      <c r="C18" s="164">
        <v>0</v>
      </c>
      <c r="D18" s="164">
        <v>0</v>
      </c>
    </row>
    <row r="19" spans="2:4">
      <c r="B19" s="5"/>
      <c r="C19" s="164">
        <v>0</v>
      </c>
      <c r="D19" s="164">
        <v>0</v>
      </c>
    </row>
    <row r="20" spans="2:4">
      <c r="B20" s="5"/>
      <c r="C20" s="164">
        <v>0</v>
      </c>
      <c r="D20" s="164">
        <v>0</v>
      </c>
    </row>
    <row r="21" spans="2:4">
      <c r="B21" s="5"/>
      <c r="C21" s="164">
        <v>0</v>
      </c>
      <c r="D21" s="164">
        <v>0</v>
      </c>
    </row>
    <row r="22" spans="2:4">
      <c r="B22" s="5"/>
      <c r="C22" s="164">
        <v>0</v>
      </c>
      <c r="D22" s="164">
        <v>0</v>
      </c>
    </row>
    <row r="23" spans="2:4">
      <c r="B23" s="5"/>
      <c r="C23" s="164">
        <v>0</v>
      </c>
      <c r="D23" s="164">
        <v>0</v>
      </c>
    </row>
    <row r="24" spans="2:4">
      <c r="B24" s="5"/>
      <c r="C24" s="164">
        <v>0</v>
      </c>
      <c r="D24" s="164">
        <v>0</v>
      </c>
    </row>
    <row r="25" spans="2:4">
      <c r="B25" s="5"/>
      <c r="C25" s="164">
        <v>0</v>
      </c>
      <c r="D25" s="164">
        <v>0</v>
      </c>
    </row>
    <row r="26" spans="2:4">
      <c r="B26" s="5"/>
      <c r="C26" s="164">
        <v>0</v>
      </c>
      <c r="D26" s="164">
        <v>0</v>
      </c>
    </row>
    <row r="27" spans="2:4">
      <c r="B27" s="5"/>
      <c r="C27" s="164">
        <v>0</v>
      </c>
      <c r="D27" s="164">
        <v>0</v>
      </c>
    </row>
    <row r="28" spans="2:4">
      <c r="B28" s="5"/>
      <c r="C28" s="164">
        <v>0</v>
      </c>
      <c r="D28" s="164">
        <v>0</v>
      </c>
    </row>
    <row r="29" spans="2:4">
      <c r="B29" s="5"/>
      <c r="C29" s="164">
        <v>0</v>
      </c>
      <c r="D29" s="164">
        <v>0</v>
      </c>
    </row>
    <row r="30" spans="2:4">
      <c r="B30" s="5"/>
      <c r="C30" s="164">
        <v>0</v>
      </c>
      <c r="D30" s="164">
        <v>0</v>
      </c>
    </row>
    <row r="31" spans="2:4">
      <c r="B31" s="5"/>
      <c r="C31" s="164">
        <v>0</v>
      </c>
      <c r="D31" s="164">
        <v>0</v>
      </c>
    </row>
    <row r="32" spans="2:4">
      <c r="B32" s="5"/>
      <c r="C32" s="164">
        <v>0</v>
      </c>
      <c r="D32" s="164">
        <v>0</v>
      </c>
    </row>
    <row r="33" spans="2:4">
      <c r="B33" s="5"/>
      <c r="C33" s="164">
        <v>0</v>
      </c>
      <c r="D33" s="164">
        <v>0</v>
      </c>
    </row>
    <row r="34" spans="2:4">
      <c r="B34" s="5"/>
      <c r="C34" s="164">
        <v>0</v>
      </c>
      <c r="D34" s="164">
        <v>0</v>
      </c>
    </row>
    <row r="35" spans="2:4">
      <c r="B35" s="5"/>
      <c r="C35" s="164">
        <v>0</v>
      </c>
      <c r="D35" s="164">
        <v>0</v>
      </c>
    </row>
    <row r="36" spans="2:4">
      <c r="B36" s="5"/>
      <c r="C36" s="164">
        <v>0</v>
      </c>
      <c r="D36" s="164">
        <v>0</v>
      </c>
    </row>
    <row r="37" spans="2:4">
      <c r="B37" s="5"/>
      <c r="C37" s="164">
        <v>0</v>
      </c>
      <c r="D37" s="164">
        <v>0</v>
      </c>
    </row>
    <row r="38" spans="2:4">
      <c r="B38" s="5"/>
      <c r="C38" s="164">
        <v>0</v>
      </c>
      <c r="D38" s="164">
        <v>0</v>
      </c>
    </row>
    <row r="39" spans="2:4">
      <c r="B39" s="5"/>
      <c r="C39" s="164">
        <v>0</v>
      </c>
      <c r="D39" s="164">
        <v>0</v>
      </c>
    </row>
    <row r="40" spans="2:4">
      <c r="B40" s="5"/>
      <c r="C40" s="164">
        <v>0</v>
      </c>
      <c r="D40" s="164">
        <v>0</v>
      </c>
    </row>
    <row r="41" spans="2:4">
      <c r="B41" s="5"/>
      <c r="C41" s="164">
        <v>0</v>
      </c>
      <c r="D41" s="164">
        <v>0</v>
      </c>
    </row>
    <row r="42" spans="2:4">
      <c r="B42" s="5"/>
      <c r="C42" s="164">
        <v>0</v>
      </c>
      <c r="D42" s="164">
        <v>0</v>
      </c>
    </row>
    <row r="43" spans="2:4">
      <c r="B43" s="5"/>
      <c r="C43" s="164">
        <v>0</v>
      </c>
      <c r="D43" s="164">
        <v>0</v>
      </c>
    </row>
    <row r="44" spans="2:4">
      <c r="B44" s="5"/>
      <c r="C44" s="164">
        <v>0</v>
      </c>
      <c r="D44" s="164">
        <v>0</v>
      </c>
    </row>
    <row r="45" spans="2:4">
      <c r="B45" s="5"/>
      <c r="C45" s="164">
        <v>0</v>
      </c>
      <c r="D45" s="164">
        <v>0</v>
      </c>
    </row>
    <row r="46" spans="2:4">
      <c r="B46" s="5"/>
      <c r="C46" s="164">
        <v>0</v>
      </c>
      <c r="D46" s="164">
        <v>0</v>
      </c>
    </row>
    <row r="47" spans="2:4">
      <c r="B47" s="5"/>
      <c r="C47" s="164">
        <v>0</v>
      </c>
      <c r="D47" s="164">
        <v>0</v>
      </c>
    </row>
    <row r="48" spans="2:4">
      <c r="B48" s="5"/>
      <c r="C48" s="164">
        <v>0</v>
      </c>
      <c r="D48" s="164">
        <v>0</v>
      </c>
    </row>
    <row r="49" spans="2:4">
      <c r="B49" s="5"/>
      <c r="C49" s="164">
        <v>0</v>
      </c>
      <c r="D49" s="164">
        <v>0</v>
      </c>
    </row>
    <row r="50" spans="2:4">
      <c r="B50" s="5"/>
      <c r="C50" s="164">
        <v>0</v>
      </c>
      <c r="D50" s="164">
        <v>0</v>
      </c>
    </row>
    <row r="51" spans="2:4">
      <c r="B51" s="5"/>
      <c r="C51" s="164">
        <v>0</v>
      </c>
      <c r="D51" s="164">
        <v>0</v>
      </c>
    </row>
    <row r="52" spans="2:4">
      <c r="B52" s="5"/>
      <c r="C52" s="164">
        <v>0</v>
      </c>
      <c r="D52" s="164">
        <v>0</v>
      </c>
    </row>
    <row r="53" spans="2:4">
      <c r="B53" s="5"/>
      <c r="C53" s="164">
        <v>0</v>
      </c>
      <c r="D53" s="164">
        <v>0</v>
      </c>
    </row>
    <row r="54" spans="2:4">
      <c r="B54" s="5"/>
      <c r="C54" s="164">
        <v>0</v>
      </c>
      <c r="D54" s="164">
        <v>0</v>
      </c>
    </row>
    <row r="55" spans="2:4">
      <c r="B55" s="5"/>
      <c r="C55" s="164">
        <v>0</v>
      </c>
      <c r="D55" s="164">
        <v>0</v>
      </c>
    </row>
    <row r="56" spans="2:4">
      <c r="B56" s="5"/>
      <c r="C56" s="164">
        <v>0</v>
      </c>
      <c r="D56" s="164">
        <v>0</v>
      </c>
    </row>
    <row r="57" spans="2:4">
      <c r="B57" s="5"/>
      <c r="C57" s="164">
        <v>0</v>
      </c>
      <c r="D57" s="164">
        <v>0</v>
      </c>
    </row>
    <row r="58" spans="2:4">
      <c r="B58" s="5"/>
      <c r="C58" s="164">
        <v>0</v>
      </c>
      <c r="D58" s="164">
        <v>0</v>
      </c>
    </row>
    <row r="59" spans="2:4">
      <c r="B59" s="5"/>
      <c r="C59" s="164">
        <v>0</v>
      </c>
      <c r="D59" s="164">
        <v>0</v>
      </c>
    </row>
    <row r="60" spans="2:4">
      <c r="B60" s="5"/>
      <c r="C60" s="164">
        <v>0</v>
      </c>
      <c r="D60" s="164">
        <v>0</v>
      </c>
    </row>
    <row r="61" spans="2:4">
      <c r="B61" s="5"/>
      <c r="C61" s="164">
        <v>0</v>
      </c>
      <c r="D61" s="164">
        <v>0</v>
      </c>
    </row>
    <row r="62" spans="2:4">
      <c r="B62" s="5"/>
      <c r="C62" s="164">
        <v>0</v>
      </c>
      <c r="D62" s="164">
        <v>0</v>
      </c>
    </row>
    <row r="63" spans="2:4">
      <c r="B63" s="5"/>
      <c r="C63" s="164">
        <v>0</v>
      </c>
      <c r="D63" s="164">
        <v>0</v>
      </c>
    </row>
    <row r="64" spans="2:4">
      <c r="B64" s="5"/>
      <c r="C64" s="164">
        <v>0</v>
      </c>
      <c r="D64" s="164">
        <v>0</v>
      </c>
    </row>
    <row r="65" spans="2:4">
      <c r="B65" s="5"/>
      <c r="C65" s="164">
        <v>0</v>
      </c>
      <c r="D65" s="164">
        <v>0</v>
      </c>
    </row>
    <row r="66" spans="2:4">
      <c r="B66" s="5"/>
      <c r="C66" s="164">
        <v>0</v>
      </c>
      <c r="D66" s="164">
        <v>0</v>
      </c>
    </row>
    <row r="67" spans="2:4">
      <c r="B67" s="5"/>
      <c r="C67" s="164">
        <v>0</v>
      </c>
      <c r="D67" s="164">
        <v>0</v>
      </c>
    </row>
    <row r="68" spans="2:4">
      <c r="B68" s="5"/>
      <c r="C68" s="164">
        <v>0</v>
      </c>
      <c r="D68" s="164">
        <v>0</v>
      </c>
    </row>
    <row r="69" spans="2:4">
      <c r="B69" s="5"/>
      <c r="C69" s="164">
        <v>0</v>
      </c>
      <c r="D69" s="164">
        <v>0</v>
      </c>
    </row>
    <row r="70" spans="2:4">
      <c r="B70" s="5"/>
      <c r="C70" s="164">
        <v>0</v>
      </c>
      <c r="D70" s="164">
        <v>0</v>
      </c>
    </row>
    <row r="71" spans="2:4">
      <c r="B71" s="5"/>
      <c r="C71" s="164">
        <v>0</v>
      </c>
      <c r="D71" s="164">
        <v>0</v>
      </c>
    </row>
    <row r="72" spans="2:4">
      <c r="B72" s="5"/>
      <c r="C72" s="164">
        <v>0</v>
      </c>
      <c r="D72" s="164">
        <v>0</v>
      </c>
    </row>
    <row r="73" spans="2:4">
      <c r="B73" s="5"/>
      <c r="C73" s="164">
        <v>0</v>
      </c>
      <c r="D73" s="164">
        <v>0</v>
      </c>
    </row>
    <row r="74" spans="2:4">
      <c r="B74" s="5"/>
      <c r="C74" s="164">
        <v>0</v>
      </c>
      <c r="D74" s="164">
        <v>0</v>
      </c>
    </row>
    <row r="75" spans="2:4">
      <c r="B75" s="5"/>
      <c r="C75" s="164">
        <v>0</v>
      </c>
      <c r="D75" s="164">
        <v>0</v>
      </c>
    </row>
    <row r="76" spans="2:4">
      <c r="B76" s="5"/>
      <c r="C76" s="164">
        <v>0</v>
      </c>
      <c r="D76" s="164">
        <v>0</v>
      </c>
    </row>
    <row r="77" spans="2:4">
      <c r="B77" s="5"/>
      <c r="C77" s="164">
        <v>0</v>
      </c>
      <c r="D77" s="164">
        <v>0</v>
      </c>
    </row>
    <row r="78" spans="2:4">
      <c r="B78" s="5"/>
      <c r="C78" s="164">
        <v>0</v>
      </c>
      <c r="D78" s="164">
        <v>0</v>
      </c>
    </row>
    <row r="79" spans="2:4">
      <c r="B79" s="5"/>
      <c r="C79" s="164">
        <v>0</v>
      </c>
      <c r="D79" s="164">
        <v>0</v>
      </c>
    </row>
    <row r="80" spans="2:4">
      <c r="B80" s="5"/>
      <c r="C80" s="164">
        <v>0</v>
      </c>
      <c r="D80" s="164">
        <v>0</v>
      </c>
    </row>
    <row r="81" spans="2:4">
      <c r="B81" s="5"/>
      <c r="C81" s="164">
        <v>0</v>
      </c>
      <c r="D81" s="164">
        <v>0</v>
      </c>
    </row>
    <row r="82" spans="2:4">
      <c r="B82" s="5"/>
      <c r="C82" s="164">
        <v>0</v>
      </c>
      <c r="D82" s="164">
        <v>0</v>
      </c>
    </row>
    <row r="83" spans="2:4">
      <c r="B83" s="5"/>
      <c r="C83" s="164">
        <v>0</v>
      </c>
      <c r="D83" s="164">
        <v>0</v>
      </c>
    </row>
    <row r="84" spans="2:4">
      <c r="B84" s="5"/>
      <c r="C84" s="164">
        <v>0</v>
      </c>
      <c r="D84" s="164">
        <v>0</v>
      </c>
    </row>
    <row r="85" spans="2:4">
      <c r="B85" s="5"/>
      <c r="C85" s="164">
        <v>0</v>
      </c>
      <c r="D85" s="164">
        <v>0</v>
      </c>
    </row>
    <row r="86" spans="2:4">
      <c r="B86" s="5"/>
      <c r="C86" s="164">
        <v>0</v>
      </c>
      <c r="D86" s="164">
        <v>0</v>
      </c>
    </row>
    <row r="87" spans="2:4">
      <c r="B87" s="5"/>
      <c r="C87" s="164">
        <v>0</v>
      </c>
      <c r="D87" s="164">
        <v>0</v>
      </c>
    </row>
    <row r="88" spans="2:4">
      <c r="B88" s="5"/>
      <c r="C88" s="164">
        <v>0</v>
      </c>
      <c r="D88" s="164">
        <v>0</v>
      </c>
    </row>
    <row r="89" spans="2:4">
      <c r="B89" s="5"/>
      <c r="C89" s="164">
        <v>0</v>
      </c>
      <c r="D89" s="164">
        <v>0</v>
      </c>
    </row>
    <row r="90" spans="2:4">
      <c r="B90" s="5"/>
      <c r="C90" s="164">
        <v>0</v>
      </c>
      <c r="D90" s="164">
        <v>0</v>
      </c>
    </row>
    <row r="91" spans="2:4">
      <c r="B91" s="5"/>
      <c r="C91" s="164">
        <v>0</v>
      </c>
      <c r="D91" s="164">
        <v>0</v>
      </c>
    </row>
    <row r="92" spans="2:4">
      <c r="B92" s="5"/>
      <c r="C92" s="164">
        <v>0</v>
      </c>
      <c r="D92" s="164">
        <v>0</v>
      </c>
    </row>
    <row r="93" spans="2:4">
      <c r="B93" s="5"/>
      <c r="C93" s="164">
        <v>0</v>
      </c>
      <c r="D93" s="164">
        <v>0</v>
      </c>
    </row>
    <row r="94" spans="2:4">
      <c r="B94" s="5"/>
      <c r="C94" s="164">
        <v>0</v>
      </c>
      <c r="D94" s="164">
        <v>0</v>
      </c>
    </row>
    <row r="95" spans="2:4">
      <c r="B95" s="5"/>
      <c r="C95" s="164">
        <v>0</v>
      </c>
      <c r="D95" s="164">
        <v>0</v>
      </c>
    </row>
    <row r="96" spans="2:4">
      <c r="B96" s="5"/>
      <c r="C96" s="164">
        <v>0</v>
      </c>
      <c r="D96" s="164">
        <v>0</v>
      </c>
    </row>
    <row r="97" spans="2:4">
      <c r="B97" s="5"/>
      <c r="C97" s="164">
        <v>0</v>
      </c>
      <c r="D97" s="164">
        <v>0</v>
      </c>
    </row>
    <row r="98" spans="2:4">
      <c r="B98" s="5"/>
      <c r="C98" s="164">
        <v>0</v>
      </c>
      <c r="D98" s="164">
        <v>0</v>
      </c>
    </row>
    <row r="99" spans="2:4">
      <c r="B99" s="5"/>
      <c r="C99" s="164">
        <v>0</v>
      </c>
      <c r="D99" s="164">
        <v>0</v>
      </c>
    </row>
    <row r="100" spans="2:4">
      <c r="B100" s="5"/>
      <c r="C100" s="164">
        <v>0</v>
      </c>
      <c r="D100" s="164">
        <v>0</v>
      </c>
    </row>
    <row r="101" spans="2:4">
      <c r="B101" s="5"/>
      <c r="C101" s="164">
        <v>0</v>
      </c>
      <c r="D101" s="164">
        <v>0</v>
      </c>
    </row>
    <row r="102" spans="2:4">
      <c r="B102" s="5"/>
      <c r="C102" s="164">
        <v>0</v>
      </c>
      <c r="D102" s="164">
        <v>0</v>
      </c>
    </row>
    <row r="103" spans="2:4">
      <c r="B103" s="5"/>
      <c r="C103" s="164">
        <v>0</v>
      </c>
      <c r="D103" s="164">
        <v>0</v>
      </c>
    </row>
    <row r="104" spans="2:4">
      <c r="B104" s="5"/>
      <c r="C104" s="164">
        <v>0</v>
      </c>
      <c r="D104" s="164">
        <v>0</v>
      </c>
    </row>
    <row r="105" spans="2:4">
      <c r="B105" s="5"/>
      <c r="C105" s="164">
        <v>0</v>
      </c>
      <c r="D105" s="164">
        <v>0</v>
      </c>
    </row>
    <row r="106" spans="2:4">
      <c r="B106" s="5"/>
      <c r="C106" s="164">
        <v>0</v>
      </c>
      <c r="D106" s="164">
        <v>0</v>
      </c>
    </row>
    <row r="107" spans="2:4">
      <c r="B107" s="5"/>
      <c r="C107" s="164">
        <v>0</v>
      </c>
      <c r="D107" s="164">
        <v>0</v>
      </c>
    </row>
    <row r="108" spans="2:4">
      <c r="B108" s="5"/>
      <c r="C108" s="164">
        <v>0</v>
      </c>
      <c r="D108" s="164">
        <v>0</v>
      </c>
    </row>
    <row r="109" spans="2:4">
      <c r="B109" s="5"/>
      <c r="C109" s="164">
        <v>0</v>
      </c>
      <c r="D109" s="164">
        <v>0</v>
      </c>
    </row>
    <row r="110" spans="2:4">
      <c r="B110" s="5"/>
      <c r="C110" s="164">
        <v>0</v>
      </c>
      <c r="D110" s="164">
        <v>0</v>
      </c>
    </row>
    <row r="111" spans="2:4">
      <c r="B111" s="5"/>
      <c r="C111" s="164">
        <v>0</v>
      </c>
      <c r="D111" s="164">
        <v>0</v>
      </c>
    </row>
    <row r="112" spans="2:4">
      <c r="B112" s="5"/>
      <c r="C112" s="164">
        <v>0</v>
      </c>
      <c r="D112" s="164">
        <v>0</v>
      </c>
    </row>
    <row r="113" spans="2:4">
      <c r="B113" s="5"/>
      <c r="C113" s="164">
        <v>0</v>
      </c>
      <c r="D113" s="164">
        <v>0</v>
      </c>
    </row>
    <row r="114" spans="2:4">
      <c r="B114" s="5"/>
      <c r="C114" s="164">
        <v>0</v>
      </c>
      <c r="D114" s="164">
        <v>0</v>
      </c>
    </row>
    <row r="115" spans="2:4">
      <c r="B115" s="5"/>
      <c r="C115" s="164">
        <v>0</v>
      </c>
      <c r="D115" s="164">
        <v>0</v>
      </c>
    </row>
    <row r="116" spans="2:4">
      <c r="B116" s="5"/>
      <c r="C116" s="164">
        <v>0</v>
      </c>
      <c r="D116" s="164">
        <v>0</v>
      </c>
    </row>
    <row r="117" spans="2:4">
      <c r="B117" s="5"/>
      <c r="C117" s="164">
        <v>0</v>
      </c>
      <c r="D117" s="164">
        <v>0</v>
      </c>
    </row>
    <row r="118" spans="2:4">
      <c r="B118" s="5"/>
      <c r="C118" s="164">
        <v>0</v>
      </c>
      <c r="D118" s="164">
        <v>0</v>
      </c>
    </row>
    <row r="119" spans="2:4">
      <c r="B119" s="5"/>
      <c r="C119" s="164">
        <v>0</v>
      </c>
      <c r="D119" s="164">
        <v>0</v>
      </c>
    </row>
    <row r="120" spans="2:4">
      <c r="B120" s="5"/>
      <c r="C120" s="164">
        <v>0</v>
      </c>
      <c r="D120" s="164">
        <v>0</v>
      </c>
    </row>
    <row r="121" spans="2:4">
      <c r="B121" s="5"/>
      <c r="C121" s="164">
        <v>0</v>
      </c>
      <c r="D121" s="164">
        <v>0</v>
      </c>
    </row>
    <row r="122" spans="2:4">
      <c r="B122" s="5"/>
      <c r="C122" s="164">
        <v>0</v>
      </c>
      <c r="D122" s="164">
        <v>0</v>
      </c>
    </row>
    <row r="123" spans="2:4">
      <c r="B123" s="5"/>
      <c r="C123" s="164">
        <v>0</v>
      </c>
      <c r="D123" s="164">
        <v>0</v>
      </c>
    </row>
    <row r="124" spans="2:4">
      <c r="B124" s="5"/>
      <c r="C124" s="164">
        <v>0</v>
      </c>
      <c r="D124" s="164">
        <v>0</v>
      </c>
    </row>
    <row r="125" spans="2:4">
      <c r="B125" s="5"/>
      <c r="C125" s="164">
        <v>0</v>
      </c>
      <c r="D125" s="164">
        <v>0</v>
      </c>
    </row>
    <row r="126" spans="2:4">
      <c r="B126" s="5"/>
      <c r="C126" s="164">
        <v>0</v>
      </c>
      <c r="D126" s="164">
        <v>0</v>
      </c>
    </row>
    <row r="127" spans="2:4">
      <c r="B127" s="5"/>
      <c r="C127" s="164">
        <v>0</v>
      </c>
      <c r="D127" s="164">
        <v>0</v>
      </c>
    </row>
    <row r="128" spans="2:4">
      <c r="B128" s="5"/>
      <c r="C128" s="164">
        <v>0</v>
      </c>
      <c r="D128" s="164">
        <v>0</v>
      </c>
    </row>
    <row r="129" spans="2:4">
      <c r="B129" s="5"/>
      <c r="C129" s="164">
        <v>0</v>
      </c>
      <c r="D129" s="164">
        <v>0</v>
      </c>
    </row>
    <row r="130" spans="2:4">
      <c r="B130" s="5"/>
      <c r="C130" s="164">
        <v>0</v>
      </c>
      <c r="D130" s="164">
        <v>0</v>
      </c>
    </row>
    <row r="131" spans="2:4">
      <c r="B131" s="5"/>
      <c r="C131" s="164">
        <v>0</v>
      </c>
      <c r="D131" s="164">
        <v>0</v>
      </c>
    </row>
    <row r="132" spans="2:4">
      <c r="B132" s="5"/>
      <c r="C132" s="164">
        <v>0</v>
      </c>
      <c r="D132" s="164">
        <v>0</v>
      </c>
    </row>
    <row r="133" spans="2:4">
      <c r="B133" s="5"/>
      <c r="C133" s="164">
        <v>0</v>
      </c>
      <c r="D133" s="164">
        <v>0</v>
      </c>
    </row>
    <row r="134" spans="2:4">
      <c r="B134" s="5"/>
      <c r="C134" s="164">
        <v>0</v>
      </c>
      <c r="D134" s="164">
        <v>0</v>
      </c>
    </row>
    <row r="135" spans="2:4">
      <c r="B135" s="5"/>
      <c r="C135" s="164">
        <v>0</v>
      </c>
      <c r="D135" s="164">
        <v>0</v>
      </c>
    </row>
    <row r="136" spans="2:4">
      <c r="B136" s="5"/>
      <c r="C136" s="164">
        <v>0</v>
      </c>
      <c r="D136" s="164">
        <v>0</v>
      </c>
    </row>
    <row r="137" spans="2:4">
      <c r="B137" s="5"/>
      <c r="C137" s="164">
        <v>0</v>
      </c>
      <c r="D137" s="164">
        <v>0</v>
      </c>
    </row>
    <row r="138" spans="2:4">
      <c r="B138" s="5"/>
      <c r="C138" s="164">
        <v>0</v>
      </c>
      <c r="D138" s="164">
        <v>0</v>
      </c>
    </row>
    <row r="139" spans="2:4">
      <c r="B139" s="5"/>
      <c r="C139" s="164">
        <v>0</v>
      </c>
      <c r="D139" s="164">
        <v>0</v>
      </c>
    </row>
    <row r="140" spans="2:4">
      <c r="B140" s="5"/>
      <c r="C140" s="164">
        <v>0</v>
      </c>
      <c r="D140" s="164">
        <v>0</v>
      </c>
    </row>
    <row r="141" spans="2:4">
      <c r="B141" s="5"/>
      <c r="C141" s="164">
        <v>0</v>
      </c>
      <c r="D141" s="164">
        <v>0</v>
      </c>
    </row>
    <row r="142" spans="2:4">
      <c r="B142" s="5"/>
      <c r="C142" s="164">
        <v>0</v>
      </c>
      <c r="D142" s="164">
        <v>0</v>
      </c>
    </row>
    <row r="143" spans="2:4">
      <c r="B143" s="5"/>
      <c r="C143" s="164">
        <v>0</v>
      </c>
      <c r="D143" s="164">
        <v>0</v>
      </c>
    </row>
    <row r="144" spans="2:4">
      <c r="B144" s="5"/>
      <c r="C144" s="164">
        <v>0</v>
      </c>
      <c r="D144" s="164">
        <v>0</v>
      </c>
    </row>
    <row r="145" spans="2:4">
      <c r="B145" s="5"/>
      <c r="C145" s="164">
        <v>0</v>
      </c>
      <c r="D145" s="164">
        <v>0</v>
      </c>
    </row>
    <row r="146" spans="2:4">
      <c r="B146" s="5"/>
      <c r="C146" s="164">
        <v>0</v>
      </c>
      <c r="D146" s="164">
        <v>0</v>
      </c>
    </row>
    <row r="147" spans="2:4">
      <c r="B147" s="5"/>
      <c r="C147" s="164">
        <v>0</v>
      </c>
      <c r="D147" s="164">
        <v>0</v>
      </c>
    </row>
    <row r="148" spans="2:4">
      <c r="B148" s="5"/>
      <c r="C148" s="164">
        <v>0</v>
      </c>
      <c r="D148" s="164">
        <v>0</v>
      </c>
    </row>
    <row r="149" spans="2:4">
      <c r="B149" s="5"/>
      <c r="C149" s="164">
        <v>0</v>
      </c>
      <c r="D149" s="164">
        <v>0</v>
      </c>
    </row>
    <row r="150" spans="2:4">
      <c r="B150" s="5"/>
      <c r="C150" s="164">
        <v>0</v>
      </c>
      <c r="D150" s="164">
        <v>0</v>
      </c>
    </row>
    <row r="151" spans="2:4">
      <c r="B151" s="5"/>
      <c r="C151" s="164">
        <v>0</v>
      </c>
      <c r="D151" s="164">
        <v>0</v>
      </c>
    </row>
    <row r="152" spans="2:4">
      <c r="B152" s="5"/>
      <c r="C152" s="164">
        <v>0</v>
      </c>
      <c r="D152" s="164">
        <v>0</v>
      </c>
    </row>
    <row r="153" spans="2:4">
      <c r="B153" s="5"/>
      <c r="C153" s="164">
        <v>0</v>
      </c>
      <c r="D153" s="164">
        <v>0</v>
      </c>
    </row>
    <row r="154" spans="2:4">
      <c r="B154" s="5"/>
      <c r="C154" s="164">
        <v>0</v>
      </c>
      <c r="D154" s="164">
        <v>0</v>
      </c>
    </row>
    <row r="155" spans="2:4">
      <c r="B155" s="5"/>
      <c r="C155" s="164">
        <v>0</v>
      </c>
      <c r="D155" s="164">
        <v>0</v>
      </c>
    </row>
    <row r="156" spans="2:4">
      <c r="B156" s="5"/>
      <c r="C156" s="164">
        <v>0</v>
      </c>
      <c r="D156" s="164">
        <v>0</v>
      </c>
    </row>
    <row r="157" spans="2:4">
      <c r="B157" s="5"/>
      <c r="C157" s="164">
        <v>0</v>
      </c>
      <c r="D157" s="164">
        <v>0</v>
      </c>
    </row>
    <row r="158" spans="2:4">
      <c r="B158" s="5"/>
      <c r="C158" s="164">
        <v>0</v>
      </c>
      <c r="D158" s="164">
        <v>0</v>
      </c>
    </row>
    <row r="159" spans="2:4">
      <c r="B159" s="5"/>
      <c r="C159" s="164">
        <v>0</v>
      </c>
      <c r="D159" s="164">
        <v>0</v>
      </c>
    </row>
    <row r="160" spans="2:4">
      <c r="B160" s="5"/>
      <c r="C160" s="164">
        <v>0</v>
      </c>
      <c r="D160" s="164">
        <v>0</v>
      </c>
    </row>
    <row r="161" spans="2:4">
      <c r="B161" s="5"/>
      <c r="C161" s="164">
        <v>0</v>
      </c>
      <c r="D161" s="164">
        <v>0</v>
      </c>
    </row>
    <row r="162" spans="2:4">
      <c r="B162" s="5"/>
      <c r="C162" s="164">
        <v>0</v>
      </c>
      <c r="D162" s="164">
        <v>0</v>
      </c>
    </row>
    <row r="163" spans="2:4">
      <c r="B163" s="5"/>
      <c r="C163" s="164">
        <v>0</v>
      </c>
      <c r="D163" s="164">
        <v>0</v>
      </c>
    </row>
    <row r="164" spans="2:4">
      <c r="B164" s="5"/>
      <c r="C164" s="164">
        <v>0</v>
      </c>
      <c r="D164" s="164">
        <v>0</v>
      </c>
    </row>
    <row r="165" spans="2:4">
      <c r="B165" s="5"/>
      <c r="C165" s="164">
        <v>0</v>
      </c>
      <c r="D165" s="164">
        <v>0</v>
      </c>
    </row>
    <row r="166" spans="2:4">
      <c r="B166" s="5"/>
      <c r="C166" s="164">
        <v>0</v>
      </c>
      <c r="D166" s="164">
        <v>0</v>
      </c>
    </row>
    <row r="167" spans="2:4">
      <c r="B167" s="5"/>
      <c r="C167" s="164">
        <v>0</v>
      </c>
      <c r="D167" s="164">
        <v>0</v>
      </c>
    </row>
    <row r="168" spans="2:4">
      <c r="B168" s="5"/>
      <c r="C168" s="164">
        <v>0</v>
      </c>
      <c r="D168" s="164">
        <v>0</v>
      </c>
    </row>
    <row r="169" spans="2:4">
      <c r="B169" s="5"/>
      <c r="C169" s="164">
        <v>0</v>
      </c>
      <c r="D169" s="164">
        <v>0</v>
      </c>
    </row>
    <row r="170" spans="2:4">
      <c r="B170" s="5"/>
      <c r="C170" s="164">
        <v>0</v>
      </c>
      <c r="D170" s="164">
        <v>0</v>
      </c>
    </row>
    <row r="171" spans="2:4">
      <c r="B171" s="5"/>
      <c r="C171" s="164">
        <v>0</v>
      </c>
      <c r="D171" s="164">
        <v>0</v>
      </c>
    </row>
    <row r="172" spans="2:4">
      <c r="B172" s="5"/>
      <c r="C172" s="164">
        <v>0</v>
      </c>
      <c r="D172" s="164">
        <v>0</v>
      </c>
    </row>
    <row r="173" spans="2:4">
      <c r="B173" s="5"/>
      <c r="C173" s="164">
        <v>0</v>
      </c>
      <c r="D173" s="164">
        <v>0</v>
      </c>
    </row>
    <row r="174" spans="2:4">
      <c r="B174" s="5"/>
      <c r="C174" s="164">
        <v>0</v>
      </c>
      <c r="D174" s="164">
        <v>0</v>
      </c>
    </row>
    <row r="175" spans="2:4">
      <c r="B175" s="5"/>
      <c r="C175" s="164">
        <v>0</v>
      </c>
      <c r="D175" s="164">
        <v>0</v>
      </c>
    </row>
    <row r="176" spans="2:4">
      <c r="B176" s="5"/>
      <c r="C176" s="164">
        <v>0</v>
      </c>
      <c r="D176" s="164">
        <v>0</v>
      </c>
    </row>
    <row r="177" spans="2:4">
      <c r="B177" s="5"/>
      <c r="C177" s="164">
        <v>0</v>
      </c>
      <c r="D177" s="164">
        <v>0</v>
      </c>
    </row>
    <row r="178" spans="2:4">
      <c r="B178" s="5"/>
      <c r="C178" s="164">
        <v>0</v>
      </c>
      <c r="D178" s="164">
        <v>0</v>
      </c>
    </row>
    <row r="179" spans="2:4">
      <c r="B179" s="5"/>
      <c r="C179" s="164">
        <v>0</v>
      </c>
      <c r="D179" s="164">
        <v>0</v>
      </c>
    </row>
    <row r="180" spans="2:4">
      <c r="B180" s="5"/>
      <c r="C180" s="164">
        <v>0</v>
      </c>
      <c r="D180" s="164">
        <v>0</v>
      </c>
    </row>
    <row r="181" spans="2:4">
      <c r="B181" s="5"/>
      <c r="C181" s="164">
        <v>0</v>
      </c>
      <c r="D181" s="164">
        <v>0</v>
      </c>
    </row>
    <row r="182" spans="2:4">
      <c r="B182" s="5"/>
      <c r="C182" s="164">
        <v>0</v>
      </c>
      <c r="D182" s="164">
        <v>0</v>
      </c>
    </row>
    <row r="183" spans="2:4">
      <c r="B183" s="5"/>
      <c r="C183" s="164">
        <v>0</v>
      </c>
      <c r="D183" s="164">
        <v>0</v>
      </c>
    </row>
    <row r="184" spans="2:4">
      <c r="B184" s="5"/>
      <c r="C184" s="164">
        <v>0</v>
      </c>
      <c r="D184" s="164">
        <v>0</v>
      </c>
    </row>
    <row r="185" spans="2:4">
      <c r="B185" s="5"/>
      <c r="C185" s="164">
        <v>0</v>
      </c>
      <c r="D185" s="164">
        <v>0</v>
      </c>
    </row>
    <row r="186" spans="2:4">
      <c r="B186" s="5"/>
      <c r="C186" s="164">
        <v>0</v>
      </c>
      <c r="D186" s="164">
        <v>0</v>
      </c>
    </row>
    <row r="187" spans="2:4">
      <c r="B187" s="5"/>
      <c r="C187" s="164">
        <v>0</v>
      </c>
      <c r="D187" s="164">
        <v>0</v>
      </c>
    </row>
    <row r="188" spans="2:4">
      <c r="B188" s="5"/>
      <c r="C188" s="164">
        <v>0</v>
      </c>
      <c r="D188" s="164">
        <v>0</v>
      </c>
    </row>
    <row r="189" spans="2:4">
      <c r="B189" s="5"/>
      <c r="C189" s="164">
        <v>0</v>
      </c>
      <c r="D189" s="164">
        <v>0</v>
      </c>
    </row>
    <row r="190" spans="2:4">
      <c r="B190" s="5"/>
      <c r="C190" s="164">
        <v>0</v>
      </c>
      <c r="D190" s="164">
        <v>0</v>
      </c>
    </row>
    <row r="191" spans="2:4">
      <c r="B191" s="5"/>
      <c r="C191" s="164">
        <v>0</v>
      </c>
      <c r="D191" s="164">
        <v>0</v>
      </c>
    </row>
    <row r="192" spans="2:4">
      <c r="B192" s="5"/>
      <c r="C192" s="164">
        <v>0</v>
      </c>
      <c r="D192" s="164">
        <v>0</v>
      </c>
    </row>
    <row r="193" spans="2:4">
      <c r="B193" s="5"/>
      <c r="C193" s="164">
        <v>0</v>
      </c>
      <c r="D193" s="164">
        <v>0</v>
      </c>
    </row>
    <row r="194" spans="2:4">
      <c r="B194" s="5"/>
      <c r="C194" s="164">
        <v>0</v>
      </c>
      <c r="D194" s="164">
        <v>0</v>
      </c>
    </row>
    <row r="195" spans="2:4">
      <c r="B195" s="5"/>
      <c r="C195" s="164">
        <v>0</v>
      </c>
      <c r="D195" s="164">
        <v>0</v>
      </c>
    </row>
    <row r="196" spans="2:4">
      <c r="B196" s="5"/>
      <c r="C196" s="164">
        <v>0</v>
      </c>
      <c r="D196" s="164">
        <v>0</v>
      </c>
    </row>
    <row r="197" spans="2:4">
      <c r="B197" s="5"/>
      <c r="C197" s="164">
        <v>0</v>
      </c>
      <c r="D197" s="164">
        <v>0</v>
      </c>
    </row>
    <row r="198" spans="2:4">
      <c r="B198" s="5"/>
      <c r="C198" s="164">
        <v>0</v>
      </c>
      <c r="D198" s="164">
        <v>0</v>
      </c>
    </row>
    <row r="199" spans="2:4">
      <c r="B199" s="5"/>
      <c r="C199" s="164">
        <v>0</v>
      </c>
      <c r="D199" s="164">
        <v>0</v>
      </c>
    </row>
    <row r="200" spans="2:4">
      <c r="B200" s="5"/>
      <c r="C200" s="164">
        <v>0</v>
      </c>
      <c r="D200" s="164">
        <v>0</v>
      </c>
    </row>
    <row r="201" spans="2:4">
      <c r="B201" s="5"/>
      <c r="C201" s="164">
        <v>0</v>
      </c>
      <c r="D201" s="164">
        <v>0</v>
      </c>
    </row>
    <row r="202" spans="2:4">
      <c r="B202" s="5"/>
      <c r="C202" s="164">
        <v>0</v>
      </c>
      <c r="D202" s="164">
        <v>0</v>
      </c>
    </row>
    <row r="203" spans="2:4">
      <c r="B203" s="5"/>
      <c r="C203" s="164">
        <v>0</v>
      </c>
      <c r="D203" s="164">
        <v>0</v>
      </c>
    </row>
    <row r="204" spans="2:4">
      <c r="B204" s="5"/>
      <c r="C204" s="164">
        <v>0</v>
      </c>
      <c r="D204" s="164">
        <v>0</v>
      </c>
    </row>
    <row r="205" spans="2:4">
      <c r="B205" s="5"/>
      <c r="C205" s="164">
        <v>0</v>
      </c>
      <c r="D205" s="164">
        <v>0</v>
      </c>
    </row>
    <row r="206" spans="2:4">
      <c r="B206" s="5"/>
      <c r="C206" s="164">
        <v>0</v>
      </c>
      <c r="D206" s="164">
        <v>0</v>
      </c>
    </row>
    <row r="207" spans="2:4">
      <c r="B207" s="5"/>
      <c r="C207" s="164">
        <v>0</v>
      </c>
      <c r="D207" s="164">
        <v>0</v>
      </c>
    </row>
    <row r="208" spans="2:4">
      <c r="B208" s="5"/>
      <c r="C208" s="164">
        <v>0</v>
      </c>
      <c r="D208" s="164">
        <v>0</v>
      </c>
    </row>
    <row r="209" spans="2:4">
      <c r="B209" s="5"/>
      <c r="C209" s="164">
        <v>0</v>
      </c>
      <c r="D209" s="164">
        <v>0</v>
      </c>
    </row>
    <row r="210" spans="2:4">
      <c r="B210" s="5"/>
      <c r="C210" s="164">
        <v>0</v>
      </c>
      <c r="D210" s="164">
        <v>0</v>
      </c>
    </row>
    <row r="211" spans="2:4">
      <c r="B211" s="5"/>
      <c r="C211" s="164">
        <v>0</v>
      </c>
      <c r="D211" s="164">
        <v>0</v>
      </c>
    </row>
    <row r="212" spans="2:4">
      <c r="B212" s="5"/>
      <c r="C212" s="164">
        <v>0</v>
      </c>
      <c r="D212" s="164">
        <v>0</v>
      </c>
    </row>
    <row r="213" spans="2:4">
      <c r="B213" s="5"/>
      <c r="C213" s="164">
        <v>0</v>
      </c>
      <c r="D213" s="164">
        <v>0</v>
      </c>
    </row>
    <row r="214" spans="2:4">
      <c r="B214" s="5"/>
      <c r="C214" s="164">
        <v>0</v>
      </c>
      <c r="D214" s="164">
        <v>0</v>
      </c>
    </row>
    <row r="215" spans="2:4">
      <c r="B215" s="5"/>
      <c r="C215" s="164">
        <v>0</v>
      </c>
      <c r="D215" s="164">
        <v>0</v>
      </c>
    </row>
    <row r="216" spans="2:4">
      <c r="B216" s="5"/>
      <c r="C216" s="164">
        <v>0</v>
      </c>
      <c r="D216" s="164">
        <v>0</v>
      </c>
    </row>
    <row r="217" spans="2:4">
      <c r="B217" s="5"/>
      <c r="C217" s="164">
        <v>0</v>
      </c>
      <c r="D217" s="164">
        <v>0</v>
      </c>
    </row>
    <row r="218" spans="2:4">
      <c r="B218" s="5"/>
      <c r="C218" s="164">
        <v>0</v>
      </c>
      <c r="D218" s="164">
        <v>0</v>
      </c>
    </row>
    <row r="219" spans="2:4">
      <c r="B219" s="5"/>
      <c r="C219" s="164">
        <v>0</v>
      </c>
      <c r="D219" s="164">
        <v>0</v>
      </c>
    </row>
    <row r="220" spans="2:4">
      <c r="B220" s="5"/>
      <c r="C220" s="164">
        <v>0</v>
      </c>
      <c r="D220" s="164">
        <v>0</v>
      </c>
    </row>
    <row r="221" spans="2:4">
      <c r="B221" s="5"/>
      <c r="C221" s="164">
        <v>0</v>
      </c>
      <c r="D221" s="164">
        <v>0</v>
      </c>
    </row>
    <row r="222" spans="2:4">
      <c r="B222" s="5"/>
      <c r="C222" s="164">
        <v>0</v>
      </c>
      <c r="D222" s="164">
        <v>0</v>
      </c>
    </row>
    <row r="223" spans="2:4">
      <c r="B223" s="5"/>
      <c r="C223" s="164">
        <v>0</v>
      </c>
      <c r="D223" s="164">
        <v>0</v>
      </c>
    </row>
    <row r="224" spans="2:4">
      <c r="B224" s="5"/>
      <c r="C224" s="164">
        <v>0</v>
      </c>
      <c r="D224" s="164">
        <v>0</v>
      </c>
    </row>
    <row r="225" spans="2:4">
      <c r="B225" s="5"/>
      <c r="C225" s="164">
        <v>0</v>
      </c>
      <c r="D225" s="164">
        <v>0</v>
      </c>
    </row>
    <row r="226" spans="2:4">
      <c r="B226" s="5"/>
      <c r="C226" s="164">
        <v>0</v>
      </c>
      <c r="D226" s="164">
        <v>0</v>
      </c>
    </row>
    <row r="227" spans="2:4">
      <c r="B227" s="5"/>
      <c r="C227" s="164">
        <v>0</v>
      </c>
      <c r="D227" s="164">
        <v>0</v>
      </c>
    </row>
    <row r="228" spans="2:4">
      <c r="B228" s="5"/>
      <c r="C228" s="164">
        <v>0</v>
      </c>
      <c r="D228" s="164">
        <v>0</v>
      </c>
    </row>
    <row r="229" spans="2:4">
      <c r="B229" s="5"/>
      <c r="C229" s="164">
        <v>0</v>
      </c>
      <c r="D229" s="164">
        <v>0</v>
      </c>
    </row>
    <row r="230" spans="2:4">
      <c r="B230" s="5"/>
      <c r="C230" s="164">
        <v>0</v>
      </c>
      <c r="D230" s="164">
        <v>0</v>
      </c>
    </row>
    <row r="231" spans="2:4">
      <c r="B231" s="5"/>
      <c r="C231" s="164">
        <v>0</v>
      </c>
      <c r="D231" s="164">
        <v>0</v>
      </c>
    </row>
    <row r="232" spans="2:4">
      <c r="B232" s="5"/>
      <c r="C232" s="164">
        <v>0</v>
      </c>
      <c r="D232" s="164">
        <v>0</v>
      </c>
    </row>
    <row r="233" spans="2:4">
      <c r="B233" s="5"/>
      <c r="C233" s="164">
        <v>0</v>
      </c>
      <c r="D233" s="164">
        <v>0</v>
      </c>
    </row>
    <row r="234" spans="2:4">
      <c r="B234" s="5"/>
      <c r="C234" s="164">
        <v>0</v>
      </c>
      <c r="D234" s="164">
        <v>0</v>
      </c>
    </row>
    <row r="235" spans="2:4">
      <c r="B235" s="5"/>
      <c r="C235" s="164">
        <v>0</v>
      </c>
      <c r="D235" s="164">
        <v>0</v>
      </c>
    </row>
    <row r="236" spans="2:4">
      <c r="B236" s="5"/>
      <c r="C236" s="164">
        <v>0</v>
      </c>
      <c r="D236" s="164">
        <v>0</v>
      </c>
    </row>
    <row r="237" spans="2:4">
      <c r="B237" s="5"/>
      <c r="C237" s="164">
        <v>0</v>
      </c>
      <c r="D237" s="164">
        <v>0</v>
      </c>
    </row>
    <row r="238" spans="2:4">
      <c r="B238" s="5"/>
      <c r="C238" s="164">
        <v>0</v>
      </c>
      <c r="D238" s="164">
        <v>0</v>
      </c>
    </row>
    <row r="239" spans="2:4">
      <c r="B239" s="5"/>
      <c r="C239" s="164">
        <v>0</v>
      </c>
      <c r="D239" s="164">
        <v>0</v>
      </c>
    </row>
    <row r="240" spans="2:4">
      <c r="B240" s="5"/>
      <c r="C240" s="164">
        <v>0</v>
      </c>
      <c r="D240" s="164">
        <v>0</v>
      </c>
    </row>
    <row r="241" spans="2:4">
      <c r="B241" s="5"/>
      <c r="C241" s="164">
        <v>0</v>
      </c>
      <c r="D241" s="164">
        <v>0</v>
      </c>
    </row>
    <row r="242" spans="2:4">
      <c r="B242" s="5"/>
      <c r="C242" s="164">
        <v>0</v>
      </c>
      <c r="D242" s="164">
        <v>0</v>
      </c>
    </row>
    <row r="243" spans="2:4">
      <c r="B243" s="5"/>
      <c r="C243" s="164">
        <v>0</v>
      </c>
      <c r="D243" s="164">
        <v>0</v>
      </c>
    </row>
    <row r="244" spans="2:4">
      <c r="B244" s="5"/>
      <c r="C244" s="164">
        <v>0</v>
      </c>
      <c r="D244" s="164">
        <v>0</v>
      </c>
    </row>
    <row r="245" spans="2:4">
      <c r="B245" s="5"/>
      <c r="C245" s="164">
        <v>0</v>
      </c>
      <c r="D245" s="164">
        <v>0</v>
      </c>
    </row>
    <row r="246" spans="2:4">
      <c r="B246" s="5"/>
      <c r="C246" s="164">
        <v>0</v>
      </c>
      <c r="D246" s="164">
        <v>0</v>
      </c>
    </row>
    <row r="247" spans="2:4">
      <c r="B247" s="5"/>
      <c r="C247" s="164">
        <v>0</v>
      </c>
      <c r="D247" s="164">
        <v>0</v>
      </c>
    </row>
    <row r="248" spans="2:4">
      <c r="B248" s="5"/>
      <c r="C248" s="164">
        <v>0</v>
      </c>
      <c r="D248" s="164">
        <v>0</v>
      </c>
    </row>
    <row r="249" spans="2:4">
      <c r="B249" s="165" t="s">
        <v>138</v>
      </c>
      <c r="C249" s="166">
        <f>SUM(C15:C248)</f>
        <v>0</v>
      </c>
      <c r="D249" s="166">
        <f>SUM(D15:D248)</f>
        <v>0</v>
      </c>
    </row>
    <row r="250" spans="2:4">
      <c r="B250" s="658" t="s">
        <v>173</v>
      </c>
      <c r="C250" s="658"/>
      <c r="D250" s="167">
        <f>D13-C249+D249</f>
        <v>0</v>
      </c>
    </row>
    <row r="255" spans="2:4">
      <c r="B255" s="646" t="s">
        <v>174</v>
      </c>
      <c r="C255" s="646"/>
      <c r="D255" s="646"/>
    </row>
    <row r="256" spans="2:4">
      <c r="B256" s="647" t="s">
        <v>175</v>
      </c>
      <c r="C256" s="647"/>
      <c r="D256" s="647"/>
    </row>
  </sheetData>
  <sheetProtection password="B090" sheet="1" objects="1" scenarios="1"/>
  <mergeCells count="9">
    <mergeCell ref="B13:C13"/>
    <mergeCell ref="B250:C250"/>
    <mergeCell ref="B255:D255"/>
    <mergeCell ref="B256:D256"/>
    <mergeCell ref="B3:D3"/>
    <mergeCell ref="B4:D4"/>
    <mergeCell ref="B5:D5"/>
    <mergeCell ref="A8:E8"/>
    <mergeCell ref="A10:E10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G42"/>
  <sheetViews>
    <sheetView workbookViewId="0">
      <selection activeCell="C36" sqref="C36"/>
    </sheetView>
  </sheetViews>
  <sheetFormatPr defaultColWidth="9.140625" defaultRowHeight="15"/>
  <cols>
    <col min="1" max="1" width="10.5703125" style="143" customWidth="1"/>
    <col min="2" max="2" width="55" style="143" customWidth="1"/>
    <col min="3" max="3" width="22.85546875" style="143" customWidth="1"/>
    <col min="4" max="4" width="11.5703125" style="143" customWidth="1"/>
    <col min="5" max="1022" width="8.7109375" style="143" customWidth="1"/>
    <col min="1023" max="16384" width="9.140625" style="143"/>
  </cols>
  <sheetData>
    <row r="6" spans="1:7" ht="15.75">
      <c r="A6" s="671" t="s">
        <v>0</v>
      </c>
      <c r="B6" s="671"/>
      <c r="C6" s="671"/>
      <c r="D6" s="75"/>
    </row>
    <row r="7" spans="1:7" ht="15.75">
      <c r="A7" s="671" t="s">
        <v>2</v>
      </c>
      <c r="B7" s="671"/>
      <c r="C7" s="671"/>
      <c r="D7" s="75"/>
    </row>
    <row r="8" spans="1:7">
      <c r="A8" s="672" t="s">
        <v>5</v>
      </c>
      <c r="B8" s="672"/>
      <c r="C8" s="672"/>
      <c r="D8" s="144"/>
    </row>
    <row r="10" spans="1:7" ht="49.5" customHeight="1">
      <c r="A10" s="673" t="s">
        <v>678</v>
      </c>
      <c r="B10" s="673"/>
      <c r="C10" s="673"/>
    </row>
    <row r="12" spans="1:7" ht="15.75" customHeight="1">
      <c r="A12" s="669" t="s">
        <v>176</v>
      </c>
      <c r="B12" s="669"/>
      <c r="C12" s="669"/>
      <c r="D12" s="667"/>
      <c r="E12" s="667"/>
      <c r="F12" s="667"/>
      <c r="G12" s="667"/>
    </row>
    <row r="13" spans="1:7" ht="15.75">
      <c r="A13" s="145" t="s">
        <v>177</v>
      </c>
      <c r="B13" s="146" t="s">
        <v>178</v>
      </c>
      <c r="C13" s="147">
        <v>-38611.43</v>
      </c>
    </row>
    <row r="14" spans="1:7" ht="15.75">
      <c r="A14" s="145" t="s">
        <v>179</v>
      </c>
      <c r="B14" s="146" t="s">
        <v>180</v>
      </c>
      <c r="C14" s="147">
        <v>41542.879999999997</v>
      </c>
    </row>
    <row r="15" spans="1:7" ht="15.75">
      <c r="A15" s="145" t="s">
        <v>181</v>
      </c>
      <c r="B15" s="146" t="s">
        <v>182</v>
      </c>
      <c r="C15" s="147">
        <v>422.21</v>
      </c>
    </row>
    <row r="16" spans="1:7" ht="15.75">
      <c r="A16" s="148" t="s">
        <v>183</v>
      </c>
      <c r="B16" s="146" t="s">
        <v>184</v>
      </c>
      <c r="C16" s="147">
        <v>0</v>
      </c>
    </row>
    <row r="17" spans="1:3" ht="15.75">
      <c r="A17" s="145" t="s">
        <v>185</v>
      </c>
      <c r="B17" s="149" t="s">
        <v>186</v>
      </c>
      <c r="C17" s="147">
        <v>0</v>
      </c>
    </row>
    <row r="18" spans="1:3" ht="15.75">
      <c r="A18" s="148" t="s">
        <v>187</v>
      </c>
      <c r="B18" s="149" t="s">
        <v>188</v>
      </c>
      <c r="C18" s="147">
        <v>0</v>
      </c>
    </row>
    <row r="19" spans="1:3" ht="15.75">
      <c r="A19" s="145" t="s">
        <v>189</v>
      </c>
      <c r="B19" s="149" t="s">
        <v>190</v>
      </c>
      <c r="C19" s="147">
        <v>0</v>
      </c>
    </row>
    <row r="20" spans="1:3" ht="15.75" customHeight="1">
      <c r="A20" s="668" t="s">
        <v>191</v>
      </c>
      <c r="B20" s="668"/>
      <c r="C20" s="150">
        <f>SUM(C13:C19)</f>
        <v>3353.6599999999971</v>
      </c>
    </row>
    <row r="21" spans="1:3" ht="15.75">
      <c r="A21" s="151"/>
      <c r="B21" s="152"/>
      <c r="C21" s="153"/>
    </row>
    <row r="22" spans="1:3" ht="15.75">
      <c r="A22" s="151"/>
      <c r="B22" s="152"/>
      <c r="C22" s="153"/>
    </row>
    <row r="23" spans="1:3" ht="15.75" customHeight="1">
      <c r="A23" s="669" t="s">
        <v>192</v>
      </c>
      <c r="B23" s="669"/>
      <c r="C23" s="669"/>
    </row>
    <row r="24" spans="1:3" ht="15.75">
      <c r="A24" s="154" t="s">
        <v>193</v>
      </c>
      <c r="B24" s="146" t="s">
        <v>194</v>
      </c>
      <c r="C24" s="147">
        <v>17718.52</v>
      </c>
    </row>
    <row r="25" spans="1:3" ht="15.75">
      <c r="A25" s="145" t="s">
        <v>195</v>
      </c>
      <c r="B25" s="146" t="s">
        <v>196</v>
      </c>
      <c r="C25" s="147">
        <v>3466.38</v>
      </c>
    </row>
    <row r="26" spans="1:3" ht="15.75">
      <c r="A26" s="145" t="s">
        <v>197</v>
      </c>
      <c r="B26" s="146" t="s">
        <v>198</v>
      </c>
      <c r="C26" s="147">
        <v>7456.74</v>
      </c>
    </row>
    <row r="27" spans="1:3" ht="15.75">
      <c r="A27" s="148" t="s">
        <v>199</v>
      </c>
      <c r="B27" s="146" t="s">
        <v>200</v>
      </c>
      <c r="C27" s="147">
        <v>0</v>
      </c>
    </row>
    <row r="28" spans="1:3" ht="15.75">
      <c r="A28" s="148" t="s">
        <v>201</v>
      </c>
      <c r="B28" s="149" t="s">
        <v>202</v>
      </c>
      <c r="C28" s="147"/>
    </row>
    <row r="29" spans="1:3" ht="15.75">
      <c r="A29" s="155" t="s">
        <v>203</v>
      </c>
      <c r="B29" s="156" t="s">
        <v>204</v>
      </c>
      <c r="C29" s="157">
        <v>443.52</v>
      </c>
    </row>
    <row r="30" spans="1:3" ht="15.75">
      <c r="A30" s="155" t="s">
        <v>205</v>
      </c>
      <c r="B30" s="158" t="s">
        <v>206</v>
      </c>
      <c r="C30" s="157"/>
    </row>
    <row r="31" spans="1:3" ht="15.75">
      <c r="A31" s="155" t="s">
        <v>207</v>
      </c>
      <c r="B31" s="156" t="s">
        <v>208</v>
      </c>
      <c r="C31" s="157"/>
    </row>
    <row r="32" spans="1:3" ht="15.75">
      <c r="A32" s="155" t="s">
        <v>209</v>
      </c>
      <c r="B32" s="158" t="s">
        <v>210</v>
      </c>
      <c r="C32" s="157"/>
    </row>
    <row r="33" spans="1:3" ht="15.75">
      <c r="A33" s="155" t="s">
        <v>211</v>
      </c>
      <c r="B33" s="156" t="s">
        <v>212</v>
      </c>
      <c r="C33" s="157"/>
    </row>
    <row r="34" spans="1:3" ht="15.75">
      <c r="A34" s="154" t="s">
        <v>213</v>
      </c>
      <c r="B34" s="146" t="s">
        <v>214</v>
      </c>
      <c r="C34" s="147">
        <f>5876.11+190</f>
        <v>6066.11</v>
      </c>
    </row>
    <row r="35" spans="1:3" ht="15.75">
      <c r="A35" s="145" t="s">
        <v>215</v>
      </c>
      <c r="B35" s="146" t="s">
        <v>190</v>
      </c>
      <c r="C35" s="147">
        <v>1540.97</v>
      </c>
    </row>
    <row r="36" spans="1:3" ht="15.75">
      <c r="A36" s="668" t="s">
        <v>216</v>
      </c>
      <c r="B36" s="668"/>
      <c r="C36" s="150">
        <f>SUM(C24:C35)</f>
        <v>36692.239999999998</v>
      </c>
    </row>
    <row r="37" spans="1:3" ht="15.75">
      <c r="A37" s="159"/>
      <c r="B37" s="159"/>
    </row>
    <row r="38" spans="1:3" ht="15.75" customHeight="1">
      <c r="A38" s="670" t="s">
        <v>217</v>
      </c>
      <c r="B38" s="670"/>
      <c r="C38" s="160">
        <f>C20+C36</f>
        <v>40045.899999999994</v>
      </c>
    </row>
    <row r="40" spans="1:3">
      <c r="C40" s="319"/>
    </row>
    <row r="41" spans="1:3">
      <c r="C41" s="161"/>
    </row>
    <row r="42" spans="1:3">
      <c r="C42" s="161"/>
    </row>
  </sheetData>
  <sheetProtection password="B090" sheet="1" objects="1" scenarios="1"/>
  <mergeCells count="10">
    <mergeCell ref="A6:C6"/>
    <mergeCell ref="A7:C7"/>
    <mergeCell ref="A8:C8"/>
    <mergeCell ref="A10:C10"/>
    <mergeCell ref="A12:C12"/>
    <mergeCell ref="D12:G12"/>
    <mergeCell ref="A20:B20"/>
    <mergeCell ref="A23:C23"/>
    <mergeCell ref="A36:B36"/>
    <mergeCell ref="A38:B3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9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30"/>
  <sheetViews>
    <sheetView workbookViewId="0">
      <selection activeCell="A8" sqref="A8:G8"/>
    </sheetView>
  </sheetViews>
  <sheetFormatPr defaultColWidth="9.140625" defaultRowHeight="15"/>
  <cols>
    <col min="1" max="1" width="60" style="1" customWidth="1"/>
    <col min="2" max="7" width="22.85546875" style="1" customWidth="1"/>
    <col min="8" max="16384" width="9.140625" style="1"/>
  </cols>
  <sheetData>
    <row r="2" spans="1:7" ht="15.75" customHeight="1">
      <c r="B2" s="678" t="s">
        <v>0</v>
      </c>
      <c r="C2" s="678"/>
      <c r="D2" s="678"/>
      <c r="E2" s="678"/>
    </row>
    <row r="3" spans="1:7" ht="15.75">
      <c r="B3" s="671" t="s">
        <v>2</v>
      </c>
      <c r="C3" s="671"/>
      <c r="D3" s="671"/>
      <c r="E3" s="671"/>
    </row>
    <row r="4" spans="1:7" ht="15" customHeight="1">
      <c r="B4" s="679" t="s">
        <v>5</v>
      </c>
      <c r="C4" s="679"/>
      <c r="D4" s="679"/>
      <c r="E4" s="679"/>
    </row>
    <row r="8" spans="1:7" ht="34.5" customHeight="1">
      <c r="A8" s="680" t="s">
        <v>218</v>
      </c>
      <c r="B8" s="680"/>
      <c r="C8" s="680"/>
      <c r="D8" s="680"/>
      <c r="E8" s="680"/>
      <c r="F8" s="680"/>
      <c r="G8" s="680"/>
    </row>
    <row r="9" spans="1:7" ht="30" customHeight="1">
      <c r="A9" s="676" t="s">
        <v>459</v>
      </c>
      <c r="B9" s="681" t="s">
        <v>675</v>
      </c>
      <c r="C9" s="681"/>
      <c r="D9" s="681"/>
      <c r="E9" s="681"/>
      <c r="F9" s="681"/>
      <c r="G9" s="681"/>
    </row>
    <row r="10" spans="1:7" ht="17.25" customHeight="1">
      <c r="A10" s="676"/>
      <c r="B10" s="677" t="s">
        <v>219</v>
      </c>
      <c r="C10" s="677"/>
      <c r="D10" s="677"/>
      <c r="E10" s="677"/>
      <c r="F10" s="677"/>
      <c r="G10" s="677"/>
    </row>
    <row r="11" spans="1:7" ht="17.25" customHeight="1">
      <c r="A11" s="674" t="s">
        <v>220</v>
      </c>
      <c r="B11" s="677"/>
      <c r="C11" s="677"/>
      <c r="D11" s="677"/>
      <c r="E11" s="677"/>
      <c r="F11" s="677"/>
      <c r="G11" s="677"/>
    </row>
    <row r="12" spans="1:7" ht="21.75" customHeight="1">
      <c r="A12" s="674"/>
      <c r="B12" s="134" t="s">
        <v>221</v>
      </c>
      <c r="C12" s="134" t="s">
        <v>222</v>
      </c>
      <c r="D12" s="134" t="s">
        <v>223</v>
      </c>
      <c r="E12" s="134" t="s">
        <v>224</v>
      </c>
      <c r="F12" s="134" t="s">
        <v>225</v>
      </c>
      <c r="G12" s="135" t="s">
        <v>226</v>
      </c>
    </row>
    <row r="13" spans="1:7" ht="51">
      <c r="A13" s="233" t="s">
        <v>460</v>
      </c>
      <c r="B13" s="137">
        <v>133.06</v>
      </c>
      <c r="C13" s="138">
        <v>0</v>
      </c>
      <c r="D13" s="138">
        <v>0</v>
      </c>
      <c r="E13" s="138">
        <v>0.3</v>
      </c>
      <c r="F13" s="138">
        <v>0</v>
      </c>
      <c r="G13" s="138">
        <f>B13-C13+D13+E13-F13</f>
        <v>133.36000000000001</v>
      </c>
    </row>
    <row r="14" spans="1:7" ht="51">
      <c r="A14" s="233" t="s">
        <v>461</v>
      </c>
      <c r="B14" s="137">
        <v>2344.54</v>
      </c>
      <c r="C14" s="138">
        <v>180501.27</v>
      </c>
      <c r="D14" s="138">
        <v>180149.25</v>
      </c>
      <c r="E14" s="138">
        <v>57.72</v>
      </c>
      <c r="F14" s="138">
        <f>6.71+31.1</f>
        <v>37.81</v>
      </c>
      <c r="G14" s="138">
        <f>B14-C14+D14+E14-F14</f>
        <v>2012.4300000000185</v>
      </c>
    </row>
    <row r="15" spans="1:7" ht="51">
      <c r="A15" s="136" t="s">
        <v>227</v>
      </c>
      <c r="B15" s="137">
        <v>0</v>
      </c>
      <c r="C15" s="138">
        <v>0</v>
      </c>
      <c r="D15" s="138">
        <v>0</v>
      </c>
      <c r="E15" s="138">
        <v>0</v>
      </c>
      <c r="F15" s="138">
        <v>0</v>
      </c>
      <c r="G15" s="138">
        <f>B15-C15+D15+E15-F15</f>
        <v>0</v>
      </c>
    </row>
    <row r="16" spans="1:7" ht="51">
      <c r="A16" s="136" t="s">
        <v>227</v>
      </c>
      <c r="B16" s="137">
        <v>0</v>
      </c>
      <c r="C16" s="138">
        <v>0</v>
      </c>
      <c r="D16" s="138">
        <v>0</v>
      </c>
      <c r="E16" s="138">
        <v>0</v>
      </c>
      <c r="F16" s="138">
        <v>0</v>
      </c>
      <c r="G16" s="138">
        <f>B16-C16+D16+E16-F16</f>
        <v>0</v>
      </c>
    </row>
    <row r="17" spans="1:7" ht="51">
      <c r="A17" s="136" t="s">
        <v>227</v>
      </c>
      <c r="B17" s="137">
        <v>0</v>
      </c>
      <c r="C17" s="138">
        <v>0</v>
      </c>
      <c r="D17" s="138">
        <v>0</v>
      </c>
      <c r="E17" s="138">
        <v>0</v>
      </c>
      <c r="F17" s="138">
        <v>0</v>
      </c>
      <c r="G17" s="138">
        <f>B17-C17+D17+E17-F17</f>
        <v>0</v>
      </c>
    </row>
    <row r="18" spans="1:7">
      <c r="A18" s="139" t="s">
        <v>228</v>
      </c>
      <c r="B18" s="140">
        <f>SUM(B13:B17)</f>
        <v>2477.6</v>
      </c>
      <c r="C18" s="140">
        <f t="shared" ref="C18:G18" si="0">SUM(C13:C17)</f>
        <v>180501.27</v>
      </c>
      <c r="D18" s="140">
        <f t="shared" si="0"/>
        <v>180149.25</v>
      </c>
      <c r="E18" s="140">
        <f t="shared" si="0"/>
        <v>58.019999999999996</v>
      </c>
      <c r="F18" s="140">
        <f t="shared" si="0"/>
        <v>37.81</v>
      </c>
      <c r="G18" s="140">
        <f t="shared" si="0"/>
        <v>2145.7900000000186</v>
      </c>
    </row>
    <row r="19" spans="1:7" ht="31.5" customHeight="1">
      <c r="A19" s="674" t="s">
        <v>229</v>
      </c>
      <c r="B19" s="674" t="s">
        <v>229</v>
      </c>
      <c r="C19" s="674"/>
      <c r="D19" s="674"/>
      <c r="E19" s="674"/>
      <c r="F19" s="674"/>
      <c r="G19" s="141">
        <f>G21</f>
        <v>0</v>
      </c>
    </row>
    <row r="20" spans="1:7" ht="22.5" customHeight="1">
      <c r="A20" s="674"/>
      <c r="B20" s="134" t="s">
        <v>221</v>
      </c>
      <c r="C20" s="134" t="s">
        <v>222</v>
      </c>
      <c r="D20" s="134" t="s">
        <v>223</v>
      </c>
      <c r="E20" s="134" t="s">
        <v>224</v>
      </c>
      <c r="F20" s="134" t="s">
        <v>225</v>
      </c>
      <c r="G20" s="135" t="s">
        <v>226</v>
      </c>
    </row>
    <row r="21" spans="1:7" ht="51">
      <c r="A21" s="136" t="s">
        <v>227</v>
      </c>
      <c r="B21" s="137">
        <v>0</v>
      </c>
      <c r="C21" s="138">
        <v>0</v>
      </c>
      <c r="D21" s="138">
        <v>0</v>
      </c>
      <c r="E21" s="138">
        <v>0</v>
      </c>
      <c r="F21" s="138">
        <v>0</v>
      </c>
      <c r="G21" s="138">
        <f>B21-C21+D21+E21-F21</f>
        <v>0</v>
      </c>
    </row>
    <row r="22" spans="1:7" ht="51">
      <c r="A22" s="136" t="s">
        <v>227</v>
      </c>
      <c r="B22" s="137">
        <v>0</v>
      </c>
      <c r="C22" s="138">
        <v>0</v>
      </c>
      <c r="D22" s="138">
        <v>0</v>
      </c>
      <c r="E22" s="138">
        <v>0</v>
      </c>
      <c r="F22" s="138">
        <v>0</v>
      </c>
      <c r="G22" s="138">
        <f>B22-C22+D22+E22-F22</f>
        <v>0</v>
      </c>
    </row>
    <row r="23" spans="1:7">
      <c r="A23" s="139" t="s">
        <v>230</v>
      </c>
      <c r="B23" s="140">
        <f t="shared" ref="B23:G23" si="1">SUM(B21:B22)</f>
        <v>0</v>
      </c>
      <c r="C23" s="140">
        <f t="shared" si="1"/>
        <v>0</v>
      </c>
      <c r="D23" s="140">
        <f t="shared" si="1"/>
        <v>0</v>
      </c>
      <c r="E23" s="140">
        <f t="shared" si="1"/>
        <v>0</v>
      </c>
      <c r="F23" s="140">
        <f t="shared" si="1"/>
        <v>0</v>
      </c>
      <c r="G23" s="140">
        <f t="shared" si="1"/>
        <v>0</v>
      </c>
    </row>
    <row r="24" spans="1:7" ht="17.25">
      <c r="A24" s="142" t="s">
        <v>138</v>
      </c>
      <c r="B24" s="142">
        <f t="shared" ref="B24:G24" si="2">B18+B23</f>
        <v>2477.6</v>
      </c>
      <c r="C24" s="142">
        <f t="shared" si="2"/>
        <v>180501.27</v>
      </c>
      <c r="D24" s="142">
        <f t="shared" si="2"/>
        <v>180149.25</v>
      </c>
      <c r="E24" s="142">
        <f t="shared" si="2"/>
        <v>58.019999999999996</v>
      </c>
      <c r="F24" s="142">
        <f t="shared" si="2"/>
        <v>37.81</v>
      </c>
      <c r="G24" s="142">
        <f t="shared" si="2"/>
        <v>2145.7900000000186</v>
      </c>
    </row>
    <row r="29" spans="1:7" ht="15" customHeight="1">
      <c r="B29" s="675" t="s">
        <v>231</v>
      </c>
      <c r="C29" s="675"/>
      <c r="D29" s="675"/>
    </row>
    <row r="30" spans="1:7" ht="15" customHeight="1">
      <c r="B30" s="675" t="s">
        <v>232</v>
      </c>
      <c r="C30" s="675"/>
      <c r="D30" s="675"/>
    </row>
  </sheetData>
  <sheetProtection password="B090" sheet="1" objects="1" scenarios="1"/>
  <mergeCells count="12">
    <mergeCell ref="B2:E2"/>
    <mergeCell ref="B3:E3"/>
    <mergeCell ref="B4:E4"/>
    <mergeCell ref="A8:G8"/>
    <mergeCell ref="B9:G9"/>
    <mergeCell ref="B19:F19"/>
    <mergeCell ref="B29:D29"/>
    <mergeCell ref="B30:D30"/>
    <mergeCell ref="A9:A10"/>
    <mergeCell ref="A11:A12"/>
    <mergeCell ref="A19:A20"/>
    <mergeCell ref="B10:G1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4" orientation="landscape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G210"/>
  <sheetViews>
    <sheetView topLeftCell="A70" zoomScale="82" zoomScaleNormal="82" workbookViewId="0">
      <selection activeCell="D104" sqref="D104"/>
    </sheetView>
  </sheetViews>
  <sheetFormatPr defaultColWidth="9" defaultRowHeight="15.75"/>
  <cols>
    <col min="1" max="1" width="25.7109375" style="129" customWidth="1"/>
    <col min="2" max="2" width="54.28515625" style="129" customWidth="1"/>
    <col min="3" max="3" width="31.140625" style="130" customWidth="1"/>
    <col min="4" max="4" width="50.140625" style="130" bestFit="1" customWidth="1"/>
    <col min="5" max="5" width="25.28515625" style="270" customWidth="1"/>
    <col min="6" max="6" width="21.5703125" style="270" customWidth="1"/>
    <col min="7" max="7" width="20.28515625" style="270" customWidth="1"/>
    <col min="8" max="8" width="20.140625" style="131" customWidth="1"/>
    <col min="9" max="9" width="19" style="131" customWidth="1"/>
    <col min="10" max="10" width="19.7109375" style="132" customWidth="1"/>
    <col min="11" max="11" width="15" style="132" customWidth="1"/>
    <col min="12" max="12" width="17.7109375" style="132" customWidth="1"/>
    <col min="13" max="13" width="15.85546875" style="132" customWidth="1"/>
    <col min="14" max="14" width="16.85546875" style="132" customWidth="1"/>
    <col min="15" max="15" width="18" style="132" customWidth="1"/>
    <col min="16" max="16" width="15.28515625" style="132" customWidth="1"/>
    <col min="17" max="17" width="14.85546875" style="133" customWidth="1"/>
    <col min="18" max="18" width="13.85546875" style="133" customWidth="1"/>
    <col min="19" max="240" width="9.140625" style="133" customWidth="1"/>
    <col min="241" max="241" width="9" style="133"/>
    <col min="242" max="242" width="6.5703125" style="133" customWidth="1"/>
    <col min="243" max="243" width="79.5703125" style="133" customWidth="1"/>
    <col min="244" max="244" width="23.5703125" style="133" customWidth="1"/>
    <col min="245" max="245" width="27.85546875" style="133" customWidth="1"/>
    <col min="246" max="246" width="22.28515625" style="133" customWidth="1"/>
    <col min="247" max="247" width="23.5703125" style="133" customWidth="1"/>
    <col min="248" max="248" width="39" style="133" customWidth="1"/>
    <col min="249" max="249" width="36.42578125" style="133" customWidth="1"/>
    <col min="250" max="250" width="8" style="133" customWidth="1"/>
    <col min="251" max="251" width="15.5703125" style="133" customWidth="1"/>
    <col min="252" max="252" width="17.28515625" style="133" customWidth="1"/>
    <col min="253" max="253" width="18.85546875" style="133" customWidth="1"/>
    <col min="254" max="254" width="81" style="133" customWidth="1"/>
    <col min="255" max="255" width="14.85546875" style="133" customWidth="1"/>
    <col min="256" max="256" width="15.7109375" style="133" customWidth="1"/>
    <col min="257" max="257" width="17.5703125" style="133" customWidth="1"/>
    <col min="258" max="258" width="18.42578125" style="133" customWidth="1"/>
    <col min="259" max="259" width="16.5703125" style="133" customWidth="1"/>
    <col min="260" max="260" width="17.7109375" style="133" customWidth="1"/>
    <col min="261" max="261" width="17.85546875" style="133" customWidth="1"/>
    <col min="262" max="262" width="18.42578125" style="133" customWidth="1"/>
    <col min="263" max="263" width="15.42578125" style="133" customWidth="1"/>
    <col min="264" max="264" width="14.5703125" style="133" customWidth="1"/>
    <col min="265" max="265" width="15" style="133" customWidth="1"/>
    <col min="266" max="266" width="6.7109375" style="133" customWidth="1"/>
    <col min="267" max="267" width="14.28515625" style="133" customWidth="1"/>
    <col min="268" max="268" width="17.5703125" style="133" customWidth="1"/>
    <col min="269" max="269" width="27.7109375" style="133" customWidth="1"/>
    <col min="270" max="272" width="9.140625" style="133" customWidth="1"/>
    <col min="273" max="273" width="14.85546875" style="133" customWidth="1"/>
    <col min="274" max="274" width="13.85546875" style="133" customWidth="1"/>
    <col min="275" max="496" width="9.140625" style="133" customWidth="1"/>
    <col min="497" max="497" width="9" style="133"/>
    <col min="498" max="498" width="6.5703125" style="133" customWidth="1"/>
    <col min="499" max="499" width="79.5703125" style="133" customWidth="1"/>
    <col min="500" max="500" width="23.5703125" style="133" customWidth="1"/>
    <col min="501" max="501" width="27.85546875" style="133" customWidth="1"/>
    <col min="502" max="502" width="22.28515625" style="133" customWidth="1"/>
    <col min="503" max="503" width="23.5703125" style="133" customWidth="1"/>
    <col min="504" max="504" width="39" style="133" customWidth="1"/>
    <col min="505" max="505" width="36.42578125" style="133" customWidth="1"/>
    <col min="506" max="506" width="8" style="133" customWidth="1"/>
    <col min="507" max="507" width="15.5703125" style="133" customWidth="1"/>
    <col min="508" max="508" width="17.28515625" style="133" customWidth="1"/>
    <col min="509" max="509" width="18.85546875" style="133" customWidth="1"/>
    <col min="510" max="510" width="81" style="133" customWidth="1"/>
    <col min="511" max="511" width="14.85546875" style="133" customWidth="1"/>
    <col min="512" max="512" width="15.7109375" style="133" customWidth="1"/>
    <col min="513" max="513" width="17.5703125" style="133" customWidth="1"/>
    <col min="514" max="514" width="18.42578125" style="133" customWidth="1"/>
    <col min="515" max="515" width="16.5703125" style="133" customWidth="1"/>
    <col min="516" max="516" width="17.7109375" style="133" customWidth="1"/>
    <col min="517" max="517" width="17.85546875" style="133" customWidth="1"/>
    <col min="518" max="518" width="18.42578125" style="133" customWidth="1"/>
    <col min="519" max="519" width="15.42578125" style="133" customWidth="1"/>
    <col min="520" max="520" width="14.5703125" style="133" customWidth="1"/>
    <col min="521" max="521" width="15" style="133" customWidth="1"/>
    <col min="522" max="522" width="6.7109375" style="133" customWidth="1"/>
    <col min="523" max="523" width="14.28515625" style="133" customWidth="1"/>
    <col min="524" max="524" width="17.5703125" style="133" customWidth="1"/>
    <col min="525" max="525" width="27.7109375" style="133" customWidth="1"/>
    <col min="526" max="528" width="9.140625" style="133" customWidth="1"/>
    <col min="529" max="529" width="14.85546875" style="133" customWidth="1"/>
    <col min="530" max="530" width="13.85546875" style="133" customWidth="1"/>
    <col min="531" max="752" width="9.140625" style="133" customWidth="1"/>
    <col min="753" max="753" width="9" style="133"/>
    <col min="754" max="754" width="6.5703125" style="133" customWidth="1"/>
    <col min="755" max="755" width="79.5703125" style="133" customWidth="1"/>
    <col min="756" max="756" width="23.5703125" style="133" customWidth="1"/>
    <col min="757" max="757" width="27.85546875" style="133" customWidth="1"/>
    <col min="758" max="758" width="22.28515625" style="133" customWidth="1"/>
    <col min="759" max="759" width="23.5703125" style="133" customWidth="1"/>
    <col min="760" max="760" width="39" style="133" customWidth="1"/>
    <col min="761" max="761" width="36.42578125" style="133" customWidth="1"/>
    <col min="762" max="762" width="8" style="133" customWidth="1"/>
    <col min="763" max="763" width="15.5703125" style="133" customWidth="1"/>
    <col min="764" max="764" width="17.28515625" style="133" customWidth="1"/>
    <col min="765" max="765" width="18.85546875" style="133" customWidth="1"/>
    <col min="766" max="766" width="81" style="133" customWidth="1"/>
    <col min="767" max="767" width="14.85546875" style="133" customWidth="1"/>
    <col min="768" max="768" width="15.7109375" style="133" customWidth="1"/>
    <col min="769" max="769" width="17.5703125" style="133" customWidth="1"/>
    <col min="770" max="770" width="18.42578125" style="133" customWidth="1"/>
    <col min="771" max="771" width="16.5703125" style="133" customWidth="1"/>
    <col min="772" max="772" width="17.7109375" style="133" customWidth="1"/>
    <col min="773" max="773" width="17.85546875" style="133" customWidth="1"/>
    <col min="774" max="774" width="18.42578125" style="133" customWidth="1"/>
    <col min="775" max="775" width="15.42578125" style="133" customWidth="1"/>
    <col min="776" max="776" width="14.5703125" style="133" customWidth="1"/>
    <col min="777" max="777" width="15" style="133" customWidth="1"/>
    <col min="778" max="778" width="6.7109375" style="133" customWidth="1"/>
    <col min="779" max="779" width="14.28515625" style="133" customWidth="1"/>
    <col min="780" max="780" width="17.5703125" style="133" customWidth="1"/>
    <col min="781" max="781" width="27.7109375" style="133" customWidth="1"/>
    <col min="782" max="784" width="9.140625" style="133" customWidth="1"/>
    <col min="785" max="785" width="14.85546875" style="133" customWidth="1"/>
    <col min="786" max="786" width="13.85546875" style="133" customWidth="1"/>
    <col min="787" max="1008" width="9.140625" style="133" customWidth="1"/>
    <col min="1009" max="1009" width="9" style="133"/>
    <col min="1010" max="1010" width="6.5703125" style="133" customWidth="1"/>
    <col min="1011" max="1011" width="79.5703125" style="133" customWidth="1"/>
    <col min="1012" max="1012" width="23.5703125" style="133" customWidth="1"/>
    <col min="1013" max="1013" width="27.85546875" style="133" customWidth="1"/>
    <col min="1014" max="1014" width="22.28515625" style="133" customWidth="1"/>
    <col min="1015" max="1015" width="23.5703125" style="133" customWidth="1"/>
    <col min="1016" max="1016" width="39" style="133" customWidth="1"/>
    <col min="1017" max="1017" width="36.42578125" style="133" customWidth="1"/>
    <col min="1018" max="1018" width="8" style="133" customWidth="1"/>
    <col min="1019" max="1019" width="15.5703125" style="133" customWidth="1"/>
    <col min="1020" max="1020" width="17.28515625" style="133" customWidth="1"/>
    <col min="1021" max="1021" width="18.85546875" style="133" customWidth="1"/>
    <col min="1022" max="1022" width="81" style="133" customWidth="1"/>
    <col min="1023" max="1023" width="14.85546875" style="133" customWidth="1"/>
    <col min="1024" max="1024" width="15.7109375" style="133" customWidth="1"/>
    <col min="1025" max="1025" width="17.5703125" style="133" customWidth="1"/>
    <col min="1026" max="1026" width="18.42578125" style="133" customWidth="1"/>
    <col min="1027" max="1027" width="16.5703125" style="133" customWidth="1"/>
    <col min="1028" max="1028" width="17.7109375" style="133" customWidth="1"/>
    <col min="1029" max="1029" width="17.85546875" style="133" customWidth="1"/>
    <col min="1030" max="1030" width="18.42578125" style="133" customWidth="1"/>
    <col min="1031" max="1031" width="15.42578125" style="133" customWidth="1"/>
    <col min="1032" max="1032" width="14.5703125" style="133" customWidth="1"/>
    <col min="1033" max="1033" width="15" style="133" customWidth="1"/>
    <col min="1034" max="1034" width="6.7109375" style="133" customWidth="1"/>
    <col min="1035" max="1035" width="14.28515625" style="133" customWidth="1"/>
    <col min="1036" max="1036" width="17.5703125" style="133" customWidth="1"/>
    <col min="1037" max="1037" width="27.7109375" style="133" customWidth="1"/>
    <col min="1038" max="1040" width="9.140625" style="133" customWidth="1"/>
    <col min="1041" max="1041" width="14.85546875" style="133" customWidth="1"/>
    <col min="1042" max="1042" width="13.85546875" style="133" customWidth="1"/>
    <col min="1043" max="1264" width="9.140625" style="133" customWidth="1"/>
    <col min="1265" max="1265" width="9" style="133"/>
    <col min="1266" max="1266" width="6.5703125" style="133" customWidth="1"/>
    <col min="1267" max="1267" width="79.5703125" style="133" customWidth="1"/>
    <col min="1268" max="1268" width="23.5703125" style="133" customWidth="1"/>
    <col min="1269" max="1269" width="27.85546875" style="133" customWidth="1"/>
    <col min="1270" max="1270" width="22.28515625" style="133" customWidth="1"/>
    <col min="1271" max="1271" width="23.5703125" style="133" customWidth="1"/>
    <col min="1272" max="1272" width="39" style="133" customWidth="1"/>
    <col min="1273" max="1273" width="36.42578125" style="133" customWidth="1"/>
    <col min="1274" max="1274" width="8" style="133" customWidth="1"/>
    <col min="1275" max="1275" width="15.5703125" style="133" customWidth="1"/>
    <col min="1276" max="1276" width="17.28515625" style="133" customWidth="1"/>
    <col min="1277" max="1277" width="18.85546875" style="133" customWidth="1"/>
    <col min="1278" max="1278" width="81" style="133" customWidth="1"/>
    <col min="1279" max="1279" width="14.85546875" style="133" customWidth="1"/>
    <col min="1280" max="1280" width="15.7109375" style="133" customWidth="1"/>
    <col min="1281" max="1281" width="17.5703125" style="133" customWidth="1"/>
    <col min="1282" max="1282" width="18.42578125" style="133" customWidth="1"/>
    <col min="1283" max="1283" width="16.5703125" style="133" customWidth="1"/>
    <col min="1284" max="1284" width="17.7109375" style="133" customWidth="1"/>
    <col min="1285" max="1285" width="17.85546875" style="133" customWidth="1"/>
    <col min="1286" max="1286" width="18.42578125" style="133" customWidth="1"/>
    <col min="1287" max="1287" width="15.42578125" style="133" customWidth="1"/>
    <col min="1288" max="1288" width="14.5703125" style="133" customWidth="1"/>
    <col min="1289" max="1289" width="15" style="133" customWidth="1"/>
    <col min="1290" max="1290" width="6.7109375" style="133" customWidth="1"/>
    <col min="1291" max="1291" width="14.28515625" style="133" customWidth="1"/>
    <col min="1292" max="1292" width="17.5703125" style="133" customWidth="1"/>
    <col min="1293" max="1293" width="27.7109375" style="133" customWidth="1"/>
    <col min="1294" max="1296" width="9.140625" style="133" customWidth="1"/>
    <col min="1297" max="1297" width="14.85546875" style="133" customWidth="1"/>
    <col min="1298" max="1298" width="13.85546875" style="133" customWidth="1"/>
    <col min="1299" max="1520" width="9.140625" style="133" customWidth="1"/>
    <col min="1521" max="1521" width="9" style="133"/>
    <col min="1522" max="1522" width="6.5703125" style="133" customWidth="1"/>
    <col min="1523" max="1523" width="79.5703125" style="133" customWidth="1"/>
    <col min="1524" max="1524" width="23.5703125" style="133" customWidth="1"/>
    <col min="1525" max="1525" width="27.85546875" style="133" customWidth="1"/>
    <col min="1526" max="1526" width="22.28515625" style="133" customWidth="1"/>
    <col min="1527" max="1527" width="23.5703125" style="133" customWidth="1"/>
    <col min="1528" max="1528" width="39" style="133" customWidth="1"/>
    <col min="1529" max="1529" width="36.42578125" style="133" customWidth="1"/>
    <col min="1530" max="1530" width="8" style="133" customWidth="1"/>
    <col min="1531" max="1531" width="15.5703125" style="133" customWidth="1"/>
    <col min="1532" max="1532" width="17.28515625" style="133" customWidth="1"/>
    <col min="1533" max="1533" width="18.85546875" style="133" customWidth="1"/>
    <col min="1534" max="1534" width="81" style="133" customWidth="1"/>
    <col min="1535" max="1535" width="14.85546875" style="133" customWidth="1"/>
    <col min="1536" max="1536" width="15.7109375" style="133" customWidth="1"/>
    <col min="1537" max="1537" width="17.5703125" style="133" customWidth="1"/>
    <col min="1538" max="1538" width="18.42578125" style="133" customWidth="1"/>
    <col min="1539" max="1539" width="16.5703125" style="133" customWidth="1"/>
    <col min="1540" max="1540" width="17.7109375" style="133" customWidth="1"/>
    <col min="1541" max="1541" width="17.85546875" style="133" customWidth="1"/>
    <col min="1542" max="1542" width="18.42578125" style="133" customWidth="1"/>
    <col min="1543" max="1543" width="15.42578125" style="133" customWidth="1"/>
    <col min="1544" max="1544" width="14.5703125" style="133" customWidth="1"/>
    <col min="1545" max="1545" width="15" style="133" customWidth="1"/>
    <col min="1546" max="1546" width="6.7109375" style="133" customWidth="1"/>
    <col min="1547" max="1547" width="14.28515625" style="133" customWidth="1"/>
    <col min="1548" max="1548" width="17.5703125" style="133" customWidth="1"/>
    <col min="1549" max="1549" width="27.7109375" style="133" customWidth="1"/>
    <col min="1550" max="1552" width="9.140625" style="133" customWidth="1"/>
    <col min="1553" max="1553" width="14.85546875" style="133" customWidth="1"/>
    <col min="1554" max="1554" width="13.85546875" style="133" customWidth="1"/>
    <col min="1555" max="1776" width="9.140625" style="133" customWidth="1"/>
    <col min="1777" max="1777" width="9" style="133"/>
    <col min="1778" max="1778" width="6.5703125" style="133" customWidth="1"/>
    <col min="1779" max="1779" width="79.5703125" style="133" customWidth="1"/>
    <col min="1780" max="1780" width="23.5703125" style="133" customWidth="1"/>
    <col min="1781" max="1781" width="27.85546875" style="133" customWidth="1"/>
    <col min="1782" max="1782" width="22.28515625" style="133" customWidth="1"/>
    <col min="1783" max="1783" width="23.5703125" style="133" customWidth="1"/>
    <col min="1784" max="1784" width="39" style="133" customWidth="1"/>
    <col min="1785" max="1785" width="36.42578125" style="133" customWidth="1"/>
    <col min="1786" max="1786" width="8" style="133" customWidth="1"/>
    <col min="1787" max="1787" width="15.5703125" style="133" customWidth="1"/>
    <col min="1788" max="1788" width="17.28515625" style="133" customWidth="1"/>
    <col min="1789" max="1789" width="18.85546875" style="133" customWidth="1"/>
    <col min="1790" max="1790" width="81" style="133" customWidth="1"/>
    <col min="1791" max="1791" width="14.85546875" style="133" customWidth="1"/>
    <col min="1792" max="1792" width="15.7109375" style="133" customWidth="1"/>
    <col min="1793" max="1793" width="17.5703125" style="133" customWidth="1"/>
    <col min="1794" max="1794" width="18.42578125" style="133" customWidth="1"/>
    <col min="1795" max="1795" width="16.5703125" style="133" customWidth="1"/>
    <col min="1796" max="1796" width="17.7109375" style="133" customWidth="1"/>
    <col min="1797" max="1797" width="17.85546875" style="133" customWidth="1"/>
    <col min="1798" max="1798" width="18.42578125" style="133" customWidth="1"/>
    <col min="1799" max="1799" width="15.42578125" style="133" customWidth="1"/>
    <col min="1800" max="1800" width="14.5703125" style="133" customWidth="1"/>
    <col min="1801" max="1801" width="15" style="133" customWidth="1"/>
    <col min="1802" max="1802" width="6.7109375" style="133" customWidth="1"/>
    <col min="1803" max="1803" width="14.28515625" style="133" customWidth="1"/>
    <col min="1804" max="1804" width="17.5703125" style="133" customWidth="1"/>
    <col min="1805" max="1805" width="27.7109375" style="133" customWidth="1"/>
    <col min="1806" max="1808" width="9.140625" style="133" customWidth="1"/>
    <col min="1809" max="1809" width="14.85546875" style="133" customWidth="1"/>
    <col min="1810" max="1810" width="13.85546875" style="133" customWidth="1"/>
    <col min="1811" max="2032" width="9.140625" style="133" customWidth="1"/>
    <col min="2033" max="2033" width="9" style="133"/>
    <col min="2034" max="2034" width="6.5703125" style="133" customWidth="1"/>
    <col min="2035" max="2035" width="79.5703125" style="133" customWidth="1"/>
    <col min="2036" max="2036" width="23.5703125" style="133" customWidth="1"/>
    <col min="2037" max="2037" width="27.85546875" style="133" customWidth="1"/>
    <col min="2038" max="2038" width="22.28515625" style="133" customWidth="1"/>
    <col min="2039" max="2039" width="23.5703125" style="133" customWidth="1"/>
    <col min="2040" max="2040" width="39" style="133" customWidth="1"/>
    <col min="2041" max="2041" width="36.42578125" style="133" customWidth="1"/>
    <col min="2042" max="2042" width="8" style="133" customWidth="1"/>
    <col min="2043" max="2043" width="15.5703125" style="133" customWidth="1"/>
    <col min="2044" max="2044" width="17.28515625" style="133" customWidth="1"/>
    <col min="2045" max="2045" width="18.85546875" style="133" customWidth="1"/>
    <col min="2046" max="2046" width="81" style="133" customWidth="1"/>
    <col min="2047" max="2047" width="14.85546875" style="133" customWidth="1"/>
    <col min="2048" max="2048" width="15.7109375" style="133" customWidth="1"/>
    <col min="2049" max="2049" width="17.5703125" style="133" customWidth="1"/>
    <col min="2050" max="2050" width="18.42578125" style="133" customWidth="1"/>
    <col min="2051" max="2051" width="16.5703125" style="133" customWidth="1"/>
    <col min="2052" max="2052" width="17.7109375" style="133" customWidth="1"/>
    <col min="2053" max="2053" width="17.85546875" style="133" customWidth="1"/>
    <col min="2054" max="2054" width="18.42578125" style="133" customWidth="1"/>
    <col min="2055" max="2055" width="15.42578125" style="133" customWidth="1"/>
    <col min="2056" max="2056" width="14.5703125" style="133" customWidth="1"/>
    <col min="2057" max="2057" width="15" style="133" customWidth="1"/>
    <col min="2058" max="2058" width="6.7109375" style="133" customWidth="1"/>
    <col min="2059" max="2059" width="14.28515625" style="133" customWidth="1"/>
    <col min="2060" max="2060" width="17.5703125" style="133" customWidth="1"/>
    <col min="2061" max="2061" width="27.7109375" style="133" customWidth="1"/>
    <col min="2062" max="2064" width="9.140625" style="133" customWidth="1"/>
    <col min="2065" max="2065" width="14.85546875" style="133" customWidth="1"/>
    <col min="2066" max="2066" width="13.85546875" style="133" customWidth="1"/>
    <col min="2067" max="2288" width="9.140625" style="133" customWidth="1"/>
    <col min="2289" max="2289" width="9" style="133"/>
    <col min="2290" max="2290" width="6.5703125" style="133" customWidth="1"/>
    <col min="2291" max="2291" width="79.5703125" style="133" customWidth="1"/>
    <col min="2292" max="2292" width="23.5703125" style="133" customWidth="1"/>
    <col min="2293" max="2293" width="27.85546875" style="133" customWidth="1"/>
    <col min="2294" max="2294" width="22.28515625" style="133" customWidth="1"/>
    <col min="2295" max="2295" width="23.5703125" style="133" customWidth="1"/>
    <col min="2296" max="2296" width="39" style="133" customWidth="1"/>
    <col min="2297" max="2297" width="36.42578125" style="133" customWidth="1"/>
    <col min="2298" max="2298" width="8" style="133" customWidth="1"/>
    <col min="2299" max="2299" width="15.5703125" style="133" customWidth="1"/>
    <col min="2300" max="2300" width="17.28515625" style="133" customWidth="1"/>
    <col min="2301" max="2301" width="18.85546875" style="133" customWidth="1"/>
    <col min="2302" max="2302" width="81" style="133" customWidth="1"/>
    <col min="2303" max="2303" width="14.85546875" style="133" customWidth="1"/>
    <col min="2304" max="2304" width="15.7109375" style="133" customWidth="1"/>
    <col min="2305" max="2305" width="17.5703125" style="133" customWidth="1"/>
    <col min="2306" max="2306" width="18.42578125" style="133" customWidth="1"/>
    <col min="2307" max="2307" width="16.5703125" style="133" customWidth="1"/>
    <col min="2308" max="2308" width="17.7109375" style="133" customWidth="1"/>
    <col min="2309" max="2309" width="17.85546875" style="133" customWidth="1"/>
    <col min="2310" max="2310" width="18.42578125" style="133" customWidth="1"/>
    <col min="2311" max="2311" width="15.42578125" style="133" customWidth="1"/>
    <col min="2312" max="2312" width="14.5703125" style="133" customWidth="1"/>
    <col min="2313" max="2313" width="15" style="133" customWidth="1"/>
    <col min="2314" max="2314" width="6.7109375" style="133" customWidth="1"/>
    <col min="2315" max="2315" width="14.28515625" style="133" customWidth="1"/>
    <col min="2316" max="2316" width="17.5703125" style="133" customWidth="1"/>
    <col min="2317" max="2317" width="27.7109375" style="133" customWidth="1"/>
    <col min="2318" max="2320" width="9.140625" style="133" customWidth="1"/>
    <col min="2321" max="2321" width="14.85546875" style="133" customWidth="1"/>
    <col min="2322" max="2322" width="13.85546875" style="133" customWidth="1"/>
    <col min="2323" max="2544" width="9.140625" style="133" customWidth="1"/>
    <col min="2545" max="2545" width="9" style="133"/>
    <col min="2546" max="2546" width="6.5703125" style="133" customWidth="1"/>
    <col min="2547" max="2547" width="79.5703125" style="133" customWidth="1"/>
    <col min="2548" max="2548" width="23.5703125" style="133" customWidth="1"/>
    <col min="2549" max="2549" width="27.85546875" style="133" customWidth="1"/>
    <col min="2550" max="2550" width="22.28515625" style="133" customWidth="1"/>
    <col min="2551" max="2551" width="23.5703125" style="133" customWidth="1"/>
    <col min="2552" max="2552" width="39" style="133" customWidth="1"/>
    <col min="2553" max="2553" width="36.42578125" style="133" customWidth="1"/>
    <col min="2554" max="2554" width="8" style="133" customWidth="1"/>
    <col min="2555" max="2555" width="15.5703125" style="133" customWidth="1"/>
    <col min="2556" max="2556" width="17.28515625" style="133" customWidth="1"/>
    <col min="2557" max="2557" width="18.85546875" style="133" customWidth="1"/>
    <col min="2558" max="2558" width="81" style="133" customWidth="1"/>
    <col min="2559" max="2559" width="14.85546875" style="133" customWidth="1"/>
    <col min="2560" max="2560" width="15.7109375" style="133" customWidth="1"/>
    <col min="2561" max="2561" width="17.5703125" style="133" customWidth="1"/>
    <col min="2562" max="2562" width="18.42578125" style="133" customWidth="1"/>
    <col min="2563" max="2563" width="16.5703125" style="133" customWidth="1"/>
    <col min="2564" max="2564" width="17.7109375" style="133" customWidth="1"/>
    <col min="2565" max="2565" width="17.85546875" style="133" customWidth="1"/>
    <col min="2566" max="2566" width="18.42578125" style="133" customWidth="1"/>
    <col min="2567" max="2567" width="15.42578125" style="133" customWidth="1"/>
    <col min="2568" max="2568" width="14.5703125" style="133" customWidth="1"/>
    <col min="2569" max="2569" width="15" style="133" customWidth="1"/>
    <col min="2570" max="2570" width="6.7109375" style="133" customWidth="1"/>
    <col min="2571" max="2571" width="14.28515625" style="133" customWidth="1"/>
    <col min="2572" max="2572" width="17.5703125" style="133" customWidth="1"/>
    <col min="2573" max="2573" width="27.7109375" style="133" customWidth="1"/>
    <col min="2574" max="2576" width="9.140625" style="133" customWidth="1"/>
    <col min="2577" max="2577" width="14.85546875" style="133" customWidth="1"/>
    <col min="2578" max="2578" width="13.85546875" style="133" customWidth="1"/>
    <col min="2579" max="2800" width="9.140625" style="133" customWidth="1"/>
    <col min="2801" max="2801" width="9" style="133"/>
    <col min="2802" max="2802" width="6.5703125" style="133" customWidth="1"/>
    <col min="2803" max="2803" width="79.5703125" style="133" customWidth="1"/>
    <col min="2804" max="2804" width="23.5703125" style="133" customWidth="1"/>
    <col min="2805" max="2805" width="27.85546875" style="133" customWidth="1"/>
    <col min="2806" max="2806" width="22.28515625" style="133" customWidth="1"/>
    <col min="2807" max="2807" width="23.5703125" style="133" customWidth="1"/>
    <col min="2808" max="2808" width="39" style="133" customWidth="1"/>
    <col min="2809" max="2809" width="36.42578125" style="133" customWidth="1"/>
    <col min="2810" max="2810" width="8" style="133" customWidth="1"/>
    <col min="2811" max="2811" width="15.5703125" style="133" customWidth="1"/>
    <col min="2812" max="2812" width="17.28515625" style="133" customWidth="1"/>
    <col min="2813" max="2813" width="18.85546875" style="133" customWidth="1"/>
    <col min="2814" max="2814" width="81" style="133" customWidth="1"/>
    <col min="2815" max="2815" width="14.85546875" style="133" customWidth="1"/>
    <col min="2816" max="2816" width="15.7109375" style="133" customWidth="1"/>
    <col min="2817" max="2817" width="17.5703125" style="133" customWidth="1"/>
    <col min="2818" max="2818" width="18.42578125" style="133" customWidth="1"/>
    <col min="2819" max="2819" width="16.5703125" style="133" customWidth="1"/>
    <col min="2820" max="2820" width="17.7109375" style="133" customWidth="1"/>
    <col min="2821" max="2821" width="17.85546875" style="133" customWidth="1"/>
    <col min="2822" max="2822" width="18.42578125" style="133" customWidth="1"/>
    <col min="2823" max="2823" width="15.42578125" style="133" customWidth="1"/>
    <col min="2824" max="2824" width="14.5703125" style="133" customWidth="1"/>
    <col min="2825" max="2825" width="15" style="133" customWidth="1"/>
    <col min="2826" max="2826" width="6.7109375" style="133" customWidth="1"/>
    <col min="2827" max="2827" width="14.28515625" style="133" customWidth="1"/>
    <col min="2828" max="2828" width="17.5703125" style="133" customWidth="1"/>
    <col min="2829" max="2829" width="27.7109375" style="133" customWidth="1"/>
    <col min="2830" max="2832" width="9.140625" style="133" customWidth="1"/>
    <col min="2833" max="2833" width="14.85546875" style="133" customWidth="1"/>
    <col min="2834" max="2834" width="13.85546875" style="133" customWidth="1"/>
    <col min="2835" max="3056" width="9.140625" style="133" customWidth="1"/>
    <col min="3057" max="3057" width="9" style="133"/>
    <col min="3058" max="3058" width="6.5703125" style="133" customWidth="1"/>
    <col min="3059" max="3059" width="79.5703125" style="133" customWidth="1"/>
    <col min="3060" max="3060" width="23.5703125" style="133" customWidth="1"/>
    <col min="3061" max="3061" width="27.85546875" style="133" customWidth="1"/>
    <col min="3062" max="3062" width="22.28515625" style="133" customWidth="1"/>
    <col min="3063" max="3063" width="23.5703125" style="133" customWidth="1"/>
    <col min="3064" max="3064" width="39" style="133" customWidth="1"/>
    <col min="3065" max="3065" width="36.42578125" style="133" customWidth="1"/>
    <col min="3066" max="3066" width="8" style="133" customWidth="1"/>
    <col min="3067" max="3067" width="15.5703125" style="133" customWidth="1"/>
    <col min="3068" max="3068" width="17.28515625" style="133" customWidth="1"/>
    <col min="3069" max="3069" width="18.85546875" style="133" customWidth="1"/>
    <col min="3070" max="3070" width="81" style="133" customWidth="1"/>
    <col min="3071" max="3071" width="14.85546875" style="133" customWidth="1"/>
    <col min="3072" max="3072" width="15.7109375" style="133" customWidth="1"/>
    <col min="3073" max="3073" width="17.5703125" style="133" customWidth="1"/>
    <col min="3074" max="3074" width="18.42578125" style="133" customWidth="1"/>
    <col min="3075" max="3075" width="16.5703125" style="133" customWidth="1"/>
    <col min="3076" max="3076" width="17.7109375" style="133" customWidth="1"/>
    <col min="3077" max="3077" width="17.85546875" style="133" customWidth="1"/>
    <col min="3078" max="3078" width="18.42578125" style="133" customWidth="1"/>
    <col min="3079" max="3079" width="15.42578125" style="133" customWidth="1"/>
    <col min="3080" max="3080" width="14.5703125" style="133" customWidth="1"/>
    <col min="3081" max="3081" width="15" style="133" customWidth="1"/>
    <col min="3082" max="3082" width="6.7109375" style="133" customWidth="1"/>
    <col min="3083" max="3083" width="14.28515625" style="133" customWidth="1"/>
    <col min="3084" max="3084" width="17.5703125" style="133" customWidth="1"/>
    <col min="3085" max="3085" width="27.7109375" style="133" customWidth="1"/>
    <col min="3086" max="3088" width="9.140625" style="133" customWidth="1"/>
    <col min="3089" max="3089" width="14.85546875" style="133" customWidth="1"/>
    <col min="3090" max="3090" width="13.85546875" style="133" customWidth="1"/>
    <col min="3091" max="3312" width="9.140625" style="133" customWidth="1"/>
    <col min="3313" max="3313" width="9" style="133"/>
    <col min="3314" max="3314" width="6.5703125" style="133" customWidth="1"/>
    <col min="3315" max="3315" width="79.5703125" style="133" customWidth="1"/>
    <col min="3316" max="3316" width="23.5703125" style="133" customWidth="1"/>
    <col min="3317" max="3317" width="27.85546875" style="133" customWidth="1"/>
    <col min="3318" max="3318" width="22.28515625" style="133" customWidth="1"/>
    <col min="3319" max="3319" width="23.5703125" style="133" customWidth="1"/>
    <col min="3320" max="3320" width="39" style="133" customWidth="1"/>
    <col min="3321" max="3321" width="36.42578125" style="133" customWidth="1"/>
    <col min="3322" max="3322" width="8" style="133" customWidth="1"/>
    <col min="3323" max="3323" width="15.5703125" style="133" customWidth="1"/>
    <col min="3324" max="3324" width="17.28515625" style="133" customWidth="1"/>
    <col min="3325" max="3325" width="18.85546875" style="133" customWidth="1"/>
    <col min="3326" max="3326" width="81" style="133" customWidth="1"/>
    <col min="3327" max="3327" width="14.85546875" style="133" customWidth="1"/>
    <col min="3328" max="3328" width="15.7109375" style="133" customWidth="1"/>
    <col min="3329" max="3329" width="17.5703125" style="133" customWidth="1"/>
    <col min="3330" max="3330" width="18.42578125" style="133" customWidth="1"/>
    <col min="3331" max="3331" width="16.5703125" style="133" customWidth="1"/>
    <col min="3332" max="3332" width="17.7109375" style="133" customWidth="1"/>
    <col min="3333" max="3333" width="17.85546875" style="133" customWidth="1"/>
    <col min="3334" max="3334" width="18.42578125" style="133" customWidth="1"/>
    <col min="3335" max="3335" width="15.42578125" style="133" customWidth="1"/>
    <col min="3336" max="3336" width="14.5703125" style="133" customWidth="1"/>
    <col min="3337" max="3337" width="15" style="133" customWidth="1"/>
    <col min="3338" max="3338" width="6.7109375" style="133" customWidth="1"/>
    <col min="3339" max="3339" width="14.28515625" style="133" customWidth="1"/>
    <col min="3340" max="3340" width="17.5703125" style="133" customWidth="1"/>
    <col min="3341" max="3341" width="27.7109375" style="133" customWidth="1"/>
    <col min="3342" max="3344" width="9.140625" style="133" customWidth="1"/>
    <col min="3345" max="3345" width="14.85546875" style="133" customWidth="1"/>
    <col min="3346" max="3346" width="13.85546875" style="133" customWidth="1"/>
    <col min="3347" max="3568" width="9.140625" style="133" customWidth="1"/>
    <col min="3569" max="3569" width="9" style="133"/>
    <col min="3570" max="3570" width="6.5703125" style="133" customWidth="1"/>
    <col min="3571" max="3571" width="79.5703125" style="133" customWidth="1"/>
    <col min="3572" max="3572" width="23.5703125" style="133" customWidth="1"/>
    <col min="3573" max="3573" width="27.85546875" style="133" customWidth="1"/>
    <col min="3574" max="3574" width="22.28515625" style="133" customWidth="1"/>
    <col min="3575" max="3575" width="23.5703125" style="133" customWidth="1"/>
    <col min="3576" max="3576" width="39" style="133" customWidth="1"/>
    <col min="3577" max="3577" width="36.42578125" style="133" customWidth="1"/>
    <col min="3578" max="3578" width="8" style="133" customWidth="1"/>
    <col min="3579" max="3579" width="15.5703125" style="133" customWidth="1"/>
    <col min="3580" max="3580" width="17.28515625" style="133" customWidth="1"/>
    <col min="3581" max="3581" width="18.85546875" style="133" customWidth="1"/>
    <col min="3582" max="3582" width="81" style="133" customWidth="1"/>
    <col min="3583" max="3583" width="14.85546875" style="133" customWidth="1"/>
    <col min="3584" max="3584" width="15.7109375" style="133" customWidth="1"/>
    <col min="3585" max="3585" width="17.5703125" style="133" customWidth="1"/>
    <col min="3586" max="3586" width="18.42578125" style="133" customWidth="1"/>
    <col min="3587" max="3587" width="16.5703125" style="133" customWidth="1"/>
    <col min="3588" max="3588" width="17.7109375" style="133" customWidth="1"/>
    <col min="3589" max="3589" width="17.85546875" style="133" customWidth="1"/>
    <col min="3590" max="3590" width="18.42578125" style="133" customWidth="1"/>
    <col min="3591" max="3591" width="15.42578125" style="133" customWidth="1"/>
    <col min="3592" max="3592" width="14.5703125" style="133" customWidth="1"/>
    <col min="3593" max="3593" width="15" style="133" customWidth="1"/>
    <col min="3594" max="3594" width="6.7109375" style="133" customWidth="1"/>
    <col min="3595" max="3595" width="14.28515625" style="133" customWidth="1"/>
    <col min="3596" max="3596" width="17.5703125" style="133" customWidth="1"/>
    <col min="3597" max="3597" width="27.7109375" style="133" customWidth="1"/>
    <col min="3598" max="3600" width="9.140625" style="133" customWidth="1"/>
    <col min="3601" max="3601" width="14.85546875" style="133" customWidth="1"/>
    <col min="3602" max="3602" width="13.85546875" style="133" customWidth="1"/>
    <col min="3603" max="3824" width="9.140625" style="133" customWidth="1"/>
    <col min="3825" max="3825" width="9" style="133"/>
    <col min="3826" max="3826" width="6.5703125" style="133" customWidth="1"/>
    <col min="3827" max="3827" width="79.5703125" style="133" customWidth="1"/>
    <col min="3828" max="3828" width="23.5703125" style="133" customWidth="1"/>
    <col min="3829" max="3829" width="27.85546875" style="133" customWidth="1"/>
    <col min="3830" max="3830" width="22.28515625" style="133" customWidth="1"/>
    <col min="3831" max="3831" width="23.5703125" style="133" customWidth="1"/>
    <col min="3832" max="3832" width="39" style="133" customWidth="1"/>
    <col min="3833" max="3833" width="36.42578125" style="133" customWidth="1"/>
    <col min="3834" max="3834" width="8" style="133" customWidth="1"/>
    <col min="3835" max="3835" width="15.5703125" style="133" customWidth="1"/>
    <col min="3836" max="3836" width="17.28515625" style="133" customWidth="1"/>
    <col min="3837" max="3837" width="18.85546875" style="133" customWidth="1"/>
    <col min="3838" max="3838" width="81" style="133" customWidth="1"/>
    <col min="3839" max="3839" width="14.85546875" style="133" customWidth="1"/>
    <col min="3840" max="3840" width="15.7109375" style="133" customWidth="1"/>
    <col min="3841" max="3841" width="17.5703125" style="133" customWidth="1"/>
    <col min="3842" max="3842" width="18.42578125" style="133" customWidth="1"/>
    <col min="3843" max="3843" width="16.5703125" style="133" customWidth="1"/>
    <col min="3844" max="3844" width="17.7109375" style="133" customWidth="1"/>
    <col min="3845" max="3845" width="17.85546875" style="133" customWidth="1"/>
    <col min="3846" max="3846" width="18.42578125" style="133" customWidth="1"/>
    <col min="3847" max="3847" width="15.42578125" style="133" customWidth="1"/>
    <col min="3848" max="3848" width="14.5703125" style="133" customWidth="1"/>
    <col min="3849" max="3849" width="15" style="133" customWidth="1"/>
    <col min="3850" max="3850" width="6.7109375" style="133" customWidth="1"/>
    <col min="3851" max="3851" width="14.28515625" style="133" customWidth="1"/>
    <col min="3852" max="3852" width="17.5703125" style="133" customWidth="1"/>
    <col min="3853" max="3853" width="27.7109375" style="133" customWidth="1"/>
    <col min="3854" max="3856" width="9.140625" style="133" customWidth="1"/>
    <col min="3857" max="3857" width="14.85546875" style="133" customWidth="1"/>
    <col min="3858" max="3858" width="13.85546875" style="133" customWidth="1"/>
    <col min="3859" max="4080" width="9.140625" style="133" customWidth="1"/>
    <col min="4081" max="4081" width="9" style="133"/>
    <col min="4082" max="4082" width="6.5703125" style="133" customWidth="1"/>
    <col min="4083" max="4083" width="79.5703125" style="133" customWidth="1"/>
    <col min="4084" max="4084" width="23.5703125" style="133" customWidth="1"/>
    <col min="4085" max="4085" width="27.85546875" style="133" customWidth="1"/>
    <col min="4086" max="4086" width="22.28515625" style="133" customWidth="1"/>
    <col min="4087" max="4087" width="23.5703125" style="133" customWidth="1"/>
    <col min="4088" max="4088" width="39" style="133" customWidth="1"/>
    <col min="4089" max="4089" width="36.42578125" style="133" customWidth="1"/>
    <col min="4090" max="4090" width="8" style="133" customWidth="1"/>
    <col min="4091" max="4091" width="15.5703125" style="133" customWidth="1"/>
    <col min="4092" max="4092" width="17.28515625" style="133" customWidth="1"/>
    <col min="4093" max="4093" width="18.85546875" style="133" customWidth="1"/>
    <col min="4094" max="4094" width="81" style="133" customWidth="1"/>
    <col min="4095" max="4095" width="14.85546875" style="133" customWidth="1"/>
    <col min="4096" max="4096" width="15.7109375" style="133" customWidth="1"/>
    <col min="4097" max="4097" width="17.5703125" style="133" customWidth="1"/>
    <col min="4098" max="4098" width="18.42578125" style="133" customWidth="1"/>
    <col min="4099" max="4099" width="16.5703125" style="133" customWidth="1"/>
    <col min="4100" max="4100" width="17.7109375" style="133" customWidth="1"/>
    <col min="4101" max="4101" width="17.85546875" style="133" customWidth="1"/>
    <col min="4102" max="4102" width="18.42578125" style="133" customWidth="1"/>
    <col min="4103" max="4103" width="15.42578125" style="133" customWidth="1"/>
    <col min="4104" max="4104" width="14.5703125" style="133" customWidth="1"/>
    <col min="4105" max="4105" width="15" style="133" customWidth="1"/>
    <col min="4106" max="4106" width="6.7109375" style="133" customWidth="1"/>
    <col min="4107" max="4107" width="14.28515625" style="133" customWidth="1"/>
    <col min="4108" max="4108" width="17.5703125" style="133" customWidth="1"/>
    <col min="4109" max="4109" width="27.7109375" style="133" customWidth="1"/>
    <col min="4110" max="4112" width="9.140625" style="133" customWidth="1"/>
    <col min="4113" max="4113" width="14.85546875" style="133" customWidth="1"/>
    <col min="4114" max="4114" width="13.85546875" style="133" customWidth="1"/>
    <col min="4115" max="4336" width="9.140625" style="133" customWidth="1"/>
    <col min="4337" max="4337" width="9" style="133"/>
    <col min="4338" max="4338" width="6.5703125" style="133" customWidth="1"/>
    <col min="4339" max="4339" width="79.5703125" style="133" customWidth="1"/>
    <col min="4340" max="4340" width="23.5703125" style="133" customWidth="1"/>
    <col min="4341" max="4341" width="27.85546875" style="133" customWidth="1"/>
    <col min="4342" max="4342" width="22.28515625" style="133" customWidth="1"/>
    <col min="4343" max="4343" width="23.5703125" style="133" customWidth="1"/>
    <col min="4344" max="4344" width="39" style="133" customWidth="1"/>
    <col min="4345" max="4345" width="36.42578125" style="133" customWidth="1"/>
    <col min="4346" max="4346" width="8" style="133" customWidth="1"/>
    <col min="4347" max="4347" width="15.5703125" style="133" customWidth="1"/>
    <col min="4348" max="4348" width="17.28515625" style="133" customWidth="1"/>
    <col min="4349" max="4349" width="18.85546875" style="133" customWidth="1"/>
    <col min="4350" max="4350" width="81" style="133" customWidth="1"/>
    <col min="4351" max="4351" width="14.85546875" style="133" customWidth="1"/>
    <col min="4352" max="4352" width="15.7109375" style="133" customWidth="1"/>
    <col min="4353" max="4353" width="17.5703125" style="133" customWidth="1"/>
    <col min="4354" max="4354" width="18.42578125" style="133" customWidth="1"/>
    <col min="4355" max="4355" width="16.5703125" style="133" customWidth="1"/>
    <col min="4356" max="4356" width="17.7109375" style="133" customWidth="1"/>
    <col min="4357" max="4357" width="17.85546875" style="133" customWidth="1"/>
    <col min="4358" max="4358" width="18.42578125" style="133" customWidth="1"/>
    <col min="4359" max="4359" width="15.42578125" style="133" customWidth="1"/>
    <col min="4360" max="4360" width="14.5703125" style="133" customWidth="1"/>
    <col min="4361" max="4361" width="15" style="133" customWidth="1"/>
    <col min="4362" max="4362" width="6.7109375" style="133" customWidth="1"/>
    <col min="4363" max="4363" width="14.28515625" style="133" customWidth="1"/>
    <col min="4364" max="4364" width="17.5703125" style="133" customWidth="1"/>
    <col min="4365" max="4365" width="27.7109375" style="133" customWidth="1"/>
    <col min="4366" max="4368" width="9.140625" style="133" customWidth="1"/>
    <col min="4369" max="4369" width="14.85546875" style="133" customWidth="1"/>
    <col min="4370" max="4370" width="13.85546875" style="133" customWidth="1"/>
    <col min="4371" max="4592" width="9.140625" style="133" customWidth="1"/>
    <col min="4593" max="4593" width="9" style="133"/>
    <col min="4594" max="4594" width="6.5703125" style="133" customWidth="1"/>
    <col min="4595" max="4595" width="79.5703125" style="133" customWidth="1"/>
    <col min="4596" max="4596" width="23.5703125" style="133" customWidth="1"/>
    <col min="4597" max="4597" width="27.85546875" style="133" customWidth="1"/>
    <col min="4598" max="4598" width="22.28515625" style="133" customWidth="1"/>
    <col min="4599" max="4599" width="23.5703125" style="133" customWidth="1"/>
    <col min="4600" max="4600" width="39" style="133" customWidth="1"/>
    <col min="4601" max="4601" width="36.42578125" style="133" customWidth="1"/>
    <col min="4602" max="4602" width="8" style="133" customWidth="1"/>
    <col min="4603" max="4603" width="15.5703125" style="133" customWidth="1"/>
    <col min="4604" max="4604" width="17.28515625" style="133" customWidth="1"/>
    <col min="4605" max="4605" width="18.85546875" style="133" customWidth="1"/>
    <col min="4606" max="4606" width="81" style="133" customWidth="1"/>
    <col min="4607" max="4607" width="14.85546875" style="133" customWidth="1"/>
    <col min="4608" max="4608" width="15.7109375" style="133" customWidth="1"/>
    <col min="4609" max="4609" width="17.5703125" style="133" customWidth="1"/>
    <col min="4610" max="4610" width="18.42578125" style="133" customWidth="1"/>
    <col min="4611" max="4611" width="16.5703125" style="133" customWidth="1"/>
    <col min="4612" max="4612" width="17.7109375" style="133" customWidth="1"/>
    <col min="4613" max="4613" width="17.85546875" style="133" customWidth="1"/>
    <col min="4614" max="4614" width="18.42578125" style="133" customWidth="1"/>
    <col min="4615" max="4615" width="15.42578125" style="133" customWidth="1"/>
    <col min="4616" max="4616" width="14.5703125" style="133" customWidth="1"/>
    <col min="4617" max="4617" width="15" style="133" customWidth="1"/>
    <col min="4618" max="4618" width="6.7109375" style="133" customWidth="1"/>
    <col min="4619" max="4619" width="14.28515625" style="133" customWidth="1"/>
    <col min="4620" max="4620" width="17.5703125" style="133" customWidth="1"/>
    <col min="4621" max="4621" width="27.7109375" style="133" customWidth="1"/>
    <col min="4622" max="4624" width="9.140625" style="133" customWidth="1"/>
    <col min="4625" max="4625" width="14.85546875" style="133" customWidth="1"/>
    <col min="4626" max="4626" width="13.85546875" style="133" customWidth="1"/>
    <col min="4627" max="4848" width="9.140625" style="133" customWidth="1"/>
    <col min="4849" max="4849" width="9" style="133"/>
    <col min="4850" max="4850" width="6.5703125" style="133" customWidth="1"/>
    <col min="4851" max="4851" width="79.5703125" style="133" customWidth="1"/>
    <col min="4852" max="4852" width="23.5703125" style="133" customWidth="1"/>
    <col min="4853" max="4853" width="27.85546875" style="133" customWidth="1"/>
    <col min="4854" max="4854" width="22.28515625" style="133" customWidth="1"/>
    <col min="4855" max="4855" width="23.5703125" style="133" customWidth="1"/>
    <col min="4856" max="4856" width="39" style="133" customWidth="1"/>
    <col min="4857" max="4857" width="36.42578125" style="133" customWidth="1"/>
    <col min="4858" max="4858" width="8" style="133" customWidth="1"/>
    <col min="4859" max="4859" width="15.5703125" style="133" customWidth="1"/>
    <col min="4860" max="4860" width="17.28515625" style="133" customWidth="1"/>
    <col min="4861" max="4861" width="18.85546875" style="133" customWidth="1"/>
    <col min="4862" max="4862" width="81" style="133" customWidth="1"/>
    <col min="4863" max="4863" width="14.85546875" style="133" customWidth="1"/>
    <col min="4864" max="4864" width="15.7109375" style="133" customWidth="1"/>
    <col min="4865" max="4865" width="17.5703125" style="133" customWidth="1"/>
    <col min="4866" max="4866" width="18.42578125" style="133" customWidth="1"/>
    <col min="4867" max="4867" width="16.5703125" style="133" customWidth="1"/>
    <col min="4868" max="4868" width="17.7109375" style="133" customWidth="1"/>
    <col min="4869" max="4869" width="17.85546875" style="133" customWidth="1"/>
    <col min="4870" max="4870" width="18.42578125" style="133" customWidth="1"/>
    <col min="4871" max="4871" width="15.42578125" style="133" customWidth="1"/>
    <col min="4872" max="4872" width="14.5703125" style="133" customWidth="1"/>
    <col min="4873" max="4873" width="15" style="133" customWidth="1"/>
    <col min="4874" max="4874" width="6.7109375" style="133" customWidth="1"/>
    <col min="4875" max="4875" width="14.28515625" style="133" customWidth="1"/>
    <col min="4876" max="4876" width="17.5703125" style="133" customWidth="1"/>
    <col min="4877" max="4877" width="27.7109375" style="133" customWidth="1"/>
    <col min="4878" max="4880" width="9.140625" style="133" customWidth="1"/>
    <col min="4881" max="4881" width="14.85546875" style="133" customWidth="1"/>
    <col min="4882" max="4882" width="13.85546875" style="133" customWidth="1"/>
    <col min="4883" max="5104" width="9.140625" style="133" customWidth="1"/>
    <col min="5105" max="5105" width="9" style="133"/>
    <col min="5106" max="5106" width="6.5703125" style="133" customWidth="1"/>
    <col min="5107" max="5107" width="79.5703125" style="133" customWidth="1"/>
    <col min="5108" max="5108" width="23.5703125" style="133" customWidth="1"/>
    <col min="5109" max="5109" width="27.85546875" style="133" customWidth="1"/>
    <col min="5110" max="5110" width="22.28515625" style="133" customWidth="1"/>
    <col min="5111" max="5111" width="23.5703125" style="133" customWidth="1"/>
    <col min="5112" max="5112" width="39" style="133" customWidth="1"/>
    <col min="5113" max="5113" width="36.42578125" style="133" customWidth="1"/>
    <col min="5114" max="5114" width="8" style="133" customWidth="1"/>
    <col min="5115" max="5115" width="15.5703125" style="133" customWidth="1"/>
    <col min="5116" max="5116" width="17.28515625" style="133" customWidth="1"/>
    <col min="5117" max="5117" width="18.85546875" style="133" customWidth="1"/>
    <col min="5118" max="5118" width="81" style="133" customWidth="1"/>
    <col min="5119" max="5119" width="14.85546875" style="133" customWidth="1"/>
    <col min="5120" max="5120" width="15.7109375" style="133" customWidth="1"/>
    <col min="5121" max="5121" width="17.5703125" style="133" customWidth="1"/>
    <col min="5122" max="5122" width="18.42578125" style="133" customWidth="1"/>
    <col min="5123" max="5123" width="16.5703125" style="133" customWidth="1"/>
    <col min="5124" max="5124" width="17.7109375" style="133" customWidth="1"/>
    <col min="5125" max="5125" width="17.85546875" style="133" customWidth="1"/>
    <col min="5126" max="5126" width="18.42578125" style="133" customWidth="1"/>
    <col min="5127" max="5127" width="15.42578125" style="133" customWidth="1"/>
    <col min="5128" max="5128" width="14.5703125" style="133" customWidth="1"/>
    <col min="5129" max="5129" width="15" style="133" customWidth="1"/>
    <col min="5130" max="5130" width="6.7109375" style="133" customWidth="1"/>
    <col min="5131" max="5131" width="14.28515625" style="133" customWidth="1"/>
    <col min="5132" max="5132" width="17.5703125" style="133" customWidth="1"/>
    <col min="5133" max="5133" width="27.7109375" style="133" customWidth="1"/>
    <col min="5134" max="5136" width="9.140625" style="133" customWidth="1"/>
    <col min="5137" max="5137" width="14.85546875" style="133" customWidth="1"/>
    <col min="5138" max="5138" width="13.85546875" style="133" customWidth="1"/>
    <col min="5139" max="5360" width="9.140625" style="133" customWidth="1"/>
    <col min="5361" max="5361" width="9" style="133"/>
    <col min="5362" max="5362" width="6.5703125" style="133" customWidth="1"/>
    <col min="5363" max="5363" width="79.5703125" style="133" customWidth="1"/>
    <col min="5364" max="5364" width="23.5703125" style="133" customWidth="1"/>
    <col min="5365" max="5365" width="27.85546875" style="133" customWidth="1"/>
    <col min="5366" max="5366" width="22.28515625" style="133" customWidth="1"/>
    <col min="5367" max="5367" width="23.5703125" style="133" customWidth="1"/>
    <col min="5368" max="5368" width="39" style="133" customWidth="1"/>
    <col min="5369" max="5369" width="36.42578125" style="133" customWidth="1"/>
    <col min="5370" max="5370" width="8" style="133" customWidth="1"/>
    <col min="5371" max="5371" width="15.5703125" style="133" customWidth="1"/>
    <col min="5372" max="5372" width="17.28515625" style="133" customWidth="1"/>
    <col min="5373" max="5373" width="18.85546875" style="133" customWidth="1"/>
    <col min="5374" max="5374" width="81" style="133" customWidth="1"/>
    <col min="5375" max="5375" width="14.85546875" style="133" customWidth="1"/>
    <col min="5376" max="5376" width="15.7109375" style="133" customWidth="1"/>
    <col min="5377" max="5377" width="17.5703125" style="133" customWidth="1"/>
    <col min="5378" max="5378" width="18.42578125" style="133" customWidth="1"/>
    <col min="5379" max="5379" width="16.5703125" style="133" customWidth="1"/>
    <col min="5380" max="5380" width="17.7109375" style="133" customWidth="1"/>
    <col min="5381" max="5381" width="17.85546875" style="133" customWidth="1"/>
    <col min="5382" max="5382" width="18.42578125" style="133" customWidth="1"/>
    <col min="5383" max="5383" width="15.42578125" style="133" customWidth="1"/>
    <col min="5384" max="5384" width="14.5703125" style="133" customWidth="1"/>
    <col min="5385" max="5385" width="15" style="133" customWidth="1"/>
    <col min="5386" max="5386" width="6.7109375" style="133" customWidth="1"/>
    <col min="5387" max="5387" width="14.28515625" style="133" customWidth="1"/>
    <col min="5388" max="5388" width="17.5703125" style="133" customWidth="1"/>
    <col min="5389" max="5389" width="27.7109375" style="133" customWidth="1"/>
    <col min="5390" max="5392" width="9.140625" style="133" customWidth="1"/>
    <col min="5393" max="5393" width="14.85546875" style="133" customWidth="1"/>
    <col min="5394" max="5394" width="13.85546875" style="133" customWidth="1"/>
    <col min="5395" max="5616" width="9.140625" style="133" customWidth="1"/>
    <col min="5617" max="5617" width="9" style="133"/>
    <col min="5618" max="5618" width="6.5703125" style="133" customWidth="1"/>
    <col min="5619" max="5619" width="79.5703125" style="133" customWidth="1"/>
    <col min="5620" max="5620" width="23.5703125" style="133" customWidth="1"/>
    <col min="5621" max="5621" width="27.85546875" style="133" customWidth="1"/>
    <col min="5622" max="5622" width="22.28515625" style="133" customWidth="1"/>
    <col min="5623" max="5623" width="23.5703125" style="133" customWidth="1"/>
    <col min="5624" max="5624" width="39" style="133" customWidth="1"/>
    <col min="5625" max="5625" width="36.42578125" style="133" customWidth="1"/>
    <col min="5626" max="5626" width="8" style="133" customWidth="1"/>
    <col min="5627" max="5627" width="15.5703125" style="133" customWidth="1"/>
    <col min="5628" max="5628" width="17.28515625" style="133" customWidth="1"/>
    <col min="5629" max="5629" width="18.85546875" style="133" customWidth="1"/>
    <col min="5630" max="5630" width="81" style="133" customWidth="1"/>
    <col min="5631" max="5631" width="14.85546875" style="133" customWidth="1"/>
    <col min="5632" max="5632" width="15.7109375" style="133" customWidth="1"/>
    <col min="5633" max="5633" width="17.5703125" style="133" customWidth="1"/>
    <col min="5634" max="5634" width="18.42578125" style="133" customWidth="1"/>
    <col min="5635" max="5635" width="16.5703125" style="133" customWidth="1"/>
    <col min="5636" max="5636" width="17.7109375" style="133" customWidth="1"/>
    <col min="5637" max="5637" width="17.85546875" style="133" customWidth="1"/>
    <col min="5638" max="5638" width="18.42578125" style="133" customWidth="1"/>
    <col min="5639" max="5639" width="15.42578125" style="133" customWidth="1"/>
    <col min="5640" max="5640" width="14.5703125" style="133" customWidth="1"/>
    <col min="5641" max="5641" width="15" style="133" customWidth="1"/>
    <col min="5642" max="5642" width="6.7109375" style="133" customWidth="1"/>
    <col min="5643" max="5643" width="14.28515625" style="133" customWidth="1"/>
    <col min="5644" max="5644" width="17.5703125" style="133" customWidth="1"/>
    <col min="5645" max="5645" width="27.7109375" style="133" customWidth="1"/>
    <col min="5646" max="5648" width="9.140625" style="133" customWidth="1"/>
    <col min="5649" max="5649" width="14.85546875" style="133" customWidth="1"/>
    <col min="5650" max="5650" width="13.85546875" style="133" customWidth="1"/>
    <col min="5651" max="5872" width="9.140625" style="133" customWidth="1"/>
    <col min="5873" max="5873" width="9" style="133"/>
    <col min="5874" max="5874" width="6.5703125" style="133" customWidth="1"/>
    <col min="5875" max="5875" width="79.5703125" style="133" customWidth="1"/>
    <col min="5876" max="5876" width="23.5703125" style="133" customWidth="1"/>
    <col min="5877" max="5877" width="27.85546875" style="133" customWidth="1"/>
    <col min="5878" max="5878" width="22.28515625" style="133" customWidth="1"/>
    <col min="5879" max="5879" width="23.5703125" style="133" customWidth="1"/>
    <col min="5880" max="5880" width="39" style="133" customWidth="1"/>
    <col min="5881" max="5881" width="36.42578125" style="133" customWidth="1"/>
    <col min="5882" max="5882" width="8" style="133" customWidth="1"/>
    <col min="5883" max="5883" width="15.5703125" style="133" customWidth="1"/>
    <col min="5884" max="5884" width="17.28515625" style="133" customWidth="1"/>
    <col min="5885" max="5885" width="18.85546875" style="133" customWidth="1"/>
    <col min="5886" max="5886" width="81" style="133" customWidth="1"/>
    <col min="5887" max="5887" width="14.85546875" style="133" customWidth="1"/>
    <col min="5888" max="5888" width="15.7109375" style="133" customWidth="1"/>
    <col min="5889" max="5889" width="17.5703125" style="133" customWidth="1"/>
    <col min="5890" max="5890" width="18.42578125" style="133" customWidth="1"/>
    <col min="5891" max="5891" width="16.5703125" style="133" customWidth="1"/>
    <col min="5892" max="5892" width="17.7109375" style="133" customWidth="1"/>
    <col min="5893" max="5893" width="17.85546875" style="133" customWidth="1"/>
    <col min="5894" max="5894" width="18.42578125" style="133" customWidth="1"/>
    <col min="5895" max="5895" width="15.42578125" style="133" customWidth="1"/>
    <col min="5896" max="5896" width="14.5703125" style="133" customWidth="1"/>
    <col min="5897" max="5897" width="15" style="133" customWidth="1"/>
    <col min="5898" max="5898" width="6.7109375" style="133" customWidth="1"/>
    <col min="5899" max="5899" width="14.28515625" style="133" customWidth="1"/>
    <col min="5900" max="5900" width="17.5703125" style="133" customWidth="1"/>
    <col min="5901" max="5901" width="27.7109375" style="133" customWidth="1"/>
    <col min="5902" max="5904" width="9.140625" style="133" customWidth="1"/>
    <col min="5905" max="5905" width="14.85546875" style="133" customWidth="1"/>
    <col min="5906" max="5906" width="13.85546875" style="133" customWidth="1"/>
    <col min="5907" max="6128" width="9.140625" style="133" customWidth="1"/>
    <col min="6129" max="6129" width="9" style="133"/>
    <col min="6130" max="6130" width="6.5703125" style="133" customWidth="1"/>
    <col min="6131" max="6131" width="79.5703125" style="133" customWidth="1"/>
    <col min="6132" max="6132" width="23.5703125" style="133" customWidth="1"/>
    <col min="6133" max="6133" width="27.85546875" style="133" customWidth="1"/>
    <col min="6134" max="6134" width="22.28515625" style="133" customWidth="1"/>
    <col min="6135" max="6135" width="23.5703125" style="133" customWidth="1"/>
    <col min="6136" max="6136" width="39" style="133" customWidth="1"/>
    <col min="6137" max="6137" width="36.42578125" style="133" customWidth="1"/>
    <col min="6138" max="6138" width="8" style="133" customWidth="1"/>
    <col min="6139" max="6139" width="15.5703125" style="133" customWidth="1"/>
    <col min="6140" max="6140" width="17.28515625" style="133" customWidth="1"/>
    <col min="6141" max="6141" width="18.85546875" style="133" customWidth="1"/>
    <col min="6142" max="6142" width="81" style="133" customWidth="1"/>
    <col min="6143" max="6143" width="14.85546875" style="133" customWidth="1"/>
    <col min="6144" max="6144" width="15.7109375" style="133" customWidth="1"/>
    <col min="6145" max="6145" width="17.5703125" style="133" customWidth="1"/>
    <col min="6146" max="6146" width="18.42578125" style="133" customWidth="1"/>
    <col min="6147" max="6147" width="16.5703125" style="133" customWidth="1"/>
    <col min="6148" max="6148" width="17.7109375" style="133" customWidth="1"/>
    <col min="6149" max="6149" width="17.85546875" style="133" customWidth="1"/>
    <col min="6150" max="6150" width="18.42578125" style="133" customWidth="1"/>
    <col min="6151" max="6151" width="15.42578125" style="133" customWidth="1"/>
    <col min="6152" max="6152" width="14.5703125" style="133" customWidth="1"/>
    <col min="6153" max="6153" width="15" style="133" customWidth="1"/>
    <col min="6154" max="6154" width="6.7109375" style="133" customWidth="1"/>
    <col min="6155" max="6155" width="14.28515625" style="133" customWidth="1"/>
    <col min="6156" max="6156" width="17.5703125" style="133" customWidth="1"/>
    <col min="6157" max="6157" width="27.7109375" style="133" customWidth="1"/>
    <col min="6158" max="6160" width="9.140625" style="133" customWidth="1"/>
    <col min="6161" max="6161" width="14.85546875" style="133" customWidth="1"/>
    <col min="6162" max="6162" width="13.85546875" style="133" customWidth="1"/>
    <col min="6163" max="6384" width="9.140625" style="133" customWidth="1"/>
    <col min="6385" max="6385" width="9" style="133"/>
    <col min="6386" max="6386" width="6.5703125" style="133" customWidth="1"/>
    <col min="6387" max="6387" width="79.5703125" style="133" customWidth="1"/>
    <col min="6388" max="6388" width="23.5703125" style="133" customWidth="1"/>
    <col min="6389" max="6389" width="27.85546875" style="133" customWidth="1"/>
    <col min="6390" max="6390" width="22.28515625" style="133" customWidth="1"/>
    <col min="6391" max="6391" width="23.5703125" style="133" customWidth="1"/>
    <col min="6392" max="6392" width="39" style="133" customWidth="1"/>
    <col min="6393" max="6393" width="36.42578125" style="133" customWidth="1"/>
    <col min="6394" max="6394" width="8" style="133" customWidth="1"/>
    <col min="6395" max="6395" width="15.5703125" style="133" customWidth="1"/>
    <col min="6396" max="6396" width="17.28515625" style="133" customWidth="1"/>
    <col min="6397" max="6397" width="18.85546875" style="133" customWidth="1"/>
    <col min="6398" max="6398" width="81" style="133" customWidth="1"/>
    <col min="6399" max="6399" width="14.85546875" style="133" customWidth="1"/>
    <col min="6400" max="6400" width="15.7109375" style="133" customWidth="1"/>
    <col min="6401" max="6401" width="17.5703125" style="133" customWidth="1"/>
    <col min="6402" max="6402" width="18.42578125" style="133" customWidth="1"/>
    <col min="6403" max="6403" width="16.5703125" style="133" customWidth="1"/>
    <col min="6404" max="6404" width="17.7109375" style="133" customWidth="1"/>
    <col min="6405" max="6405" width="17.85546875" style="133" customWidth="1"/>
    <col min="6406" max="6406" width="18.42578125" style="133" customWidth="1"/>
    <col min="6407" max="6407" width="15.42578125" style="133" customWidth="1"/>
    <col min="6408" max="6408" width="14.5703125" style="133" customWidth="1"/>
    <col min="6409" max="6409" width="15" style="133" customWidth="1"/>
    <col min="6410" max="6410" width="6.7109375" style="133" customWidth="1"/>
    <col min="6411" max="6411" width="14.28515625" style="133" customWidth="1"/>
    <col min="6412" max="6412" width="17.5703125" style="133" customWidth="1"/>
    <col min="6413" max="6413" width="27.7109375" style="133" customWidth="1"/>
    <col min="6414" max="6416" width="9.140625" style="133" customWidth="1"/>
    <col min="6417" max="6417" width="14.85546875" style="133" customWidth="1"/>
    <col min="6418" max="6418" width="13.85546875" style="133" customWidth="1"/>
    <col min="6419" max="6640" width="9.140625" style="133" customWidth="1"/>
    <col min="6641" max="6641" width="9" style="133"/>
    <col min="6642" max="6642" width="6.5703125" style="133" customWidth="1"/>
    <col min="6643" max="6643" width="79.5703125" style="133" customWidth="1"/>
    <col min="6644" max="6644" width="23.5703125" style="133" customWidth="1"/>
    <col min="6645" max="6645" width="27.85546875" style="133" customWidth="1"/>
    <col min="6646" max="6646" width="22.28515625" style="133" customWidth="1"/>
    <col min="6647" max="6647" width="23.5703125" style="133" customWidth="1"/>
    <col min="6648" max="6648" width="39" style="133" customWidth="1"/>
    <col min="6649" max="6649" width="36.42578125" style="133" customWidth="1"/>
    <col min="6650" max="6650" width="8" style="133" customWidth="1"/>
    <col min="6651" max="6651" width="15.5703125" style="133" customWidth="1"/>
    <col min="6652" max="6652" width="17.28515625" style="133" customWidth="1"/>
    <col min="6653" max="6653" width="18.85546875" style="133" customWidth="1"/>
    <col min="6654" max="6654" width="81" style="133" customWidth="1"/>
    <col min="6655" max="6655" width="14.85546875" style="133" customWidth="1"/>
    <col min="6656" max="6656" width="15.7109375" style="133" customWidth="1"/>
    <col min="6657" max="6657" width="17.5703125" style="133" customWidth="1"/>
    <col min="6658" max="6658" width="18.42578125" style="133" customWidth="1"/>
    <col min="6659" max="6659" width="16.5703125" style="133" customWidth="1"/>
    <col min="6660" max="6660" width="17.7109375" style="133" customWidth="1"/>
    <col min="6661" max="6661" width="17.85546875" style="133" customWidth="1"/>
    <col min="6662" max="6662" width="18.42578125" style="133" customWidth="1"/>
    <col min="6663" max="6663" width="15.42578125" style="133" customWidth="1"/>
    <col min="6664" max="6664" width="14.5703125" style="133" customWidth="1"/>
    <col min="6665" max="6665" width="15" style="133" customWidth="1"/>
    <col min="6666" max="6666" width="6.7109375" style="133" customWidth="1"/>
    <col min="6667" max="6667" width="14.28515625" style="133" customWidth="1"/>
    <col min="6668" max="6668" width="17.5703125" style="133" customWidth="1"/>
    <col min="6669" max="6669" width="27.7109375" style="133" customWidth="1"/>
    <col min="6670" max="6672" width="9.140625" style="133" customWidth="1"/>
    <col min="6673" max="6673" width="14.85546875" style="133" customWidth="1"/>
    <col min="6674" max="6674" width="13.85546875" style="133" customWidth="1"/>
    <col min="6675" max="6896" width="9.140625" style="133" customWidth="1"/>
    <col min="6897" max="6897" width="9" style="133"/>
    <col min="6898" max="6898" width="6.5703125" style="133" customWidth="1"/>
    <col min="6899" max="6899" width="79.5703125" style="133" customWidth="1"/>
    <col min="6900" max="6900" width="23.5703125" style="133" customWidth="1"/>
    <col min="6901" max="6901" width="27.85546875" style="133" customWidth="1"/>
    <col min="6902" max="6902" width="22.28515625" style="133" customWidth="1"/>
    <col min="6903" max="6903" width="23.5703125" style="133" customWidth="1"/>
    <col min="6904" max="6904" width="39" style="133" customWidth="1"/>
    <col min="6905" max="6905" width="36.42578125" style="133" customWidth="1"/>
    <col min="6906" max="6906" width="8" style="133" customWidth="1"/>
    <col min="6907" max="6907" width="15.5703125" style="133" customWidth="1"/>
    <col min="6908" max="6908" width="17.28515625" style="133" customWidth="1"/>
    <col min="6909" max="6909" width="18.85546875" style="133" customWidth="1"/>
    <col min="6910" max="6910" width="81" style="133" customWidth="1"/>
    <col min="6911" max="6911" width="14.85546875" style="133" customWidth="1"/>
    <col min="6912" max="6912" width="15.7109375" style="133" customWidth="1"/>
    <col min="6913" max="6913" width="17.5703125" style="133" customWidth="1"/>
    <col min="6914" max="6914" width="18.42578125" style="133" customWidth="1"/>
    <col min="6915" max="6915" width="16.5703125" style="133" customWidth="1"/>
    <col min="6916" max="6916" width="17.7109375" style="133" customWidth="1"/>
    <col min="6917" max="6917" width="17.85546875" style="133" customWidth="1"/>
    <col min="6918" max="6918" width="18.42578125" style="133" customWidth="1"/>
    <col min="6919" max="6919" width="15.42578125" style="133" customWidth="1"/>
    <col min="6920" max="6920" width="14.5703125" style="133" customWidth="1"/>
    <col min="6921" max="6921" width="15" style="133" customWidth="1"/>
    <col min="6922" max="6922" width="6.7109375" style="133" customWidth="1"/>
    <col min="6923" max="6923" width="14.28515625" style="133" customWidth="1"/>
    <col min="6924" max="6924" width="17.5703125" style="133" customWidth="1"/>
    <col min="6925" max="6925" width="27.7109375" style="133" customWidth="1"/>
    <col min="6926" max="6928" width="9.140625" style="133" customWidth="1"/>
    <col min="6929" max="6929" width="14.85546875" style="133" customWidth="1"/>
    <col min="6930" max="6930" width="13.85546875" style="133" customWidth="1"/>
    <col min="6931" max="7152" width="9.140625" style="133" customWidth="1"/>
    <col min="7153" max="7153" width="9" style="133"/>
    <col min="7154" max="7154" width="6.5703125" style="133" customWidth="1"/>
    <col min="7155" max="7155" width="79.5703125" style="133" customWidth="1"/>
    <col min="7156" max="7156" width="23.5703125" style="133" customWidth="1"/>
    <col min="7157" max="7157" width="27.85546875" style="133" customWidth="1"/>
    <col min="7158" max="7158" width="22.28515625" style="133" customWidth="1"/>
    <col min="7159" max="7159" width="23.5703125" style="133" customWidth="1"/>
    <col min="7160" max="7160" width="39" style="133" customWidth="1"/>
    <col min="7161" max="7161" width="36.42578125" style="133" customWidth="1"/>
    <col min="7162" max="7162" width="8" style="133" customWidth="1"/>
    <col min="7163" max="7163" width="15.5703125" style="133" customWidth="1"/>
    <col min="7164" max="7164" width="17.28515625" style="133" customWidth="1"/>
    <col min="7165" max="7165" width="18.85546875" style="133" customWidth="1"/>
    <col min="7166" max="7166" width="81" style="133" customWidth="1"/>
    <col min="7167" max="7167" width="14.85546875" style="133" customWidth="1"/>
    <col min="7168" max="7168" width="15.7109375" style="133" customWidth="1"/>
    <col min="7169" max="7169" width="17.5703125" style="133" customWidth="1"/>
    <col min="7170" max="7170" width="18.42578125" style="133" customWidth="1"/>
    <col min="7171" max="7171" width="16.5703125" style="133" customWidth="1"/>
    <col min="7172" max="7172" width="17.7109375" style="133" customWidth="1"/>
    <col min="7173" max="7173" width="17.85546875" style="133" customWidth="1"/>
    <col min="7174" max="7174" width="18.42578125" style="133" customWidth="1"/>
    <col min="7175" max="7175" width="15.42578125" style="133" customWidth="1"/>
    <col min="7176" max="7176" width="14.5703125" style="133" customWidth="1"/>
    <col min="7177" max="7177" width="15" style="133" customWidth="1"/>
    <col min="7178" max="7178" width="6.7109375" style="133" customWidth="1"/>
    <col min="7179" max="7179" width="14.28515625" style="133" customWidth="1"/>
    <col min="7180" max="7180" width="17.5703125" style="133" customWidth="1"/>
    <col min="7181" max="7181" width="27.7109375" style="133" customWidth="1"/>
    <col min="7182" max="7184" width="9.140625" style="133" customWidth="1"/>
    <col min="7185" max="7185" width="14.85546875" style="133" customWidth="1"/>
    <col min="7186" max="7186" width="13.85546875" style="133" customWidth="1"/>
    <col min="7187" max="7408" width="9.140625" style="133" customWidth="1"/>
    <col min="7409" max="7409" width="9" style="133"/>
    <col min="7410" max="7410" width="6.5703125" style="133" customWidth="1"/>
    <col min="7411" max="7411" width="79.5703125" style="133" customWidth="1"/>
    <col min="7412" max="7412" width="23.5703125" style="133" customWidth="1"/>
    <col min="7413" max="7413" width="27.85546875" style="133" customWidth="1"/>
    <col min="7414" max="7414" width="22.28515625" style="133" customWidth="1"/>
    <col min="7415" max="7415" width="23.5703125" style="133" customWidth="1"/>
    <col min="7416" max="7416" width="39" style="133" customWidth="1"/>
    <col min="7417" max="7417" width="36.42578125" style="133" customWidth="1"/>
    <col min="7418" max="7418" width="8" style="133" customWidth="1"/>
    <col min="7419" max="7419" width="15.5703125" style="133" customWidth="1"/>
    <col min="7420" max="7420" width="17.28515625" style="133" customWidth="1"/>
    <col min="7421" max="7421" width="18.85546875" style="133" customWidth="1"/>
    <col min="7422" max="7422" width="81" style="133" customWidth="1"/>
    <col min="7423" max="7423" width="14.85546875" style="133" customWidth="1"/>
    <col min="7424" max="7424" width="15.7109375" style="133" customWidth="1"/>
    <col min="7425" max="7425" width="17.5703125" style="133" customWidth="1"/>
    <col min="7426" max="7426" width="18.42578125" style="133" customWidth="1"/>
    <col min="7427" max="7427" width="16.5703125" style="133" customWidth="1"/>
    <col min="7428" max="7428" width="17.7109375" style="133" customWidth="1"/>
    <col min="7429" max="7429" width="17.85546875" style="133" customWidth="1"/>
    <col min="7430" max="7430" width="18.42578125" style="133" customWidth="1"/>
    <col min="7431" max="7431" width="15.42578125" style="133" customWidth="1"/>
    <col min="7432" max="7432" width="14.5703125" style="133" customWidth="1"/>
    <col min="7433" max="7433" width="15" style="133" customWidth="1"/>
    <col min="7434" max="7434" width="6.7109375" style="133" customWidth="1"/>
    <col min="7435" max="7435" width="14.28515625" style="133" customWidth="1"/>
    <col min="7436" max="7436" width="17.5703125" style="133" customWidth="1"/>
    <col min="7437" max="7437" width="27.7109375" style="133" customWidth="1"/>
    <col min="7438" max="7440" width="9.140625" style="133" customWidth="1"/>
    <col min="7441" max="7441" width="14.85546875" style="133" customWidth="1"/>
    <col min="7442" max="7442" width="13.85546875" style="133" customWidth="1"/>
    <col min="7443" max="7664" width="9.140625" style="133" customWidth="1"/>
    <col min="7665" max="7665" width="9" style="133"/>
    <col min="7666" max="7666" width="6.5703125" style="133" customWidth="1"/>
    <col min="7667" max="7667" width="79.5703125" style="133" customWidth="1"/>
    <col min="7668" max="7668" width="23.5703125" style="133" customWidth="1"/>
    <col min="7669" max="7669" width="27.85546875" style="133" customWidth="1"/>
    <col min="7670" max="7670" width="22.28515625" style="133" customWidth="1"/>
    <col min="7671" max="7671" width="23.5703125" style="133" customWidth="1"/>
    <col min="7672" max="7672" width="39" style="133" customWidth="1"/>
    <col min="7673" max="7673" width="36.42578125" style="133" customWidth="1"/>
    <col min="7674" max="7674" width="8" style="133" customWidth="1"/>
    <col min="7675" max="7675" width="15.5703125" style="133" customWidth="1"/>
    <col min="7676" max="7676" width="17.28515625" style="133" customWidth="1"/>
    <col min="7677" max="7677" width="18.85546875" style="133" customWidth="1"/>
    <col min="7678" max="7678" width="81" style="133" customWidth="1"/>
    <col min="7679" max="7679" width="14.85546875" style="133" customWidth="1"/>
    <col min="7680" max="7680" width="15.7109375" style="133" customWidth="1"/>
    <col min="7681" max="7681" width="17.5703125" style="133" customWidth="1"/>
    <col min="7682" max="7682" width="18.42578125" style="133" customWidth="1"/>
    <col min="7683" max="7683" width="16.5703125" style="133" customWidth="1"/>
    <col min="7684" max="7684" width="17.7109375" style="133" customWidth="1"/>
    <col min="7685" max="7685" width="17.85546875" style="133" customWidth="1"/>
    <col min="7686" max="7686" width="18.42578125" style="133" customWidth="1"/>
    <col min="7687" max="7687" width="15.42578125" style="133" customWidth="1"/>
    <col min="7688" max="7688" width="14.5703125" style="133" customWidth="1"/>
    <col min="7689" max="7689" width="15" style="133" customWidth="1"/>
    <col min="7690" max="7690" width="6.7109375" style="133" customWidth="1"/>
    <col min="7691" max="7691" width="14.28515625" style="133" customWidth="1"/>
    <col min="7692" max="7692" width="17.5703125" style="133" customWidth="1"/>
    <col min="7693" max="7693" width="27.7109375" style="133" customWidth="1"/>
    <col min="7694" max="7696" width="9.140625" style="133" customWidth="1"/>
    <col min="7697" max="7697" width="14.85546875" style="133" customWidth="1"/>
    <col min="7698" max="7698" width="13.85546875" style="133" customWidth="1"/>
    <col min="7699" max="7920" width="9.140625" style="133" customWidth="1"/>
    <col min="7921" max="7921" width="9" style="133"/>
    <col min="7922" max="7922" width="6.5703125" style="133" customWidth="1"/>
    <col min="7923" max="7923" width="79.5703125" style="133" customWidth="1"/>
    <col min="7924" max="7924" width="23.5703125" style="133" customWidth="1"/>
    <col min="7925" max="7925" width="27.85546875" style="133" customWidth="1"/>
    <col min="7926" max="7926" width="22.28515625" style="133" customWidth="1"/>
    <col min="7927" max="7927" width="23.5703125" style="133" customWidth="1"/>
    <col min="7928" max="7928" width="39" style="133" customWidth="1"/>
    <col min="7929" max="7929" width="36.42578125" style="133" customWidth="1"/>
    <col min="7930" max="7930" width="8" style="133" customWidth="1"/>
    <col min="7931" max="7931" width="15.5703125" style="133" customWidth="1"/>
    <col min="7932" max="7932" width="17.28515625" style="133" customWidth="1"/>
    <col min="7933" max="7933" width="18.85546875" style="133" customWidth="1"/>
    <col min="7934" max="7934" width="81" style="133" customWidth="1"/>
    <col min="7935" max="7935" width="14.85546875" style="133" customWidth="1"/>
    <col min="7936" max="7936" width="15.7109375" style="133" customWidth="1"/>
    <col min="7937" max="7937" width="17.5703125" style="133" customWidth="1"/>
    <col min="7938" max="7938" width="18.42578125" style="133" customWidth="1"/>
    <col min="7939" max="7939" width="16.5703125" style="133" customWidth="1"/>
    <col min="7940" max="7940" width="17.7109375" style="133" customWidth="1"/>
    <col min="7941" max="7941" width="17.85546875" style="133" customWidth="1"/>
    <col min="7942" max="7942" width="18.42578125" style="133" customWidth="1"/>
    <col min="7943" max="7943" width="15.42578125" style="133" customWidth="1"/>
    <col min="7944" max="7944" width="14.5703125" style="133" customWidth="1"/>
    <col min="7945" max="7945" width="15" style="133" customWidth="1"/>
    <col min="7946" max="7946" width="6.7109375" style="133" customWidth="1"/>
    <col min="7947" max="7947" width="14.28515625" style="133" customWidth="1"/>
    <col min="7948" max="7948" width="17.5703125" style="133" customWidth="1"/>
    <col min="7949" max="7949" width="27.7109375" style="133" customWidth="1"/>
    <col min="7950" max="7952" width="9.140625" style="133" customWidth="1"/>
    <col min="7953" max="7953" width="14.85546875" style="133" customWidth="1"/>
    <col min="7954" max="7954" width="13.85546875" style="133" customWidth="1"/>
    <col min="7955" max="8176" width="9.140625" style="133" customWidth="1"/>
    <col min="8177" max="8177" width="9" style="133"/>
    <col min="8178" max="8178" width="6.5703125" style="133" customWidth="1"/>
    <col min="8179" max="8179" width="79.5703125" style="133" customWidth="1"/>
    <col min="8180" max="8180" width="23.5703125" style="133" customWidth="1"/>
    <col min="8181" max="8181" width="27.85546875" style="133" customWidth="1"/>
    <col min="8182" max="8182" width="22.28515625" style="133" customWidth="1"/>
    <col min="8183" max="8183" width="23.5703125" style="133" customWidth="1"/>
    <col min="8184" max="8184" width="39" style="133" customWidth="1"/>
    <col min="8185" max="8185" width="36.42578125" style="133" customWidth="1"/>
    <col min="8186" max="8186" width="8" style="133" customWidth="1"/>
    <col min="8187" max="8187" width="15.5703125" style="133" customWidth="1"/>
    <col min="8188" max="8188" width="17.28515625" style="133" customWidth="1"/>
    <col min="8189" max="8189" width="18.85546875" style="133" customWidth="1"/>
    <col min="8190" max="8190" width="81" style="133" customWidth="1"/>
    <col min="8191" max="8191" width="14.85546875" style="133" customWidth="1"/>
    <col min="8192" max="8192" width="15.7109375" style="133" customWidth="1"/>
    <col min="8193" max="8193" width="17.5703125" style="133" customWidth="1"/>
    <col min="8194" max="8194" width="18.42578125" style="133" customWidth="1"/>
    <col min="8195" max="8195" width="16.5703125" style="133" customWidth="1"/>
    <col min="8196" max="8196" width="17.7109375" style="133" customWidth="1"/>
    <col min="8197" max="8197" width="17.85546875" style="133" customWidth="1"/>
    <col min="8198" max="8198" width="18.42578125" style="133" customWidth="1"/>
    <col min="8199" max="8199" width="15.42578125" style="133" customWidth="1"/>
    <col min="8200" max="8200" width="14.5703125" style="133" customWidth="1"/>
    <col min="8201" max="8201" width="15" style="133" customWidth="1"/>
    <col min="8202" max="8202" width="6.7109375" style="133" customWidth="1"/>
    <col min="8203" max="8203" width="14.28515625" style="133" customWidth="1"/>
    <col min="8204" max="8204" width="17.5703125" style="133" customWidth="1"/>
    <col min="8205" max="8205" width="27.7109375" style="133" customWidth="1"/>
    <col min="8206" max="8208" width="9.140625" style="133" customWidth="1"/>
    <col min="8209" max="8209" width="14.85546875" style="133" customWidth="1"/>
    <col min="8210" max="8210" width="13.85546875" style="133" customWidth="1"/>
    <col min="8211" max="8432" width="9.140625" style="133" customWidth="1"/>
    <col min="8433" max="8433" width="9" style="133"/>
    <col min="8434" max="8434" width="6.5703125" style="133" customWidth="1"/>
    <col min="8435" max="8435" width="79.5703125" style="133" customWidth="1"/>
    <col min="8436" max="8436" width="23.5703125" style="133" customWidth="1"/>
    <col min="8437" max="8437" width="27.85546875" style="133" customWidth="1"/>
    <col min="8438" max="8438" width="22.28515625" style="133" customWidth="1"/>
    <col min="8439" max="8439" width="23.5703125" style="133" customWidth="1"/>
    <col min="8440" max="8440" width="39" style="133" customWidth="1"/>
    <col min="8441" max="8441" width="36.42578125" style="133" customWidth="1"/>
    <col min="8442" max="8442" width="8" style="133" customWidth="1"/>
    <col min="8443" max="8443" width="15.5703125" style="133" customWidth="1"/>
    <col min="8444" max="8444" width="17.28515625" style="133" customWidth="1"/>
    <col min="8445" max="8445" width="18.85546875" style="133" customWidth="1"/>
    <col min="8446" max="8446" width="81" style="133" customWidth="1"/>
    <col min="8447" max="8447" width="14.85546875" style="133" customWidth="1"/>
    <col min="8448" max="8448" width="15.7109375" style="133" customWidth="1"/>
    <col min="8449" max="8449" width="17.5703125" style="133" customWidth="1"/>
    <col min="8450" max="8450" width="18.42578125" style="133" customWidth="1"/>
    <col min="8451" max="8451" width="16.5703125" style="133" customWidth="1"/>
    <col min="8452" max="8452" width="17.7109375" style="133" customWidth="1"/>
    <col min="8453" max="8453" width="17.85546875" style="133" customWidth="1"/>
    <col min="8454" max="8454" width="18.42578125" style="133" customWidth="1"/>
    <col min="8455" max="8455" width="15.42578125" style="133" customWidth="1"/>
    <col min="8456" max="8456" width="14.5703125" style="133" customWidth="1"/>
    <col min="8457" max="8457" width="15" style="133" customWidth="1"/>
    <col min="8458" max="8458" width="6.7109375" style="133" customWidth="1"/>
    <col min="8459" max="8459" width="14.28515625" style="133" customWidth="1"/>
    <col min="8460" max="8460" width="17.5703125" style="133" customWidth="1"/>
    <col min="8461" max="8461" width="27.7109375" style="133" customWidth="1"/>
    <col min="8462" max="8464" width="9.140625" style="133" customWidth="1"/>
    <col min="8465" max="8465" width="14.85546875" style="133" customWidth="1"/>
    <col min="8466" max="8466" width="13.85546875" style="133" customWidth="1"/>
    <col min="8467" max="8688" width="9.140625" style="133" customWidth="1"/>
    <col min="8689" max="8689" width="9" style="133"/>
    <col min="8690" max="8690" width="6.5703125" style="133" customWidth="1"/>
    <col min="8691" max="8691" width="79.5703125" style="133" customWidth="1"/>
    <col min="8692" max="8692" width="23.5703125" style="133" customWidth="1"/>
    <col min="8693" max="8693" width="27.85546875" style="133" customWidth="1"/>
    <col min="8694" max="8694" width="22.28515625" style="133" customWidth="1"/>
    <col min="8695" max="8695" width="23.5703125" style="133" customWidth="1"/>
    <col min="8696" max="8696" width="39" style="133" customWidth="1"/>
    <col min="8697" max="8697" width="36.42578125" style="133" customWidth="1"/>
    <col min="8698" max="8698" width="8" style="133" customWidth="1"/>
    <col min="8699" max="8699" width="15.5703125" style="133" customWidth="1"/>
    <col min="8700" max="8700" width="17.28515625" style="133" customWidth="1"/>
    <col min="8701" max="8701" width="18.85546875" style="133" customWidth="1"/>
    <col min="8702" max="8702" width="81" style="133" customWidth="1"/>
    <col min="8703" max="8703" width="14.85546875" style="133" customWidth="1"/>
    <col min="8704" max="8704" width="15.7109375" style="133" customWidth="1"/>
    <col min="8705" max="8705" width="17.5703125" style="133" customWidth="1"/>
    <col min="8706" max="8706" width="18.42578125" style="133" customWidth="1"/>
    <col min="8707" max="8707" width="16.5703125" style="133" customWidth="1"/>
    <col min="8708" max="8708" width="17.7109375" style="133" customWidth="1"/>
    <col min="8709" max="8709" width="17.85546875" style="133" customWidth="1"/>
    <col min="8710" max="8710" width="18.42578125" style="133" customWidth="1"/>
    <col min="8711" max="8711" width="15.42578125" style="133" customWidth="1"/>
    <col min="8712" max="8712" width="14.5703125" style="133" customWidth="1"/>
    <col min="8713" max="8713" width="15" style="133" customWidth="1"/>
    <col min="8714" max="8714" width="6.7109375" style="133" customWidth="1"/>
    <col min="8715" max="8715" width="14.28515625" style="133" customWidth="1"/>
    <col min="8716" max="8716" width="17.5703125" style="133" customWidth="1"/>
    <col min="8717" max="8717" width="27.7109375" style="133" customWidth="1"/>
    <col min="8718" max="8720" width="9.140625" style="133" customWidth="1"/>
    <col min="8721" max="8721" width="14.85546875" style="133" customWidth="1"/>
    <col min="8722" max="8722" width="13.85546875" style="133" customWidth="1"/>
    <col min="8723" max="8944" width="9.140625" style="133" customWidth="1"/>
    <col min="8945" max="8945" width="9" style="133"/>
    <col min="8946" max="8946" width="6.5703125" style="133" customWidth="1"/>
    <col min="8947" max="8947" width="79.5703125" style="133" customWidth="1"/>
    <col min="8948" max="8948" width="23.5703125" style="133" customWidth="1"/>
    <col min="8949" max="8949" width="27.85546875" style="133" customWidth="1"/>
    <col min="8950" max="8950" width="22.28515625" style="133" customWidth="1"/>
    <col min="8951" max="8951" width="23.5703125" style="133" customWidth="1"/>
    <col min="8952" max="8952" width="39" style="133" customWidth="1"/>
    <col min="8953" max="8953" width="36.42578125" style="133" customWidth="1"/>
    <col min="8954" max="8954" width="8" style="133" customWidth="1"/>
    <col min="8955" max="8955" width="15.5703125" style="133" customWidth="1"/>
    <col min="8956" max="8956" width="17.28515625" style="133" customWidth="1"/>
    <col min="8957" max="8957" width="18.85546875" style="133" customWidth="1"/>
    <col min="8958" max="8958" width="81" style="133" customWidth="1"/>
    <col min="8959" max="8959" width="14.85546875" style="133" customWidth="1"/>
    <col min="8960" max="8960" width="15.7109375" style="133" customWidth="1"/>
    <col min="8961" max="8961" width="17.5703125" style="133" customWidth="1"/>
    <col min="8962" max="8962" width="18.42578125" style="133" customWidth="1"/>
    <col min="8963" max="8963" width="16.5703125" style="133" customWidth="1"/>
    <col min="8964" max="8964" width="17.7109375" style="133" customWidth="1"/>
    <col min="8965" max="8965" width="17.85546875" style="133" customWidth="1"/>
    <col min="8966" max="8966" width="18.42578125" style="133" customWidth="1"/>
    <col min="8967" max="8967" width="15.42578125" style="133" customWidth="1"/>
    <col min="8968" max="8968" width="14.5703125" style="133" customWidth="1"/>
    <col min="8969" max="8969" width="15" style="133" customWidth="1"/>
    <col min="8970" max="8970" width="6.7109375" style="133" customWidth="1"/>
    <col min="8971" max="8971" width="14.28515625" style="133" customWidth="1"/>
    <col min="8972" max="8972" width="17.5703125" style="133" customWidth="1"/>
    <col min="8973" max="8973" width="27.7109375" style="133" customWidth="1"/>
    <col min="8974" max="8976" width="9.140625" style="133" customWidth="1"/>
    <col min="8977" max="8977" width="14.85546875" style="133" customWidth="1"/>
    <col min="8978" max="8978" width="13.85546875" style="133" customWidth="1"/>
    <col min="8979" max="9200" width="9.140625" style="133" customWidth="1"/>
    <col min="9201" max="9201" width="9" style="133"/>
    <col min="9202" max="9202" width="6.5703125" style="133" customWidth="1"/>
    <col min="9203" max="9203" width="79.5703125" style="133" customWidth="1"/>
    <col min="9204" max="9204" width="23.5703125" style="133" customWidth="1"/>
    <col min="9205" max="9205" width="27.85546875" style="133" customWidth="1"/>
    <col min="9206" max="9206" width="22.28515625" style="133" customWidth="1"/>
    <col min="9207" max="9207" width="23.5703125" style="133" customWidth="1"/>
    <col min="9208" max="9208" width="39" style="133" customWidth="1"/>
    <col min="9209" max="9209" width="36.42578125" style="133" customWidth="1"/>
    <col min="9210" max="9210" width="8" style="133" customWidth="1"/>
    <col min="9211" max="9211" width="15.5703125" style="133" customWidth="1"/>
    <col min="9212" max="9212" width="17.28515625" style="133" customWidth="1"/>
    <col min="9213" max="9213" width="18.85546875" style="133" customWidth="1"/>
    <col min="9214" max="9214" width="81" style="133" customWidth="1"/>
    <col min="9215" max="9215" width="14.85546875" style="133" customWidth="1"/>
    <col min="9216" max="9216" width="15.7109375" style="133" customWidth="1"/>
    <col min="9217" max="9217" width="17.5703125" style="133" customWidth="1"/>
    <col min="9218" max="9218" width="18.42578125" style="133" customWidth="1"/>
    <col min="9219" max="9219" width="16.5703125" style="133" customWidth="1"/>
    <col min="9220" max="9220" width="17.7109375" style="133" customWidth="1"/>
    <col min="9221" max="9221" width="17.85546875" style="133" customWidth="1"/>
    <col min="9222" max="9222" width="18.42578125" style="133" customWidth="1"/>
    <col min="9223" max="9223" width="15.42578125" style="133" customWidth="1"/>
    <col min="9224" max="9224" width="14.5703125" style="133" customWidth="1"/>
    <col min="9225" max="9225" width="15" style="133" customWidth="1"/>
    <col min="9226" max="9226" width="6.7109375" style="133" customWidth="1"/>
    <col min="9227" max="9227" width="14.28515625" style="133" customWidth="1"/>
    <col min="9228" max="9228" width="17.5703125" style="133" customWidth="1"/>
    <col min="9229" max="9229" width="27.7109375" style="133" customWidth="1"/>
    <col min="9230" max="9232" width="9.140625" style="133" customWidth="1"/>
    <col min="9233" max="9233" width="14.85546875" style="133" customWidth="1"/>
    <col min="9234" max="9234" width="13.85546875" style="133" customWidth="1"/>
    <col min="9235" max="9456" width="9.140625" style="133" customWidth="1"/>
    <col min="9457" max="9457" width="9" style="133"/>
    <col min="9458" max="9458" width="6.5703125" style="133" customWidth="1"/>
    <col min="9459" max="9459" width="79.5703125" style="133" customWidth="1"/>
    <col min="9460" max="9460" width="23.5703125" style="133" customWidth="1"/>
    <col min="9461" max="9461" width="27.85546875" style="133" customWidth="1"/>
    <col min="9462" max="9462" width="22.28515625" style="133" customWidth="1"/>
    <col min="9463" max="9463" width="23.5703125" style="133" customWidth="1"/>
    <col min="9464" max="9464" width="39" style="133" customWidth="1"/>
    <col min="9465" max="9465" width="36.42578125" style="133" customWidth="1"/>
    <col min="9466" max="9466" width="8" style="133" customWidth="1"/>
    <col min="9467" max="9467" width="15.5703125" style="133" customWidth="1"/>
    <col min="9468" max="9468" width="17.28515625" style="133" customWidth="1"/>
    <col min="9469" max="9469" width="18.85546875" style="133" customWidth="1"/>
    <col min="9470" max="9470" width="81" style="133" customWidth="1"/>
    <col min="9471" max="9471" width="14.85546875" style="133" customWidth="1"/>
    <col min="9472" max="9472" width="15.7109375" style="133" customWidth="1"/>
    <col min="9473" max="9473" width="17.5703125" style="133" customWidth="1"/>
    <col min="9474" max="9474" width="18.42578125" style="133" customWidth="1"/>
    <col min="9475" max="9475" width="16.5703125" style="133" customWidth="1"/>
    <col min="9476" max="9476" width="17.7109375" style="133" customWidth="1"/>
    <col min="9477" max="9477" width="17.85546875" style="133" customWidth="1"/>
    <col min="9478" max="9478" width="18.42578125" style="133" customWidth="1"/>
    <col min="9479" max="9479" width="15.42578125" style="133" customWidth="1"/>
    <col min="9480" max="9480" width="14.5703125" style="133" customWidth="1"/>
    <col min="9481" max="9481" width="15" style="133" customWidth="1"/>
    <col min="9482" max="9482" width="6.7109375" style="133" customWidth="1"/>
    <col min="9483" max="9483" width="14.28515625" style="133" customWidth="1"/>
    <col min="9484" max="9484" width="17.5703125" style="133" customWidth="1"/>
    <col min="9485" max="9485" width="27.7109375" style="133" customWidth="1"/>
    <col min="9486" max="9488" width="9.140625" style="133" customWidth="1"/>
    <col min="9489" max="9489" width="14.85546875" style="133" customWidth="1"/>
    <col min="9490" max="9490" width="13.85546875" style="133" customWidth="1"/>
    <col min="9491" max="9712" width="9.140625" style="133" customWidth="1"/>
    <col min="9713" max="9713" width="9" style="133"/>
    <col min="9714" max="9714" width="6.5703125" style="133" customWidth="1"/>
    <col min="9715" max="9715" width="79.5703125" style="133" customWidth="1"/>
    <col min="9716" max="9716" width="23.5703125" style="133" customWidth="1"/>
    <col min="9717" max="9717" width="27.85546875" style="133" customWidth="1"/>
    <col min="9718" max="9718" width="22.28515625" style="133" customWidth="1"/>
    <col min="9719" max="9719" width="23.5703125" style="133" customWidth="1"/>
    <col min="9720" max="9720" width="39" style="133" customWidth="1"/>
    <col min="9721" max="9721" width="36.42578125" style="133" customWidth="1"/>
    <col min="9722" max="9722" width="8" style="133" customWidth="1"/>
    <col min="9723" max="9723" width="15.5703125" style="133" customWidth="1"/>
    <col min="9724" max="9724" width="17.28515625" style="133" customWidth="1"/>
    <col min="9725" max="9725" width="18.85546875" style="133" customWidth="1"/>
    <col min="9726" max="9726" width="81" style="133" customWidth="1"/>
    <col min="9727" max="9727" width="14.85546875" style="133" customWidth="1"/>
    <col min="9728" max="9728" width="15.7109375" style="133" customWidth="1"/>
    <col min="9729" max="9729" width="17.5703125" style="133" customWidth="1"/>
    <col min="9730" max="9730" width="18.42578125" style="133" customWidth="1"/>
    <col min="9731" max="9731" width="16.5703125" style="133" customWidth="1"/>
    <col min="9732" max="9732" width="17.7109375" style="133" customWidth="1"/>
    <col min="9733" max="9733" width="17.85546875" style="133" customWidth="1"/>
    <col min="9734" max="9734" width="18.42578125" style="133" customWidth="1"/>
    <col min="9735" max="9735" width="15.42578125" style="133" customWidth="1"/>
    <col min="9736" max="9736" width="14.5703125" style="133" customWidth="1"/>
    <col min="9737" max="9737" width="15" style="133" customWidth="1"/>
    <col min="9738" max="9738" width="6.7109375" style="133" customWidth="1"/>
    <col min="9739" max="9739" width="14.28515625" style="133" customWidth="1"/>
    <col min="9740" max="9740" width="17.5703125" style="133" customWidth="1"/>
    <col min="9741" max="9741" width="27.7109375" style="133" customWidth="1"/>
    <col min="9742" max="9744" width="9.140625" style="133" customWidth="1"/>
    <col min="9745" max="9745" width="14.85546875" style="133" customWidth="1"/>
    <col min="9746" max="9746" width="13.85546875" style="133" customWidth="1"/>
    <col min="9747" max="9968" width="9.140625" style="133" customWidth="1"/>
    <col min="9969" max="9969" width="9" style="133"/>
    <col min="9970" max="9970" width="6.5703125" style="133" customWidth="1"/>
    <col min="9971" max="9971" width="79.5703125" style="133" customWidth="1"/>
    <col min="9972" max="9972" width="23.5703125" style="133" customWidth="1"/>
    <col min="9973" max="9973" width="27.85546875" style="133" customWidth="1"/>
    <col min="9974" max="9974" width="22.28515625" style="133" customWidth="1"/>
    <col min="9975" max="9975" width="23.5703125" style="133" customWidth="1"/>
    <col min="9976" max="9976" width="39" style="133" customWidth="1"/>
    <col min="9977" max="9977" width="36.42578125" style="133" customWidth="1"/>
    <col min="9978" max="9978" width="8" style="133" customWidth="1"/>
    <col min="9979" max="9979" width="15.5703125" style="133" customWidth="1"/>
    <col min="9980" max="9980" width="17.28515625" style="133" customWidth="1"/>
    <col min="9981" max="9981" width="18.85546875" style="133" customWidth="1"/>
    <col min="9982" max="9982" width="81" style="133" customWidth="1"/>
    <col min="9983" max="9983" width="14.85546875" style="133" customWidth="1"/>
    <col min="9984" max="9984" width="15.7109375" style="133" customWidth="1"/>
    <col min="9985" max="9985" width="17.5703125" style="133" customWidth="1"/>
    <col min="9986" max="9986" width="18.42578125" style="133" customWidth="1"/>
    <col min="9987" max="9987" width="16.5703125" style="133" customWidth="1"/>
    <col min="9988" max="9988" width="17.7109375" style="133" customWidth="1"/>
    <col min="9989" max="9989" width="17.85546875" style="133" customWidth="1"/>
    <col min="9990" max="9990" width="18.42578125" style="133" customWidth="1"/>
    <col min="9991" max="9991" width="15.42578125" style="133" customWidth="1"/>
    <col min="9992" max="9992" width="14.5703125" style="133" customWidth="1"/>
    <col min="9993" max="9993" width="15" style="133" customWidth="1"/>
    <col min="9994" max="9994" width="6.7109375" style="133" customWidth="1"/>
    <col min="9995" max="9995" width="14.28515625" style="133" customWidth="1"/>
    <col min="9996" max="9996" width="17.5703125" style="133" customWidth="1"/>
    <col min="9997" max="9997" width="27.7109375" style="133" customWidth="1"/>
    <col min="9998" max="10000" width="9.140625" style="133" customWidth="1"/>
    <col min="10001" max="10001" width="14.85546875" style="133" customWidth="1"/>
    <col min="10002" max="10002" width="13.85546875" style="133" customWidth="1"/>
    <col min="10003" max="10224" width="9.140625" style="133" customWidth="1"/>
    <col min="10225" max="10225" width="9" style="133"/>
    <col min="10226" max="10226" width="6.5703125" style="133" customWidth="1"/>
    <col min="10227" max="10227" width="79.5703125" style="133" customWidth="1"/>
    <col min="10228" max="10228" width="23.5703125" style="133" customWidth="1"/>
    <col min="10229" max="10229" width="27.85546875" style="133" customWidth="1"/>
    <col min="10230" max="10230" width="22.28515625" style="133" customWidth="1"/>
    <col min="10231" max="10231" width="23.5703125" style="133" customWidth="1"/>
    <col min="10232" max="10232" width="39" style="133" customWidth="1"/>
    <col min="10233" max="10233" width="36.42578125" style="133" customWidth="1"/>
    <col min="10234" max="10234" width="8" style="133" customWidth="1"/>
    <col min="10235" max="10235" width="15.5703125" style="133" customWidth="1"/>
    <col min="10236" max="10236" width="17.28515625" style="133" customWidth="1"/>
    <col min="10237" max="10237" width="18.85546875" style="133" customWidth="1"/>
    <col min="10238" max="10238" width="81" style="133" customWidth="1"/>
    <col min="10239" max="10239" width="14.85546875" style="133" customWidth="1"/>
    <col min="10240" max="10240" width="15.7109375" style="133" customWidth="1"/>
    <col min="10241" max="10241" width="17.5703125" style="133" customWidth="1"/>
    <col min="10242" max="10242" width="18.42578125" style="133" customWidth="1"/>
    <col min="10243" max="10243" width="16.5703125" style="133" customWidth="1"/>
    <col min="10244" max="10244" width="17.7109375" style="133" customWidth="1"/>
    <col min="10245" max="10245" width="17.85546875" style="133" customWidth="1"/>
    <col min="10246" max="10246" width="18.42578125" style="133" customWidth="1"/>
    <col min="10247" max="10247" width="15.42578125" style="133" customWidth="1"/>
    <col min="10248" max="10248" width="14.5703125" style="133" customWidth="1"/>
    <col min="10249" max="10249" width="15" style="133" customWidth="1"/>
    <col min="10250" max="10250" width="6.7109375" style="133" customWidth="1"/>
    <col min="10251" max="10251" width="14.28515625" style="133" customWidth="1"/>
    <col min="10252" max="10252" width="17.5703125" style="133" customWidth="1"/>
    <col min="10253" max="10253" width="27.7109375" style="133" customWidth="1"/>
    <col min="10254" max="10256" width="9.140625" style="133" customWidth="1"/>
    <col min="10257" max="10257" width="14.85546875" style="133" customWidth="1"/>
    <col min="10258" max="10258" width="13.85546875" style="133" customWidth="1"/>
    <col min="10259" max="10480" width="9.140625" style="133" customWidth="1"/>
    <col min="10481" max="10481" width="9" style="133"/>
    <col min="10482" max="10482" width="6.5703125" style="133" customWidth="1"/>
    <col min="10483" max="10483" width="79.5703125" style="133" customWidth="1"/>
    <col min="10484" max="10484" width="23.5703125" style="133" customWidth="1"/>
    <col min="10485" max="10485" width="27.85546875" style="133" customWidth="1"/>
    <col min="10486" max="10486" width="22.28515625" style="133" customWidth="1"/>
    <col min="10487" max="10487" width="23.5703125" style="133" customWidth="1"/>
    <col min="10488" max="10488" width="39" style="133" customWidth="1"/>
    <col min="10489" max="10489" width="36.42578125" style="133" customWidth="1"/>
    <col min="10490" max="10490" width="8" style="133" customWidth="1"/>
    <col min="10491" max="10491" width="15.5703125" style="133" customWidth="1"/>
    <col min="10492" max="10492" width="17.28515625" style="133" customWidth="1"/>
    <col min="10493" max="10493" width="18.85546875" style="133" customWidth="1"/>
    <col min="10494" max="10494" width="81" style="133" customWidth="1"/>
    <col min="10495" max="10495" width="14.85546875" style="133" customWidth="1"/>
    <col min="10496" max="10496" width="15.7109375" style="133" customWidth="1"/>
    <col min="10497" max="10497" width="17.5703125" style="133" customWidth="1"/>
    <col min="10498" max="10498" width="18.42578125" style="133" customWidth="1"/>
    <col min="10499" max="10499" width="16.5703125" style="133" customWidth="1"/>
    <col min="10500" max="10500" width="17.7109375" style="133" customWidth="1"/>
    <col min="10501" max="10501" width="17.85546875" style="133" customWidth="1"/>
    <col min="10502" max="10502" width="18.42578125" style="133" customWidth="1"/>
    <col min="10503" max="10503" width="15.42578125" style="133" customWidth="1"/>
    <col min="10504" max="10504" width="14.5703125" style="133" customWidth="1"/>
    <col min="10505" max="10505" width="15" style="133" customWidth="1"/>
    <col min="10506" max="10506" width="6.7109375" style="133" customWidth="1"/>
    <col min="10507" max="10507" width="14.28515625" style="133" customWidth="1"/>
    <col min="10508" max="10508" width="17.5703125" style="133" customWidth="1"/>
    <col min="10509" max="10509" width="27.7109375" style="133" customWidth="1"/>
    <col min="10510" max="10512" width="9.140625" style="133" customWidth="1"/>
    <col min="10513" max="10513" width="14.85546875" style="133" customWidth="1"/>
    <col min="10514" max="10514" width="13.85546875" style="133" customWidth="1"/>
    <col min="10515" max="10736" width="9.140625" style="133" customWidth="1"/>
    <col min="10737" max="10737" width="9" style="133"/>
    <col min="10738" max="10738" width="6.5703125" style="133" customWidth="1"/>
    <col min="10739" max="10739" width="79.5703125" style="133" customWidth="1"/>
    <col min="10740" max="10740" width="23.5703125" style="133" customWidth="1"/>
    <col min="10741" max="10741" width="27.85546875" style="133" customWidth="1"/>
    <col min="10742" max="10742" width="22.28515625" style="133" customWidth="1"/>
    <col min="10743" max="10743" width="23.5703125" style="133" customWidth="1"/>
    <col min="10744" max="10744" width="39" style="133" customWidth="1"/>
    <col min="10745" max="10745" width="36.42578125" style="133" customWidth="1"/>
    <col min="10746" max="10746" width="8" style="133" customWidth="1"/>
    <col min="10747" max="10747" width="15.5703125" style="133" customWidth="1"/>
    <col min="10748" max="10748" width="17.28515625" style="133" customWidth="1"/>
    <col min="10749" max="10749" width="18.85546875" style="133" customWidth="1"/>
    <col min="10750" max="10750" width="81" style="133" customWidth="1"/>
    <col min="10751" max="10751" width="14.85546875" style="133" customWidth="1"/>
    <col min="10752" max="10752" width="15.7109375" style="133" customWidth="1"/>
    <col min="10753" max="10753" width="17.5703125" style="133" customWidth="1"/>
    <col min="10754" max="10754" width="18.42578125" style="133" customWidth="1"/>
    <col min="10755" max="10755" width="16.5703125" style="133" customWidth="1"/>
    <col min="10756" max="10756" width="17.7109375" style="133" customWidth="1"/>
    <col min="10757" max="10757" width="17.85546875" style="133" customWidth="1"/>
    <col min="10758" max="10758" width="18.42578125" style="133" customWidth="1"/>
    <col min="10759" max="10759" width="15.42578125" style="133" customWidth="1"/>
    <col min="10760" max="10760" width="14.5703125" style="133" customWidth="1"/>
    <col min="10761" max="10761" width="15" style="133" customWidth="1"/>
    <col min="10762" max="10762" width="6.7109375" style="133" customWidth="1"/>
    <col min="10763" max="10763" width="14.28515625" style="133" customWidth="1"/>
    <col min="10764" max="10764" width="17.5703125" style="133" customWidth="1"/>
    <col min="10765" max="10765" width="27.7109375" style="133" customWidth="1"/>
    <col min="10766" max="10768" width="9.140625" style="133" customWidth="1"/>
    <col min="10769" max="10769" width="14.85546875" style="133" customWidth="1"/>
    <col min="10770" max="10770" width="13.85546875" style="133" customWidth="1"/>
    <col min="10771" max="10992" width="9.140625" style="133" customWidth="1"/>
    <col min="10993" max="10993" width="9" style="133"/>
    <col min="10994" max="10994" width="6.5703125" style="133" customWidth="1"/>
    <col min="10995" max="10995" width="79.5703125" style="133" customWidth="1"/>
    <col min="10996" max="10996" width="23.5703125" style="133" customWidth="1"/>
    <col min="10997" max="10997" width="27.85546875" style="133" customWidth="1"/>
    <col min="10998" max="10998" width="22.28515625" style="133" customWidth="1"/>
    <col min="10999" max="10999" width="23.5703125" style="133" customWidth="1"/>
    <col min="11000" max="11000" width="39" style="133" customWidth="1"/>
    <col min="11001" max="11001" width="36.42578125" style="133" customWidth="1"/>
    <col min="11002" max="11002" width="8" style="133" customWidth="1"/>
    <col min="11003" max="11003" width="15.5703125" style="133" customWidth="1"/>
    <col min="11004" max="11004" width="17.28515625" style="133" customWidth="1"/>
    <col min="11005" max="11005" width="18.85546875" style="133" customWidth="1"/>
    <col min="11006" max="11006" width="81" style="133" customWidth="1"/>
    <col min="11007" max="11007" width="14.85546875" style="133" customWidth="1"/>
    <col min="11008" max="11008" width="15.7109375" style="133" customWidth="1"/>
    <col min="11009" max="11009" width="17.5703125" style="133" customWidth="1"/>
    <col min="11010" max="11010" width="18.42578125" style="133" customWidth="1"/>
    <col min="11011" max="11011" width="16.5703125" style="133" customWidth="1"/>
    <col min="11012" max="11012" width="17.7109375" style="133" customWidth="1"/>
    <col min="11013" max="11013" width="17.85546875" style="133" customWidth="1"/>
    <col min="11014" max="11014" width="18.42578125" style="133" customWidth="1"/>
    <col min="11015" max="11015" width="15.42578125" style="133" customWidth="1"/>
    <col min="11016" max="11016" width="14.5703125" style="133" customWidth="1"/>
    <col min="11017" max="11017" width="15" style="133" customWidth="1"/>
    <col min="11018" max="11018" width="6.7109375" style="133" customWidth="1"/>
    <col min="11019" max="11019" width="14.28515625" style="133" customWidth="1"/>
    <col min="11020" max="11020" width="17.5703125" style="133" customWidth="1"/>
    <col min="11021" max="11021" width="27.7109375" style="133" customWidth="1"/>
    <col min="11022" max="11024" width="9.140625" style="133" customWidth="1"/>
    <col min="11025" max="11025" width="14.85546875" style="133" customWidth="1"/>
    <col min="11026" max="11026" width="13.85546875" style="133" customWidth="1"/>
    <col min="11027" max="11248" width="9.140625" style="133" customWidth="1"/>
    <col min="11249" max="11249" width="9" style="133"/>
    <col min="11250" max="11250" width="6.5703125" style="133" customWidth="1"/>
    <col min="11251" max="11251" width="79.5703125" style="133" customWidth="1"/>
    <col min="11252" max="11252" width="23.5703125" style="133" customWidth="1"/>
    <col min="11253" max="11253" width="27.85546875" style="133" customWidth="1"/>
    <col min="11254" max="11254" width="22.28515625" style="133" customWidth="1"/>
    <col min="11255" max="11255" width="23.5703125" style="133" customWidth="1"/>
    <col min="11256" max="11256" width="39" style="133" customWidth="1"/>
    <col min="11257" max="11257" width="36.42578125" style="133" customWidth="1"/>
    <col min="11258" max="11258" width="8" style="133" customWidth="1"/>
    <col min="11259" max="11259" width="15.5703125" style="133" customWidth="1"/>
    <col min="11260" max="11260" width="17.28515625" style="133" customWidth="1"/>
    <col min="11261" max="11261" width="18.85546875" style="133" customWidth="1"/>
    <col min="11262" max="11262" width="81" style="133" customWidth="1"/>
    <col min="11263" max="11263" width="14.85546875" style="133" customWidth="1"/>
    <col min="11264" max="11264" width="15.7109375" style="133" customWidth="1"/>
    <col min="11265" max="11265" width="17.5703125" style="133" customWidth="1"/>
    <col min="11266" max="11266" width="18.42578125" style="133" customWidth="1"/>
    <col min="11267" max="11267" width="16.5703125" style="133" customWidth="1"/>
    <col min="11268" max="11268" width="17.7109375" style="133" customWidth="1"/>
    <col min="11269" max="11269" width="17.85546875" style="133" customWidth="1"/>
    <col min="11270" max="11270" width="18.42578125" style="133" customWidth="1"/>
    <col min="11271" max="11271" width="15.42578125" style="133" customWidth="1"/>
    <col min="11272" max="11272" width="14.5703125" style="133" customWidth="1"/>
    <col min="11273" max="11273" width="15" style="133" customWidth="1"/>
    <col min="11274" max="11274" width="6.7109375" style="133" customWidth="1"/>
    <col min="11275" max="11275" width="14.28515625" style="133" customWidth="1"/>
    <col min="11276" max="11276" width="17.5703125" style="133" customWidth="1"/>
    <col min="11277" max="11277" width="27.7109375" style="133" customWidth="1"/>
    <col min="11278" max="11280" width="9.140625" style="133" customWidth="1"/>
    <col min="11281" max="11281" width="14.85546875" style="133" customWidth="1"/>
    <col min="11282" max="11282" width="13.85546875" style="133" customWidth="1"/>
    <col min="11283" max="11504" width="9.140625" style="133" customWidth="1"/>
    <col min="11505" max="11505" width="9" style="133"/>
    <col min="11506" max="11506" width="6.5703125" style="133" customWidth="1"/>
    <col min="11507" max="11507" width="79.5703125" style="133" customWidth="1"/>
    <col min="11508" max="11508" width="23.5703125" style="133" customWidth="1"/>
    <col min="11509" max="11509" width="27.85546875" style="133" customWidth="1"/>
    <col min="11510" max="11510" width="22.28515625" style="133" customWidth="1"/>
    <col min="11511" max="11511" width="23.5703125" style="133" customWidth="1"/>
    <col min="11512" max="11512" width="39" style="133" customWidth="1"/>
    <col min="11513" max="11513" width="36.42578125" style="133" customWidth="1"/>
    <col min="11514" max="11514" width="8" style="133" customWidth="1"/>
    <col min="11515" max="11515" width="15.5703125" style="133" customWidth="1"/>
    <col min="11516" max="11516" width="17.28515625" style="133" customWidth="1"/>
    <col min="11517" max="11517" width="18.85546875" style="133" customWidth="1"/>
    <col min="11518" max="11518" width="81" style="133" customWidth="1"/>
    <col min="11519" max="11519" width="14.85546875" style="133" customWidth="1"/>
    <col min="11520" max="11520" width="15.7109375" style="133" customWidth="1"/>
    <col min="11521" max="11521" width="17.5703125" style="133" customWidth="1"/>
    <col min="11522" max="11522" width="18.42578125" style="133" customWidth="1"/>
    <col min="11523" max="11523" width="16.5703125" style="133" customWidth="1"/>
    <col min="11524" max="11524" width="17.7109375" style="133" customWidth="1"/>
    <col min="11525" max="11525" width="17.85546875" style="133" customWidth="1"/>
    <col min="11526" max="11526" width="18.42578125" style="133" customWidth="1"/>
    <col min="11527" max="11527" width="15.42578125" style="133" customWidth="1"/>
    <col min="11528" max="11528" width="14.5703125" style="133" customWidth="1"/>
    <col min="11529" max="11529" width="15" style="133" customWidth="1"/>
    <col min="11530" max="11530" width="6.7109375" style="133" customWidth="1"/>
    <col min="11531" max="11531" width="14.28515625" style="133" customWidth="1"/>
    <col min="11532" max="11532" width="17.5703125" style="133" customWidth="1"/>
    <col min="11533" max="11533" width="27.7109375" style="133" customWidth="1"/>
    <col min="11534" max="11536" width="9.140625" style="133" customWidth="1"/>
    <col min="11537" max="11537" width="14.85546875" style="133" customWidth="1"/>
    <col min="11538" max="11538" width="13.85546875" style="133" customWidth="1"/>
    <col min="11539" max="11760" width="9.140625" style="133" customWidth="1"/>
    <col min="11761" max="11761" width="9" style="133"/>
    <col min="11762" max="11762" width="6.5703125" style="133" customWidth="1"/>
    <col min="11763" max="11763" width="79.5703125" style="133" customWidth="1"/>
    <col min="11764" max="11764" width="23.5703125" style="133" customWidth="1"/>
    <col min="11765" max="11765" width="27.85546875" style="133" customWidth="1"/>
    <col min="11766" max="11766" width="22.28515625" style="133" customWidth="1"/>
    <col min="11767" max="11767" width="23.5703125" style="133" customWidth="1"/>
    <col min="11768" max="11768" width="39" style="133" customWidth="1"/>
    <col min="11769" max="11769" width="36.42578125" style="133" customWidth="1"/>
    <col min="11770" max="11770" width="8" style="133" customWidth="1"/>
    <col min="11771" max="11771" width="15.5703125" style="133" customWidth="1"/>
    <col min="11772" max="11772" width="17.28515625" style="133" customWidth="1"/>
    <col min="11773" max="11773" width="18.85546875" style="133" customWidth="1"/>
    <col min="11774" max="11774" width="81" style="133" customWidth="1"/>
    <col min="11775" max="11775" width="14.85546875" style="133" customWidth="1"/>
    <col min="11776" max="11776" width="15.7109375" style="133" customWidth="1"/>
    <col min="11777" max="11777" width="17.5703125" style="133" customWidth="1"/>
    <col min="11778" max="11778" width="18.42578125" style="133" customWidth="1"/>
    <col min="11779" max="11779" width="16.5703125" style="133" customWidth="1"/>
    <col min="11780" max="11780" width="17.7109375" style="133" customWidth="1"/>
    <col min="11781" max="11781" width="17.85546875" style="133" customWidth="1"/>
    <col min="11782" max="11782" width="18.42578125" style="133" customWidth="1"/>
    <col min="11783" max="11783" width="15.42578125" style="133" customWidth="1"/>
    <col min="11784" max="11784" width="14.5703125" style="133" customWidth="1"/>
    <col min="11785" max="11785" width="15" style="133" customWidth="1"/>
    <col min="11786" max="11786" width="6.7109375" style="133" customWidth="1"/>
    <col min="11787" max="11787" width="14.28515625" style="133" customWidth="1"/>
    <col min="11788" max="11788" width="17.5703125" style="133" customWidth="1"/>
    <col min="11789" max="11789" width="27.7109375" style="133" customWidth="1"/>
    <col min="11790" max="11792" width="9.140625" style="133" customWidth="1"/>
    <col min="11793" max="11793" width="14.85546875" style="133" customWidth="1"/>
    <col min="11794" max="11794" width="13.85546875" style="133" customWidth="1"/>
    <col min="11795" max="12016" width="9.140625" style="133" customWidth="1"/>
    <col min="12017" max="12017" width="9" style="133"/>
    <col min="12018" max="12018" width="6.5703125" style="133" customWidth="1"/>
    <col min="12019" max="12019" width="79.5703125" style="133" customWidth="1"/>
    <col min="12020" max="12020" width="23.5703125" style="133" customWidth="1"/>
    <col min="12021" max="12021" width="27.85546875" style="133" customWidth="1"/>
    <col min="12022" max="12022" width="22.28515625" style="133" customWidth="1"/>
    <col min="12023" max="12023" width="23.5703125" style="133" customWidth="1"/>
    <col min="12024" max="12024" width="39" style="133" customWidth="1"/>
    <col min="12025" max="12025" width="36.42578125" style="133" customWidth="1"/>
    <col min="12026" max="12026" width="8" style="133" customWidth="1"/>
    <col min="12027" max="12027" width="15.5703125" style="133" customWidth="1"/>
    <col min="12028" max="12028" width="17.28515625" style="133" customWidth="1"/>
    <col min="12029" max="12029" width="18.85546875" style="133" customWidth="1"/>
    <col min="12030" max="12030" width="81" style="133" customWidth="1"/>
    <col min="12031" max="12031" width="14.85546875" style="133" customWidth="1"/>
    <col min="12032" max="12032" width="15.7109375" style="133" customWidth="1"/>
    <col min="12033" max="12033" width="17.5703125" style="133" customWidth="1"/>
    <col min="12034" max="12034" width="18.42578125" style="133" customWidth="1"/>
    <col min="12035" max="12035" width="16.5703125" style="133" customWidth="1"/>
    <col min="12036" max="12036" width="17.7109375" style="133" customWidth="1"/>
    <col min="12037" max="12037" width="17.85546875" style="133" customWidth="1"/>
    <col min="12038" max="12038" width="18.42578125" style="133" customWidth="1"/>
    <col min="12039" max="12039" width="15.42578125" style="133" customWidth="1"/>
    <col min="12040" max="12040" width="14.5703125" style="133" customWidth="1"/>
    <col min="12041" max="12041" width="15" style="133" customWidth="1"/>
    <col min="12042" max="12042" width="6.7109375" style="133" customWidth="1"/>
    <col min="12043" max="12043" width="14.28515625" style="133" customWidth="1"/>
    <col min="12044" max="12044" width="17.5703125" style="133" customWidth="1"/>
    <col min="12045" max="12045" width="27.7109375" style="133" customWidth="1"/>
    <col min="12046" max="12048" width="9.140625" style="133" customWidth="1"/>
    <col min="12049" max="12049" width="14.85546875" style="133" customWidth="1"/>
    <col min="12050" max="12050" width="13.85546875" style="133" customWidth="1"/>
    <col min="12051" max="12272" width="9.140625" style="133" customWidth="1"/>
    <col min="12273" max="12273" width="9" style="133"/>
    <col min="12274" max="12274" width="6.5703125" style="133" customWidth="1"/>
    <col min="12275" max="12275" width="79.5703125" style="133" customWidth="1"/>
    <col min="12276" max="12276" width="23.5703125" style="133" customWidth="1"/>
    <col min="12277" max="12277" width="27.85546875" style="133" customWidth="1"/>
    <col min="12278" max="12278" width="22.28515625" style="133" customWidth="1"/>
    <col min="12279" max="12279" width="23.5703125" style="133" customWidth="1"/>
    <col min="12280" max="12280" width="39" style="133" customWidth="1"/>
    <col min="12281" max="12281" width="36.42578125" style="133" customWidth="1"/>
    <col min="12282" max="12282" width="8" style="133" customWidth="1"/>
    <col min="12283" max="12283" width="15.5703125" style="133" customWidth="1"/>
    <col min="12284" max="12284" width="17.28515625" style="133" customWidth="1"/>
    <col min="12285" max="12285" width="18.85546875" style="133" customWidth="1"/>
    <col min="12286" max="12286" width="81" style="133" customWidth="1"/>
    <col min="12287" max="12287" width="14.85546875" style="133" customWidth="1"/>
    <col min="12288" max="12288" width="15.7109375" style="133" customWidth="1"/>
    <col min="12289" max="12289" width="17.5703125" style="133" customWidth="1"/>
    <col min="12290" max="12290" width="18.42578125" style="133" customWidth="1"/>
    <col min="12291" max="12291" width="16.5703125" style="133" customWidth="1"/>
    <col min="12292" max="12292" width="17.7109375" style="133" customWidth="1"/>
    <col min="12293" max="12293" width="17.85546875" style="133" customWidth="1"/>
    <col min="12294" max="12294" width="18.42578125" style="133" customWidth="1"/>
    <col min="12295" max="12295" width="15.42578125" style="133" customWidth="1"/>
    <col min="12296" max="12296" width="14.5703125" style="133" customWidth="1"/>
    <col min="12297" max="12297" width="15" style="133" customWidth="1"/>
    <col min="12298" max="12298" width="6.7109375" style="133" customWidth="1"/>
    <col min="12299" max="12299" width="14.28515625" style="133" customWidth="1"/>
    <col min="12300" max="12300" width="17.5703125" style="133" customWidth="1"/>
    <col min="12301" max="12301" width="27.7109375" style="133" customWidth="1"/>
    <col min="12302" max="12304" width="9.140625" style="133" customWidth="1"/>
    <col min="12305" max="12305" width="14.85546875" style="133" customWidth="1"/>
    <col min="12306" max="12306" width="13.85546875" style="133" customWidth="1"/>
    <col min="12307" max="12528" width="9.140625" style="133" customWidth="1"/>
    <col min="12529" max="12529" width="9" style="133"/>
    <col min="12530" max="12530" width="6.5703125" style="133" customWidth="1"/>
    <col min="12531" max="12531" width="79.5703125" style="133" customWidth="1"/>
    <col min="12532" max="12532" width="23.5703125" style="133" customWidth="1"/>
    <col min="12533" max="12533" width="27.85546875" style="133" customWidth="1"/>
    <col min="12534" max="12534" width="22.28515625" style="133" customWidth="1"/>
    <col min="12535" max="12535" width="23.5703125" style="133" customWidth="1"/>
    <col min="12536" max="12536" width="39" style="133" customWidth="1"/>
    <col min="12537" max="12537" width="36.42578125" style="133" customWidth="1"/>
    <col min="12538" max="12538" width="8" style="133" customWidth="1"/>
    <col min="12539" max="12539" width="15.5703125" style="133" customWidth="1"/>
    <col min="12540" max="12540" width="17.28515625" style="133" customWidth="1"/>
    <col min="12541" max="12541" width="18.85546875" style="133" customWidth="1"/>
    <col min="12542" max="12542" width="81" style="133" customWidth="1"/>
    <col min="12543" max="12543" width="14.85546875" style="133" customWidth="1"/>
    <col min="12544" max="12544" width="15.7109375" style="133" customWidth="1"/>
    <col min="12545" max="12545" width="17.5703125" style="133" customWidth="1"/>
    <col min="12546" max="12546" width="18.42578125" style="133" customWidth="1"/>
    <col min="12547" max="12547" width="16.5703125" style="133" customWidth="1"/>
    <col min="12548" max="12548" width="17.7109375" style="133" customWidth="1"/>
    <col min="12549" max="12549" width="17.85546875" style="133" customWidth="1"/>
    <col min="12550" max="12550" width="18.42578125" style="133" customWidth="1"/>
    <col min="12551" max="12551" width="15.42578125" style="133" customWidth="1"/>
    <col min="12552" max="12552" width="14.5703125" style="133" customWidth="1"/>
    <col min="12553" max="12553" width="15" style="133" customWidth="1"/>
    <col min="12554" max="12554" width="6.7109375" style="133" customWidth="1"/>
    <col min="12555" max="12555" width="14.28515625" style="133" customWidth="1"/>
    <col min="12556" max="12556" width="17.5703125" style="133" customWidth="1"/>
    <col min="12557" max="12557" width="27.7109375" style="133" customWidth="1"/>
    <col min="12558" max="12560" width="9.140625" style="133" customWidth="1"/>
    <col min="12561" max="12561" width="14.85546875" style="133" customWidth="1"/>
    <col min="12562" max="12562" width="13.85546875" style="133" customWidth="1"/>
    <col min="12563" max="12784" width="9.140625" style="133" customWidth="1"/>
    <col min="12785" max="12785" width="9" style="133"/>
    <col min="12786" max="12786" width="6.5703125" style="133" customWidth="1"/>
    <col min="12787" max="12787" width="79.5703125" style="133" customWidth="1"/>
    <col min="12788" max="12788" width="23.5703125" style="133" customWidth="1"/>
    <col min="12789" max="12789" width="27.85546875" style="133" customWidth="1"/>
    <col min="12790" max="12790" width="22.28515625" style="133" customWidth="1"/>
    <col min="12791" max="12791" width="23.5703125" style="133" customWidth="1"/>
    <col min="12792" max="12792" width="39" style="133" customWidth="1"/>
    <col min="12793" max="12793" width="36.42578125" style="133" customWidth="1"/>
    <col min="12794" max="12794" width="8" style="133" customWidth="1"/>
    <col min="12795" max="12795" width="15.5703125" style="133" customWidth="1"/>
    <col min="12796" max="12796" width="17.28515625" style="133" customWidth="1"/>
    <col min="12797" max="12797" width="18.85546875" style="133" customWidth="1"/>
    <col min="12798" max="12798" width="81" style="133" customWidth="1"/>
    <col min="12799" max="12799" width="14.85546875" style="133" customWidth="1"/>
    <col min="12800" max="12800" width="15.7109375" style="133" customWidth="1"/>
    <col min="12801" max="12801" width="17.5703125" style="133" customWidth="1"/>
    <col min="12802" max="12802" width="18.42578125" style="133" customWidth="1"/>
    <col min="12803" max="12803" width="16.5703125" style="133" customWidth="1"/>
    <col min="12804" max="12804" width="17.7109375" style="133" customWidth="1"/>
    <col min="12805" max="12805" width="17.85546875" style="133" customWidth="1"/>
    <col min="12806" max="12806" width="18.42578125" style="133" customWidth="1"/>
    <col min="12807" max="12807" width="15.42578125" style="133" customWidth="1"/>
    <col min="12808" max="12808" width="14.5703125" style="133" customWidth="1"/>
    <col min="12809" max="12809" width="15" style="133" customWidth="1"/>
    <col min="12810" max="12810" width="6.7109375" style="133" customWidth="1"/>
    <col min="12811" max="12811" width="14.28515625" style="133" customWidth="1"/>
    <col min="12812" max="12812" width="17.5703125" style="133" customWidth="1"/>
    <col min="12813" max="12813" width="27.7109375" style="133" customWidth="1"/>
    <col min="12814" max="12816" width="9.140625" style="133" customWidth="1"/>
    <col min="12817" max="12817" width="14.85546875" style="133" customWidth="1"/>
    <col min="12818" max="12818" width="13.85546875" style="133" customWidth="1"/>
    <col min="12819" max="13040" width="9.140625" style="133" customWidth="1"/>
    <col min="13041" max="13041" width="9" style="133"/>
    <col min="13042" max="13042" width="6.5703125" style="133" customWidth="1"/>
    <col min="13043" max="13043" width="79.5703125" style="133" customWidth="1"/>
    <col min="13044" max="13044" width="23.5703125" style="133" customWidth="1"/>
    <col min="13045" max="13045" width="27.85546875" style="133" customWidth="1"/>
    <col min="13046" max="13046" width="22.28515625" style="133" customWidth="1"/>
    <col min="13047" max="13047" width="23.5703125" style="133" customWidth="1"/>
    <col min="13048" max="13048" width="39" style="133" customWidth="1"/>
    <col min="13049" max="13049" width="36.42578125" style="133" customWidth="1"/>
    <col min="13050" max="13050" width="8" style="133" customWidth="1"/>
    <col min="13051" max="13051" width="15.5703125" style="133" customWidth="1"/>
    <col min="13052" max="13052" width="17.28515625" style="133" customWidth="1"/>
    <col min="13053" max="13053" width="18.85546875" style="133" customWidth="1"/>
    <col min="13054" max="13054" width="81" style="133" customWidth="1"/>
    <col min="13055" max="13055" width="14.85546875" style="133" customWidth="1"/>
    <col min="13056" max="13056" width="15.7109375" style="133" customWidth="1"/>
    <col min="13057" max="13057" width="17.5703125" style="133" customWidth="1"/>
    <col min="13058" max="13058" width="18.42578125" style="133" customWidth="1"/>
    <col min="13059" max="13059" width="16.5703125" style="133" customWidth="1"/>
    <col min="13060" max="13060" width="17.7109375" style="133" customWidth="1"/>
    <col min="13061" max="13061" width="17.85546875" style="133" customWidth="1"/>
    <col min="13062" max="13062" width="18.42578125" style="133" customWidth="1"/>
    <col min="13063" max="13063" width="15.42578125" style="133" customWidth="1"/>
    <col min="13064" max="13064" width="14.5703125" style="133" customWidth="1"/>
    <col min="13065" max="13065" width="15" style="133" customWidth="1"/>
    <col min="13066" max="13066" width="6.7109375" style="133" customWidth="1"/>
    <col min="13067" max="13067" width="14.28515625" style="133" customWidth="1"/>
    <col min="13068" max="13068" width="17.5703125" style="133" customWidth="1"/>
    <col min="13069" max="13069" width="27.7109375" style="133" customWidth="1"/>
    <col min="13070" max="13072" width="9.140625" style="133" customWidth="1"/>
    <col min="13073" max="13073" width="14.85546875" style="133" customWidth="1"/>
    <col min="13074" max="13074" width="13.85546875" style="133" customWidth="1"/>
    <col min="13075" max="13296" width="9.140625" style="133" customWidth="1"/>
    <col min="13297" max="13297" width="9" style="133"/>
    <col min="13298" max="13298" width="6.5703125" style="133" customWidth="1"/>
    <col min="13299" max="13299" width="79.5703125" style="133" customWidth="1"/>
    <col min="13300" max="13300" width="23.5703125" style="133" customWidth="1"/>
    <col min="13301" max="13301" width="27.85546875" style="133" customWidth="1"/>
    <col min="13302" max="13302" width="22.28515625" style="133" customWidth="1"/>
    <col min="13303" max="13303" width="23.5703125" style="133" customWidth="1"/>
    <col min="13304" max="13304" width="39" style="133" customWidth="1"/>
    <col min="13305" max="13305" width="36.42578125" style="133" customWidth="1"/>
    <col min="13306" max="13306" width="8" style="133" customWidth="1"/>
    <col min="13307" max="13307" width="15.5703125" style="133" customWidth="1"/>
    <col min="13308" max="13308" width="17.28515625" style="133" customWidth="1"/>
    <col min="13309" max="13309" width="18.85546875" style="133" customWidth="1"/>
    <col min="13310" max="13310" width="81" style="133" customWidth="1"/>
    <col min="13311" max="13311" width="14.85546875" style="133" customWidth="1"/>
    <col min="13312" max="13312" width="15.7109375" style="133" customWidth="1"/>
    <col min="13313" max="13313" width="17.5703125" style="133" customWidth="1"/>
    <col min="13314" max="13314" width="18.42578125" style="133" customWidth="1"/>
    <col min="13315" max="13315" width="16.5703125" style="133" customWidth="1"/>
    <col min="13316" max="13316" width="17.7109375" style="133" customWidth="1"/>
    <col min="13317" max="13317" width="17.85546875" style="133" customWidth="1"/>
    <col min="13318" max="13318" width="18.42578125" style="133" customWidth="1"/>
    <col min="13319" max="13319" width="15.42578125" style="133" customWidth="1"/>
    <col min="13320" max="13320" width="14.5703125" style="133" customWidth="1"/>
    <col min="13321" max="13321" width="15" style="133" customWidth="1"/>
    <col min="13322" max="13322" width="6.7109375" style="133" customWidth="1"/>
    <col min="13323" max="13323" width="14.28515625" style="133" customWidth="1"/>
    <col min="13324" max="13324" width="17.5703125" style="133" customWidth="1"/>
    <col min="13325" max="13325" width="27.7109375" style="133" customWidth="1"/>
    <col min="13326" max="13328" width="9.140625" style="133" customWidth="1"/>
    <col min="13329" max="13329" width="14.85546875" style="133" customWidth="1"/>
    <col min="13330" max="13330" width="13.85546875" style="133" customWidth="1"/>
    <col min="13331" max="13552" width="9.140625" style="133" customWidth="1"/>
    <col min="13553" max="13553" width="9" style="133"/>
    <col min="13554" max="13554" width="6.5703125" style="133" customWidth="1"/>
    <col min="13555" max="13555" width="79.5703125" style="133" customWidth="1"/>
    <col min="13556" max="13556" width="23.5703125" style="133" customWidth="1"/>
    <col min="13557" max="13557" width="27.85546875" style="133" customWidth="1"/>
    <col min="13558" max="13558" width="22.28515625" style="133" customWidth="1"/>
    <col min="13559" max="13559" width="23.5703125" style="133" customWidth="1"/>
    <col min="13560" max="13560" width="39" style="133" customWidth="1"/>
    <col min="13561" max="13561" width="36.42578125" style="133" customWidth="1"/>
    <col min="13562" max="13562" width="8" style="133" customWidth="1"/>
    <col min="13563" max="13563" width="15.5703125" style="133" customWidth="1"/>
    <col min="13564" max="13564" width="17.28515625" style="133" customWidth="1"/>
    <col min="13565" max="13565" width="18.85546875" style="133" customWidth="1"/>
    <col min="13566" max="13566" width="81" style="133" customWidth="1"/>
    <col min="13567" max="13567" width="14.85546875" style="133" customWidth="1"/>
    <col min="13568" max="13568" width="15.7109375" style="133" customWidth="1"/>
    <col min="13569" max="13569" width="17.5703125" style="133" customWidth="1"/>
    <col min="13570" max="13570" width="18.42578125" style="133" customWidth="1"/>
    <col min="13571" max="13571" width="16.5703125" style="133" customWidth="1"/>
    <col min="13572" max="13572" width="17.7109375" style="133" customWidth="1"/>
    <col min="13573" max="13573" width="17.85546875" style="133" customWidth="1"/>
    <col min="13574" max="13574" width="18.42578125" style="133" customWidth="1"/>
    <col min="13575" max="13575" width="15.42578125" style="133" customWidth="1"/>
    <col min="13576" max="13576" width="14.5703125" style="133" customWidth="1"/>
    <col min="13577" max="13577" width="15" style="133" customWidth="1"/>
    <col min="13578" max="13578" width="6.7109375" style="133" customWidth="1"/>
    <col min="13579" max="13579" width="14.28515625" style="133" customWidth="1"/>
    <col min="13580" max="13580" width="17.5703125" style="133" customWidth="1"/>
    <col min="13581" max="13581" width="27.7109375" style="133" customWidth="1"/>
    <col min="13582" max="13584" width="9.140625" style="133" customWidth="1"/>
    <col min="13585" max="13585" width="14.85546875" style="133" customWidth="1"/>
    <col min="13586" max="13586" width="13.85546875" style="133" customWidth="1"/>
    <col min="13587" max="13808" width="9.140625" style="133" customWidth="1"/>
    <col min="13809" max="13809" width="9" style="133"/>
    <col min="13810" max="13810" width="6.5703125" style="133" customWidth="1"/>
    <col min="13811" max="13811" width="79.5703125" style="133" customWidth="1"/>
    <col min="13812" max="13812" width="23.5703125" style="133" customWidth="1"/>
    <col min="13813" max="13813" width="27.85546875" style="133" customWidth="1"/>
    <col min="13814" max="13814" width="22.28515625" style="133" customWidth="1"/>
    <col min="13815" max="13815" width="23.5703125" style="133" customWidth="1"/>
    <col min="13816" max="13816" width="39" style="133" customWidth="1"/>
    <col min="13817" max="13817" width="36.42578125" style="133" customWidth="1"/>
    <col min="13818" max="13818" width="8" style="133" customWidth="1"/>
    <col min="13819" max="13819" width="15.5703125" style="133" customWidth="1"/>
    <col min="13820" max="13820" width="17.28515625" style="133" customWidth="1"/>
    <col min="13821" max="13821" width="18.85546875" style="133" customWidth="1"/>
    <col min="13822" max="13822" width="81" style="133" customWidth="1"/>
    <col min="13823" max="13823" width="14.85546875" style="133" customWidth="1"/>
    <col min="13824" max="13824" width="15.7109375" style="133" customWidth="1"/>
    <col min="13825" max="13825" width="17.5703125" style="133" customWidth="1"/>
    <col min="13826" max="13826" width="18.42578125" style="133" customWidth="1"/>
    <col min="13827" max="13827" width="16.5703125" style="133" customWidth="1"/>
    <col min="13828" max="13828" width="17.7109375" style="133" customWidth="1"/>
    <col min="13829" max="13829" width="17.85546875" style="133" customWidth="1"/>
    <col min="13830" max="13830" width="18.42578125" style="133" customWidth="1"/>
    <col min="13831" max="13831" width="15.42578125" style="133" customWidth="1"/>
    <col min="13832" max="13832" width="14.5703125" style="133" customWidth="1"/>
    <col min="13833" max="13833" width="15" style="133" customWidth="1"/>
    <col min="13834" max="13834" width="6.7109375" style="133" customWidth="1"/>
    <col min="13835" max="13835" width="14.28515625" style="133" customWidth="1"/>
    <col min="13836" max="13836" width="17.5703125" style="133" customWidth="1"/>
    <col min="13837" max="13837" width="27.7109375" style="133" customWidth="1"/>
    <col min="13838" max="13840" width="9.140625" style="133" customWidth="1"/>
    <col min="13841" max="13841" width="14.85546875" style="133" customWidth="1"/>
    <col min="13842" max="13842" width="13.85546875" style="133" customWidth="1"/>
    <col min="13843" max="14064" width="9.140625" style="133" customWidth="1"/>
    <col min="14065" max="14065" width="9" style="133"/>
    <col min="14066" max="14066" width="6.5703125" style="133" customWidth="1"/>
    <col min="14067" max="14067" width="79.5703125" style="133" customWidth="1"/>
    <col min="14068" max="14068" width="23.5703125" style="133" customWidth="1"/>
    <col min="14069" max="14069" width="27.85546875" style="133" customWidth="1"/>
    <col min="14070" max="14070" width="22.28515625" style="133" customWidth="1"/>
    <col min="14071" max="14071" width="23.5703125" style="133" customWidth="1"/>
    <col min="14072" max="14072" width="39" style="133" customWidth="1"/>
    <col min="14073" max="14073" width="36.42578125" style="133" customWidth="1"/>
    <col min="14074" max="14074" width="8" style="133" customWidth="1"/>
    <col min="14075" max="14075" width="15.5703125" style="133" customWidth="1"/>
    <col min="14076" max="14076" width="17.28515625" style="133" customWidth="1"/>
    <col min="14077" max="14077" width="18.85546875" style="133" customWidth="1"/>
    <col min="14078" max="14078" width="81" style="133" customWidth="1"/>
    <col min="14079" max="14079" width="14.85546875" style="133" customWidth="1"/>
    <col min="14080" max="14080" width="15.7109375" style="133" customWidth="1"/>
    <col min="14081" max="14081" width="17.5703125" style="133" customWidth="1"/>
    <col min="14082" max="14082" width="18.42578125" style="133" customWidth="1"/>
    <col min="14083" max="14083" width="16.5703125" style="133" customWidth="1"/>
    <col min="14084" max="14084" width="17.7109375" style="133" customWidth="1"/>
    <col min="14085" max="14085" width="17.85546875" style="133" customWidth="1"/>
    <col min="14086" max="14086" width="18.42578125" style="133" customWidth="1"/>
    <col min="14087" max="14087" width="15.42578125" style="133" customWidth="1"/>
    <col min="14088" max="14088" width="14.5703125" style="133" customWidth="1"/>
    <col min="14089" max="14089" width="15" style="133" customWidth="1"/>
    <col min="14090" max="14090" width="6.7109375" style="133" customWidth="1"/>
    <col min="14091" max="14091" width="14.28515625" style="133" customWidth="1"/>
    <col min="14092" max="14092" width="17.5703125" style="133" customWidth="1"/>
    <col min="14093" max="14093" width="27.7109375" style="133" customWidth="1"/>
    <col min="14094" max="14096" width="9.140625" style="133" customWidth="1"/>
    <col min="14097" max="14097" width="14.85546875" style="133" customWidth="1"/>
    <col min="14098" max="14098" width="13.85546875" style="133" customWidth="1"/>
    <col min="14099" max="14320" width="9.140625" style="133" customWidth="1"/>
    <col min="14321" max="14321" width="9" style="133"/>
    <col min="14322" max="14322" width="6.5703125" style="133" customWidth="1"/>
    <col min="14323" max="14323" width="79.5703125" style="133" customWidth="1"/>
    <col min="14324" max="14324" width="23.5703125" style="133" customWidth="1"/>
    <col min="14325" max="14325" width="27.85546875" style="133" customWidth="1"/>
    <col min="14326" max="14326" width="22.28515625" style="133" customWidth="1"/>
    <col min="14327" max="14327" width="23.5703125" style="133" customWidth="1"/>
    <col min="14328" max="14328" width="39" style="133" customWidth="1"/>
    <col min="14329" max="14329" width="36.42578125" style="133" customWidth="1"/>
    <col min="14330" max="14330" width="8" style="133" customWidth="1"/>
    <col min="14331" max="14331" width="15.5703125" style="133" customWidth="1"/>
    <col min="14332" max="14332" width="17.28515625" style="133" customWidth="1"/>
    <col min="14333" max="14333" width="18.85546875" style="133" customWidth="1"/>
    <col min="14334" max="14334" width="81" style="133" customWidth="1"/>
    <col min="14335" max="14335" width="14.85546875" style="133" customWidth="1"/>
    <col min="14336" max="14336" width="15.7109375" style="133" customWidth="1"/>
    <col min="14337" max="14337" width="17.5703125" style="133" customWidth="1"/>
    <col min="14338" max="14338" width="18.42578125" style="133" customWidth="1"/>
    <col min="14339" max="14339" width="16.5703125" style="133" customWidth="1"/>
    <col min="14340" max="14340" width="17.7109375" style="133" customWidth="1"/>
    <col min="14341" max="14341" width="17.85546875" style="133" customWidth="1"/>
    <col min="14342" max="14342" width="18.42578125" style="133" customWidth="1"/>
    <col min="14343" max="14343" width="15.42578125" style="133" customWidth="1"/>
    <col min="14344" max="14344" width="14.5703125" style="133" customWidth="1"/>
    <col min="14345" max="14345" width="15" style="133" customWidth="1"/>
    <col min="14346" max="14346" width="6.7109375" style="133" customWidth="1"/>
    <col min="14347" max="14347" width="14.28515625" style="133" customWidth="1"/>
    <col min="14348" max="14348" width="17.5703125" style="133" customWidth="1"/>
    <col min="14349" max="14349" width="27.7109375" style="133" customWidth="1"/>
    <col min="14350" max="14352" width="9.140625" style="133" customWidth="1"/>
    <col min="14353" max="14353" width="14.85546875" style="133" customWidth="1"/>
    <col min="14354" max="14354" width="13.85546875" style="133" customWidth="1"/>
    <col min="14355" max="14576" width="9.140625" style="133" customWidth="1"/>
    <col min="14577" max="14577" width="9" style="133"/>
    <col min="14578" max="14578" width="6.5703125" style="133" customWidth="1"/>
    <col min="14579" max="14579" width="79.5703125" style="133" customWidth="1"/>
    <col min="14580" max="14580" width="23.5703125" style="133" customWidth="1"/>
    <col min="14581" max="14581" width="27.85546875" style="133" customWidth="1"/>
    <col min="14582" max="14582" width="22.28515625" style="133" customWidth="1"/>
    <col min="14583" max="14583" width="23.5703125" style="133" customWidth="1"/>
    <col min="14584" max="14584" width="39" style="133" customWidth="1"/>
    <col min="14585" max="14585" width="36.42578125" style="133" customWidth="1"/>
    <col min="14586" max="14586" width="8" style="133" customWidth="1"/>
    <col min="14587" max="14587" width="15.5703125" style="133" customWidth="1"/>
    <col min="14588" max="14588" width="17.28515625" style="133" customWidth="1"/>
    <col min="14589" max="14589" width="18.85546875" style="133" customWidth="1"/>
    <col min="14590" max="14590" width="81" style="133" customWidth="1"/>
    <col min="14591" max="14591" width="14.85546875" style="133" customWidth="1"/>
    <col min="14592" max="14592" width="15.7109375" style="133" customWidth="1"/>
    <col min="14593" max="14593" width="17.5703125" style="133" customWidth="1"/>
    <col min="14594" max="14594" width="18.42578125" style="133" customWidth="1"/>
    <col min="14595" max="14595" width="16.5703125" style="133" customWidth="1"/>
    <col min="14596" max="14596" width="17.7109375" style="133" customWidth="1"/>
    <col min="14597" max="14597" width="17.85546875" style="133" customWidth="1"/>
    <col min="14598" max="14598" width="18.42578125" style="133" customWidth="1"/>
    <col min="14599" max="14599" width="15.42578125" style="133" customWidth="1"/>
    <col min="14600" max="14600" width="14.5703125" style="133" customWidth="1"/>
    <col min="14601" max="14601" width="15" style="133" customWidth="1"/>
    <col min="14602" max="14602" width="6.7109375" style="133" customWidth="1"/>
    <col min="14603" max="14603" width="14.28515625" style="133" customWidth="1"/>
    <col min="14604" max="14604" width="17.5703125" style="133" customWidth="1"/>
    <col min="14605" max="14605" width="27.7109375" style="133" customWidth="1"/>
    <col min="14606" max="14608" width="9.140625" style="133" customWidth="1"/>
    <col min="14609" max="14609" width="14.85546875" style="133" customWidth="1"/>
    <col min="14610" max="14610" width="13.85546875" style="133" customWidth="1"/>
    <col min="14611" max="14832" width="9.140625" style="133" customWidth="1"/>
    <col min="14833" max="14833" width="9" style="133"/>
    <col min="14834" max="14834" width="6.5703125" style="133" customWidth="1"/>
    <col min="14835" max="14835" width="79.5703125" style="133" customWidth="1"/>
    <col min="14836" max="14836" width="23.5703125" style="133" customWidth="1"/>
    <col min="14837" max="14837" width="27.85546875" style="133" customWidth="1"/>
    <col min="14838" max="14838" width="22.28515625" style="133" customWidth="1"/>
    <col min="14839" max="14839" width="23.5703125" style="133" customWidth="1"/>
    <col min="14840" max="14840" width="39" style="133" customWidth="1"/>
    <col min="14841" max="14841" width="36.42578125" style="133" customWidth="1"/>
    <col min="14842" max="14842" width="8" style="133" customWidth="1"/>
    <col min="14843" max="14843" width="15.5703125" style="133" customWidth="1"/>
    <col min="14844" max="14844" width="17.28515625" style="133" customWidth="1"/>
    <col min="14845" max="14845" width="18.85546875" style="133" customWidth="1"/>
    <col min="14846" max="14846" width="81" style="133" customWidth="1"/>
    <col min="14847" max="14847" width="14.85546875" style="133" customWidth="1"/>
    <col min="14848" max="14848" width="15.7109375" style="133" customWidth="1"/>
    <col min="14849" max="14849" width="17.5703125" style="133" customWidth="1"/>
    <col min="14850" max="14850" width="18.42578125" style="133" customWidth="1"/>
    <col min="14851" max="14851" width="16.5703125" style="133" customWidth="1"/>
    <col min="14852" max="14852" width="17.7109375" style="133" customWidth="1"/>
    <col min="14853" max="14853" width="17.85546875" style="133" customWidth="1"/>
    <col min="14854" max="14854" width="18.42578125" style="133" customWidth="1"/>
    <col min="14855" max="14855" width="15.42578125" style="133" customWidth="1"/>
    <col min="14856" max="14856" width="14.5703125" style="133" customWidth="1"/>
    <col min="14857" max="14857" width="15" style="133" customWidth="1"/>
    <col min="14858" max="14858" width="6.7109375" style="133" customWidth="1"/>
    <col min="14859" max="14859" width="14.28515625" style="133" customWidth="1"/>
    <col min="14860" max="14860" width="17.5703125" style="133" customWidth="1"/>
    <col min="14861" max="14861" width="27.7109375" style="133" customWidth="1"/>
    <col min="14862" max="14864" width="9.140625" style="133" customWidth="1"/>
    <col min="14865" max="14865" width="14.85546875" style="133" customWidth="1"/>
    <col min="14866" max="14866" width="13.85546875" style="133" customWidth="1"/>
    <col min="14867" max="15088" width="9.140625" style="133" customWidth="1"/>
    <col min="15089" max="15089" width="9" style="133"/>
    <col min="15090" max="15090" width="6.5703125" style="133" customWidth="1"/>
    <col min="15091" max="15091" width="79.5703125" style="133" customWidth="1"/>
    <col min="15092" max="15092" width="23.5703125" style="133" customWidth="1"/>
    <col min="15093" max="15093" width="27.85546875" style="133" customWidth="1"/>
    <col min="15094" max="15094" width="22.28515625" style="133" customWidth="1"/>
    <col min="15095" max="15095" width="23.5703125" style="133" customWidth="1"/>
    <col min="15096" max="15096" width="39" style="133" customWidth="1"/>
    <col min="15097" max="15097" width="36.42578125" style="133" customWidth="1"/>
    <col min="15098" max="15098" width="8" style="133" customWidth="1"/>
    <col min="15099" max="15099" width="15.5703125" style="133" customWidth="1"/>
    <col min="15100" max="15100" width="17.28515625" style="133" customWidth="1"/>
    <col min="15101" max="15101" width="18.85546875" style="133" customWidth="1"/>
    <col min="15102" max="15102" width="81" style="133" customWidth="1"/>
    <col min="15103" max="15103" width="14.85546875" style="133" customWidth="1"/>
    <col min="15104" max="15104" width="15.7109375" style="133" customWidth="1"/>
    <col min="15105" max="15105" width="17.5703125" style="133" customWidth="1"/>
    <col min="15106" max="15106" width="18.42578125" style="133" customWidth="1"/>
    <col min="15107" max="15107" width="16.5703125" style="133" customWidth="1"/>
    <col min="15108" max="15108" width="17.7109375" style="133" customWidth="1"/>
    <col min="15109" max="15109" width="17.85546875" style="133" customWidth="1"/>
    <col min="15110" max="15110" width="18.42578125" style="133" customWidth="1"/>
    <col min="15111" max="15111" width="15.42578125" style="133" customWidth="1"/>
    <col min="15112" max="15112" width="14.5703125" style="133" customWidth="1"/>
    <col min="15113" max="15113" width="15" style="133" customWidth="1"/>
    <col min="15114" max="15114" width="6.7109375" style="133" customWidth="1"/>
    <col min="15115" max="15115" width="14.28515625" style="133" customWidth="1"/>
    <col min="15116" max="15116" width="17.5703125" style="133" customWidth="1"/>
    <col min="15117" max="15117" width="27.7109375" style="133" customWidth="1"/>
    <col min="15118" max="15120" width="9.140625" style="133" customWidth="1"/>
    <col min="15121" max="15121" width="14.85546875" style="133" customWidth="1"/>
    <col min="15122" max="15122" width="13.85546875" style="133" customWidth="1"/>
    <col min="15123" max="15344" width="9.140625" style="133" customWidth="1"/>
    <col min="15345" max="15345" width="9" style="133"/>
    <col min="15346" max="15346" width="6.5703125" style="133" customWidth="1"/>
    <col min="15347" max="15347" width="79.5703125" style="133" customWidth="1"/>
    <col min="15348" max="15348" width="23.5703125" style="133" customWidth="1"/>
    <col min="15349" max="15349" width="27.85546875" style="133" customWidth="1"/>
    <col min="15350" max="15350" width="22.28515625" style="133" customWidth="1"/>
    <col min="15351" max="15351" width="23.5703125" style="133" customWidth="1"/>
    <col min="15352" max="15352" width="39" style="133" customWidth="1"/>
    <col min="15353" max="15353" width="36.42578125" style="133" customWidth="1"/>
    <col min="15354" max="15354" width="8" style="133" customWidth="1"/>
    <col min="15355" max="15355" width="15.5703125" style="133" customWidth="1"/>
    <col min="15356" max="15356" width="17.28515625" style="133" customWidth="1"/>
    <col min="15357" max="15357" width="18.85546875" style="133" customWidth="1"/>
    <col min="15358" max="15358" width="81" style="133" customWidth="1"/>
    <col min="15359" max="15359" width="14.85546875" style="133" customWidth="1"/>
    <col min="15360" max="15360" width="15.7109375" style="133" customWidth="1"/>
    <col min="15361" max="15361" width="17.5703125" style="133" customWidth="1"/>
    <col min="15362" max="15362" width="18.42578125" style="133" customWidth="1"/>
    <col min="15363" max="15363" width="16.5703125" style="133" customWidth="1"/>
    <col min="15364" max="15364" width="17.7109375" style="133" customWidth="1"/>
    <col min="15365" max="15365" width="17.85546875" style="133" customWidth="1"/>
    <col min="15366" max="15366" width="18.42578125" style="133" customWidth="1"/>
    <col min="15367" max="15367" width="15.42578125" style="133" customWidth="1"/>
    <col min="15368" max="15368" width="14.5703125" style="133" customWidth="1"/>
    <col min="15369" max="15369" width="15" style="133" customWidth="1"/>
    <col min="15370" max="15370" width="6.7109375" style="133" customWidth="1"/>
    <col min="15371" max="15371" width="14.28515625" style="133" customWidth="1"/>
    <col min="15372" max="15372" width="17.5703125" style="133" customWidth="1"/>
    <col min="15373" max="15373" width="27.7109375" style="133" customWidth="1"/>
    <col min="15374" max="15376" width="9.140625" style="133" customWidth="1"/>
    <col min="15377" max="15377" width="14.85546875" style="133" customWidth="1"/>
    <col min="15378" max="15378" width="13.85546875" style="133" customWidth="1"/>
    <col min="15379" max="15600" width="9.140625" style="133" customWidth="1"/>
    <col min="15601" max="15601" width="9" style="133"/>
    <col min="15602" max="15602" width="6.5703125" style="133" customWidth="1"/>
    <col min="15603" max="15603" width="79.5703125" style="133" customWidth="1"/>
    <col min="15604" max="15604" width="23.5703125" style="133" customWidth="1"/>
    <col min="15605" max="15605" width="27.85546875" style="133" customWidth="1"/>
    <col min="15606" max="15606" width="22.28515625" style="133" customWidth="1"/>
    <col min="15607" max="15607" width="23.5703125" style="133" customWidth="1"/>
    <col min="15608" max="15608" width="39" style="133" customWidth="1"/>
    <col min="15609" max="15609" width="36.42578125" style="133" customWidth="1"/>
    <col min="15610" max="15610" width="8" style="133" customWidth="1"/>
    <col min="15611" max="15611" width="15.5703125" style="133" customWidth="1"/>
    <col min="15612" max="15612" width="17.28515625" style="133" customWidth="1"/>
    <col min="15613" max="15613" width="18.85546875" style="133" customWidth="1"/>
    <col min="15614" max="15614" width="81" style="133" customWidth="1"/>
    <col min="15615" max="15615" width="14.85546875" style="133" customWidth="1"/>
    <col min="15616" max="15616" width="15.7109375" style="133" customWidth="1"/>
    <col min="15617" max="15617" width="17.5703125" style="133" customWidth="1"/>
    <col min="15618" max="15618" width="18.42578125" style="133" customWidth="1"/>
    <col min="15619" max="15619" width="16.5703125" style="133" customWidth="1"/>
    <col min="15620" max="15620" width="17.7109375" style="133" customWidth="1"/>
    <col min="15621" max="15621" width="17.85546875" style="133" customWidth="1"/>
    <col min="15622" max="15622" width="18.42578125" style="133" customWidth="1"/>
    <col min="15623" max="15623" width="15.42578125" style="133" customWidth="1"/>
    <col min="15624" max="15624" width="14.5703125" style="133" customWidth="1"/>
    <col min="15625" max="15625" width="15" style="133" customWidth="1"/>
    <col min="15626" max="15626" width="6.7109375" style="133" customWidth="1"/>
    <col min="15627" max="15627" width="14.28515625" style="133" customWidth="1"/>
    <col min="15628" max="15628" width="17.5703125" style="133" customWidth="1"/>
    <col min="15629" max="15629" width="27.7109375" style="133" customWidth="1"/>
    <col min="15630" max="15632" width="9.140625" style="133" customWidth="1"/>
    <col min="15633" max="15633" width="14.85546875" style="133" customWidth="1"/>
    <col min="15634" max="15634" width="13.85546875" style="133" customWidth="1"/>
    <col min="15635" max="15856" width="9.140625" style="133" customWidth="1"/>
    <col min="15857" max="15857" width="9" style="133"/>
    <col min="15858" max="15858" width="6.5703125" style="133" customWidth="1"/>
    <col min="15859" max="15859" width="79.5703125" style="133" customWidth="1"/>
    <col min="15860" max="15860" width="23.5703125" style="133" customWidth="1"/>
    <col min="15861" max="15861" width="27.85546875" style="133" customWidth="1"/>
    <col min="15862" max="15862" width="22.28515625" style="133" customWidth="1"/>
    <col min="15863" max="15863" width="23.5703125" style="133" customWidth="1"/>
    <col min="15864" max="15864" width="39" style="133" customWidth="1"/>
    <col min="15865" max="15865" width="36.42578125" style="133" customWidth="1"/>
    <col min="15866" max="15866" width="8" style="133" customWidth="1"/>
    <col min="15867" max="15867" width="15.5703125" style="133" customWidth="1"/>
    <col min="15868" max="15868" width="17.28515625" style="133" customWidth="1"/>
    <col min="15869" max="15869" width="18.85546875" style="133" customWidth="1"/>
    <col min="15870" max="15870" width="81" style="133" customWidth="1"/>
    <col min="15871" max="15871" width="14.85546875" style="133" customWidth="1"/>
    <col min="15872" max="15872" width="15.7109375" style="133" customWidth="1"/>
    <col min="15873" max="15873" width="17.5703125" style="133" customWidth="1"/>
    <col min="15874" max="15874" width="18.42578125" style="133" customWidth="1"/>
    <col min="15875" max="15875" width="16.5703125" style="133" customWidth="1"/>
    <col min="15876" max="15876" width="17.7109375" style="133" customWidth="1"/>
    <col min="15877" max="15877" width="17.85546875" style="133" customWidth="1"/>
    <col min="15878" max="15878" width="18.42578125" style="133" customWidth="1"/>
    <col min="15879" max="15879" width="15.42578125" style="133" customWidth="1"/>
    <col min="15880" max="15880" width="14.5703125" style="133" customWidth="1"/>
    <col min="15881" max="15881" width="15" style="133" customWidth="1"/>
    <col min="15882" max="15882" width="6.7109375" style="133" customWidth="1"/>
    <col min="15883" max="15883" width="14.28515625" style="133" customWidth="1"/>
    <col min="15884" max="15884" width="17.5703125" style="133" customWidth="1"/>
    <col min="15885" max="15885" width="27.7109375" style="133" customWidth="1"/>
    <col min="15886" max="15888" width="9.140625" style="133" customWidth="1"/>
    <col min="15889" max="15889" width="14.85546875" style="133" customWidth="1"/>
    <col min="15890" max="15890" width="13.85546875" style="133" customWidth="1"/>
    <col min="15891" max="16112" width="9.140625" style="133" customWidth="1"/>
    <col min="16113" max="16113" width="9" style="133"/>
    <col min="16114" max="16114" width="6.5703125" style="133" customWidth="1"/>
    <col min="16115" max="16115" width="79.5703125" style="133" customWidth="1"/>
    <col min="16116" max="16116" width="23.5703125" style="133" customWidth="1"/>
    <col min="16117" max="16117" width="27.85546875" style="133" customWidth="1"/>
    <col min="16118" max="16118" width="22.28515625" style="133" customWidth="1"/>
    <col min="16119" max="16119" width="23.5703125" style="133" customWidth="1"/>
    <col min="16120" max="16120" width="39" style="133" customWidth="1"/>
    <col min="16121" max="16121" width="36.42578125" style="133" customWidth="1"/>
    <col min="16122" max="16122" width="8" style="133" customWidth="1"/>
    <col min="16123" max="16123" width="15.5703125" style="133" customWidth="1"/>
    <col min="16124" max="16124" width="17.28515625" style="133" customWidth="1"/>
    <col min="16125" max="16125" width="18.85546875" style="133" customWidth="1"/>
    <col min="16126" max="16126" width="81" style="133" customWidth="1"/>
    <col min="16127" max="16127" width="14.85546875" style="133" customWidth="1"/>
    <col min="16128" max="16128" width="15.7109375" style="133" customWidth="1"/>
    <col min="16129" max="16129" width="17.5703125" style="133" customWidth="1"/>
    <col min="16130" max="16130" width="18.42578125" style="133" customWidth="1"/>
    <col min="16131" max="16131" width="16.5703125" style="133" customWidth="1"/>
    <col min="16132" max="16132" width="17.7109375" style="133" customWidth="1"/>
    <col min="16133" max="16133" width="17.85546875" style="133" customWidth="1"/>
    <col min="16134" max="16134" width="18.42578125" style="133" customWidth="1"/>
    <col min="16135" max="16135" width="15.42578125" style="133" customWidth="1"/>
    <col min="16136" max="16136" width="14.5703125" style="133" customWidth="1"/>
    <col min="16137" max="16137" width="15" style="133" customWidth="1"/>
    <col min="16138" max="16138" width="6.7109375" style="133" customWidth="1"/>
    <col min="16139" max="16139" width="14.28515625" style="133" customWidth="1"/>
    <col min="16140" max="16140" width="17.5703125" style="133" customWidth="1"/>
    <col min="16141" max="16141" width="27.7109375" style="133" customWidth="1"/>
    <col min="16142" max="16144" width="9.140625" style="133" customWidth="1"/>
    <col min="16145" max="16145" width="14.85546875" style="133" customWidth="1"/>
    <col min="16146" max="16146" width="13.85546875" style="133" customWidth="1"/>
    <col min="16147" max="16362" width="9.140625" style="133" customWidth="1"/>
    <col min="16363" max="16384" width="9" style="133"/>
  </cols>
  <sheetData>
    <row r="1" spans="1:16" s="123" customFormat="1" ht="31.5">
      <c r="A1" s="251" t="s">
        <v>233</v>
      </c>
      <c r="B1" s="251" t="s">
        <v>234</v>
      </c>
      <c r="C1" s="252" t="s">
        <v>235</v>
      </c>
      <c r="D1" s="252" t="s">
        <v>236</v>
      </c>
      <c r="E1" s="252" t="s">
        <v>237</v>
      </c>
      <c r="F1" s="252" t="s">
        <v>238</v>
      </c>
      <c r="G1" s="252" t="s">
        <v>239</v>
      </c>
      <c r="H1" s="262" t="s">
        <v>465</v>
      </c>
      <c r="I1" s="262" t="s">
        <v>466</v>
      </c>
      <c r="J1" s="253" t="s">
        <v>467</v>
      </c>
      <c r="K1" s="253" t="s">
        <v>468</v>
      </c>
      <c r="L1" s="253" t="s">
        <v>469</v>
      </c>
      <c r="M1" s="253" t="s">
        <v>470</v>
      </c>
      <c r="N1" s="253" t="s">
        <v>471</v>
      </c>
      <c r="O1" s="253" t="s">
        <v>472</v>
      </c>
      <c r="P1" s="253" t="s">
        <v>473</v>
      </c>
    </row>
    <row r="2" spans="1:16" s="124" customFormat="1">
      <c r="A2" s="249" t="s">
        <v>462</v>
      </c>
      <c r="B2" s="250" t="s">
        <v>480</v>
      </c>
      <c r="C2" s="237">
        <v>66832667434</v>
      </c>
      <c r="D2" s="535" t="s">
        <v>682</v>
      </c>
      <c r="E2" s="238">
        <v>2</v>
      </c>
      <c r="F2" s="242" t="s">
        <v>683</v>
      </c>
      <c r="G2" s="241" t="s">
        <v>684</v>
      </c>
      <c r="H2" s="263">
        <v>1</v>
      </c>
      <c r="I2" s="264">
        <v>44</v>
      </c>
      <c r="J2" s="311">
        <v>1252.53</v>
      </c>
      <c r="K2" s="312">
        <v>0</v>
      </c>
      <c r="L2" s="312">
        <v>0</v>
      </c>
      <c r="M2" s="522">
        <v>220</v>
      </c>
      <c r="N2" s="312">
        <v>0</v>
      </c>
      <c r="O2" s="522">
        <v>216.22</v>
      </c>
      <c r="P2" s="313">
        <f t="shared" ref="P2:P32" si="0">SUM(J2:N2)-O2</f>
        <v>1256.31</v>
      </c>
    </row>
    <row r="3" spans="1:16" s="124" customFormat="1">
      <c r="A3" s="249" t="s">
        <v>462</v>
      </c>
      <c r="B3" s="250" t="s">
        <v>480</v>
      </c>
      <c r="C3" s="237" t="s">
        <v>685</v>
      </c>
      <c r="D3" s="535" t="s">
        <v>686</v>
      </c>
      <c r="E3" s="238">
        <v>3</v>
      </c>
      <c r="F3" s="242" t="s">
        <v>687</v>
      </c>
      <c r="G3" s="241" t="s">
        <v>684</v>
      </c>
      <c r="H3" s="263">
        <v>1</v>
      </c>
      <c r="I3" s="264">
        <v>44</v>
      </c>
      <c r="J3" s="311">
        <v>1136.42</v>
      </c>
      <c r="K3" s="312">
        <v>0</v>
      </c>
      <c r="L3" s="312">
        <v>0</v>
      </c>
      <c r="M3" s="522">
        <f>220+42.42+286.36</f>
        <v>548.78</v>
      </c>
      <c r="N3" s="312">
        <v>0</v>
      </c>
      <c r="O3" s="522">
        <v>226.08</v>
      </c>
      <c r="P3" s="313">
        <f t="shared" si="0"/>
        <v>1459.1200000000001</v>
      </c>
    </row>
    <row r="4" spans="1:16" s="125" customFormat="1">
      <c r="A4" s="249" t="s">
        <v>462</v>
      </c>
      <c r="B4" s="250" t="s">
        <v>480</v>
      </c>
      <c r="C4" s="237">
        <v>13595668480</v>
      </c>
      <c r="D4" s="535" t="s">
        <v>688</v>
      </c>
      <c r="E4" s="238">
        <v>3</v>
      </c>
      <c r="F4" s="244" t="s">
        <v>689</v>
      </c>
      <c r="G4" s="241" t="s">
        <v>684</v>
      </c>
      <c r="H4" s="263">
        <v>1</v>
      </c>
      <c r="I4" s="264">
        <v>44</v>
      </c>
      <c r="J4" s="311">
        <v>1136.42</v>
      </c>
      <c r="K4" s="312">
        <v>0</v>
      </c>
      <c r="L4" s="312">
        <v>0</v>
      </c>
      <c r="M4" s="522">
        <f>220+4.47+30.14</f>
        <v>254.61</v>
      </c>
      <c r="N4" s="312">
        <v>0</v>
      </c>
      <c r="O4" s="522">
        <v>199.61</v>
      </c>
      <c r="P4" s="313">
        <f t="shared" si="0"/>
        <v>1191.42</v>
      </c>
    </row>
    <row r="5" spans="1:16" s="125" customFormat="1">
      <c r="A5" s="249" t="s">
        <v>462</v>
      </c>
      <c r="B5" s="250" t="s">
        <v>480</v>
      </c>
      <c r="C5" s="237" t="s">
        <v>690</v>
      </c>
      <c r="D5" s="535" t="s">
        <v>691</v>
      </c>
      <c r="E5" s="238">
        <v>3</v>
      </c>
      <c r="F5" s="242" t="s">
        <v>692</v>
      </c>
      <c r="G5" s="241" t="s">
        <v>684</v>
      </c>
      <c r="H5" s="263">
        <v>2</v>
      </c>
      <c r="I5" s="264">
        <v>44</v>
      </c>
      <c r="J5" s="311">
        <v>3499.75</v>
      </c>
      <c r="K5" s="312">
        <v>0</v>
      </c>
      <c r="L5" s="312">
        <v>0</v>
      </c>
      <c r="M5" s="522">
        <v>220</v>
      </c>
      <c r="N5" s="312">
        <v>0</v>
      </c>
      <c r="O5" s="522">
        <v>589.4</v>
      </c>
      <c r="P5" s="313">
        <f t="shared" si="0"/>
        <v>3130.35</v>
      </c>
    </row>
    <row r="6" spans="1:16" s="126" customFormat="1">
      <c r="A6" s="249" t="s">
        <v>462</v>
      </c>
      <c r="B6" s="250" t="s">
        <v>480</v>
      </c>
      <c r="C6" s="237" t="s">
        <v>693</v>
      </c>
      <c r="D6" s="535" t="s">
        <v>694</v>
      </c>
      <c r="E6" s="238">
        <v>2</v>
      </c>
      <c r="F6" s="242" t="s">
        <v>683</v>
      </c>
      <c r="G6" s="241" t="s">
        <v>684</v>
      </c>
      <c r="H6" s="263">
        <v>1</v>
      </c>
      <c r="I6" s="264">
        <v>44</v>
      </c>
      <c r="J6" s="311">
        <v>1085.53</v>
      </c>
      <c r="K6" s="312">
        <v>0</v>
      </c>
      <c r="L6" s="312">
        <v>0</v>
      </c>
      <c r="M6" s="522">
        <f>167+190.67+46.05+310.87</f>
        <v>714.58999999999992</v>
      </c>
      <c r="N6" s="312">
        <v>0</v>
      </c>
      <c r="O6" s="522">
        <v>170.56</v>
      </c>
      <c r="P6" s="313">
        <f t="shared" si="0"/>
        <v>1629.56</v>
      </c>
    </row>
    <row r="7" spans="1:16" s="126" customFormat="1">
      <c r="A7" s="249" t="s">
        <v>462</v>
      </c>
      <c r="B7" s="250" t="s">
        <v>480</v>
      </c>
      <c r="C7" s="237" t="s">
        <v>695</v>
      </c>
      <c r="D7" s="535" t="s">
        <v>696</v>
      </c>
      <c r="E7" s="238">
        <v>2</v>
      </c>
      <c r="F7" s="242" t="s">
        <v>697</v>
      </c>
      <c r="G7" s="241" t="s">
        <v>684</v>
      </c>
      <c r="H7" s="263">
        <v>1</v>
      </c>
      <c r="I7" s="264">
        <v>44</v>
      </c>
      <c r="J7" s="311">
        <v>2090.16</v>
      </c>
      <c r="K7" s="312">
        <v>0</v>
      </c>
      <c r="L7" s="312">
        <v>0</v>
      </c>
      <c r="M7" s="522">
        <f>54.19+365.78+836.06</f>
        <v>1256.03</v>
      </c>
      <c r="N7" s="312">
        <v>0</v>
      </c>
      <c r="O7" s="522">
        <v>375.49</v>
      </c>
      <c r="P7" s="313">
        <f t="shared" si="0"/>
        <v>2970.7</v>
      </c>
    </row>
    <row r="8" spans="1:16" s="126" customFormat="1">
      <c r="A8" s="249" t="s">
        <v>462</v>
      </c>
      <c r="B8" s="250" t="s">
        <v>480</v>
      </c>
      <c r="C8" s="237" t="s">
        <v>698</v>
      </c>
      <c r="D8" s="535" t="s">
        <v>699</v>
      </c>
      <c r="E8" s="238">
        <v>2</v>
      </c>
      <c r="F8" s="242" t="s">
        <v>683</v>
      </c>
      <c r="G8" s="241" t="s">
        <v>684</v>
      </c>
      <c r="H8" s="263">
        <v>1</v>
      </c>
      <c r="I8" s="264">
        <v>44</v>
      </c>
      <c r="J8" s="311">
        <v>793.27</v>
      </c>
      <c r="K8" s="312">
        <f>539.93+179.98+932.6+310.87+11.75+20.31</f>
        <v>1995.44</v>
      </c>
      <c r="L8" s="312">
        <v>0</v>
      </c>
      <c r="M8" s="522">
        <f>139.33</f>
        <v>139.33000000000001</v>
      </c>
      <c r="N8" s="312">
        <v>0</v>
      </c>
      <c r="O8" s="522">
        <v>2038.29</v>
      </c>
      <c r="P8" s="313">
        <f t="shared" si="0"/>
        <v>889.75</v>
      </c>
    </row>
    <row r="9" spans="1:16" s="124" customFormat="1">
      <c r="A9" s="249" t="s">
        <v>462</v>
      </c>
      <c r="B9" s="250" t="s">
        <v>480</v>
      </c>
      <c r="C9" s="237">
        <v>88999882420</v>
      </c>
      <c r="D9" s="535" t="s">
        <v>700</v>
      </c>
      <c r="E9" s="238">
        <v>3</v>
      </c>
      <c r="F9" s="244" t="s">
        <v>689</v>
      </c>
      <c r="G9" s="241" t="s">
        <v>684</v>
      </c>
      <c r="H9" s="263">
        <v>1</v>
      </c>
      <c r="I9" s="264">
        <v>44</v>
      </c>
      <c r="J9" s="311">
        <v>1136.42</v>
      </c>
      <c r="K9" s="312">
        <v>0</v>
      </c>
      <c r="L9" s="312">
        <v>0</v>
      </c>
      <c r="M9" s="522">
        <f>220+40.19+271.28</f>
        <v>531.47</v>
      </c>
      <c r="N9" s="312">
        <v>0</v>
      </c>
      <c r="O9" s="522">
        <v>224.53</v>
      </c>
      <c r="P9" s="313">
        <f t="shared" si="0"/>
        <v>1443.3600000000001</v>
      </c>
    </row>
    <row r="10" spans="1:16" s="124" customFormat="1">
      <c r="A10" s="249" t="s">
        <v>462</v>
      </c>
      <c r="B10" s="250" t="s">
        <v>480</v>
      </c>
      <c r="C10" s="237" t="s">
        <v>701</v>
      </c>
      <c r="D10" s="535" t="s">
        <v>702</v>
      </c>
      <c r="E10" s="238">
        <v>2</v>
      </c>
      <c r="F10" s="242" t="s">
        <v>683</v>
      </c>
      <c r="G10" s="241" t="s">
        <v>684</v>
      </c>
      <c r="H10" s="263">
        <v>1</v>
      </c>
      <c r="I10" s="264">
        <v>44</v>
      </c>
      <c r="J10" s="311">
        <v>1252.53</v>
      </c>
      <c r="K10" s="312">
        <v>0</v>
      </c>
      <c r="L10" s="312">
        <v>0</v>
      </c>
      <c r="M10" s="522">
        <v>220</v>
      </c>
      <c r="N10" s="312">
        <v>0</v>
      </c>
      <c r="O10" s="522">
        <v>216.22</v>
      </c>
      <c r="P10" s="313">
        <f t="shared" si="0"/>
        <v>1256.31</v>
      </c>
    </row>
    <row r="11" spans="1:16" s="126" customFormat="1">
      <c r="A11" s="249" t="s">
        <v>462</v>
      </c>
      <c r="B11" s="250" t="s">
        <v>480</v>
      </c>
      <c r="C11" s="237" t="s">
        <v>703</v>
      </c>
      <c r="D11" s="535" t="s">
        <v>704</v>
      </c>
      <c r="E11" s="238">
        <v>2</v>
      </c>
      <c r="F11" s="242" t="s">
        <v>683</v>
      </c>
      <c r="G11" s="241" t="s">
        <v>684</v>
      </c>
      <c r="H11" s="263">
        <v>1</v>
      </c>
      <c r="I11" s="264">
        <v>44</v>
      </c>
      <c r="J11" s="311">
        <v>1252.53</v>
      </c>
      <c r="K11" s="312">
        <v>0</v>
      </c>
      <c r="L11" s="312">
        <v>0</v>
      </c>
      <c r="M11" s="522">
        <f>51.27+220</f>
        <v>271.27</v>
      </c>
      <c r="N11" s="312">
        <v>0</v>
      </c>
      <c r="O11" s="522">
        <v>216.22</v>
      </c>
      <c r="P11" s="313">
        <f t="shared" si="0"/>
        <v>1307.58</v>
      </c>
    </row>
    <row r="12" spans="1:16" s="126" customFormat="1">
      <c r="A12" s="249" t="s">
        <v>462</v>
      </c>
      <c r="B12" s="250" t="s">
        <v>480</v>
      </c>
      <c r="C12" s="237" t="s">
        <v>705</v>
      </c>
      <c r="D12" s="535" t="s">
        <v>706</v>
      </c>
      <c r="E12" s="238">
        <v>2</v>
      </c>
      <c r="F12" s="242" t="s">
        <v>697</v>
      </c>
      <c r="G12" s="241" t="s">
        <v>684</v>
      </c>
      <c r="H12" s="263">
        <v>1</v>
      </c>
      <c r="I12" s="264">
        <v>44</v>
      </c>
      <c r="J12" s="311">
        <v>2090.16</v>
      </c>
      <c r="K12" s="312">
        <v>0</v>
      </c>
      <c r="L12" s="312">
        <v>0</v>
      </c>
      <c r="M12" s="522">
        <f>54.19+365.78+836.06</f>
        <v>1256.03</v>
      </c>
      <c r="N12" s="312">
        <v>0</v>
      </c>
      <c r="O12" s="522">
        <v>418.91</v>
      </c>
      <c r="P12" s="313">
        <f t="shared" si="0"/>
        <v>2927.2799999999997</v>
      </c>
    </row>
    <row r="13" spans="1:16" s="126" customFormat="1">
      <c r="A13" s="249" t="s">
        <v>462</v>
      </c>
      <c r="B13" s="250" t="s">
        <v>480</v>
      </c>
      <c r="C13" s="237" t="s">
        <v>707</v>
      </c>
      <c r="D13" s="535" t="s">
        <v>708</v>
      </c>
      <c r="E13" s="238">
        <v>2</v>
      </c>
      <c r="F13" s="242" t="s">
        <v>709</v>
      </c>
      <c r="G13" s="241" t="s">
        <v>684</v>
      </c>
      <c r="H13" s="263">
        <v>1</v>
      </c>
      <c r="I13" s="264">
        <v>44</v>
      </c>
      <c r="J13" s="311">
        <v>2055.94</v>
      </c>
      <c r="K13" s="312">
        <v>0</v>
      </c>
      <c r="L13" s="312">
        <v>0</v>
      </c>
      <c r="M13" s="522">
        <f>2844.59-2055.94</f>
        <v>788.65000000000009</v>
      </c>
      <c r="N13" s="312">
        <v>0</v>
      </c>
      <c r="O13" s="522">
        <v>283.87</v>
      </c>
      <c r="P13" s="313">
        <f t="shared" si="0"/>
        <v>2560.7200000000003</v>
      </c>
    </row>
    <row r="14" spans="1:16" s="126" customFormat="1">
      <c r="A14" s="249" t="s">
        <v>462</v>
      </c>
      <c r="B14" s="250" t="s">
        <v>480</v>
      </c>
      <c r="C14" s="237" t="s">
        <v>710</v>
      </c>
      <c r="D14" s="535" t="s">
        <v>711</v>
      </c>
      <c r="E14" s="238">
        <v>2</v>
      </c>
      <c r="F14" s="527" t="s">
        <v>712</v>
      </c>
      <c r="G14" s="241" t="s">
        <v>684</v>
      </c>
      <c r="H14" s="263">
        <v>1</v>
      </c>
      <c r="I14" s="264">
        <v>44</v>
      </c>
      <c r="J14" s="311">
        <v>1500</v>
      </c>
      <c r="K14" s="312">
        <v>0</v>
      </c>
      <c r="L14" s="312">
        <v>0</v>
      </c>
      <c r="M14" s="522">
        <v>220</v>
      </c>
      <c r="N14" s="312">
        <v>0</v>
      </c>
      <c r="O14" s="522">
        <v>138.30000000000001</v>
      </c>
      <c r="P14" s="313">
        <f t="shared" si="0"/>
        <v>1581.7</v>
      </c>
    </row>
    <row r="15" spans="1:16" s="126" customFormat="1">
      <c r="A15" s="249" t="s">
        <v>462</v>
      </c>
      <c r="B15" s="250" t="s">
        <v>480</v>
      </c>
      <c r="C15" s="237">
        <v>10283186429</v>
      </c>
      <c r="D15" s="535" t="s">
        <v>713</v>
      </c>
      <c r="E15" s="238">
        <v>2</v>
      </c>
      <c r="F15" s="244" t="s">
        <v>714</v>
      </c>
      <c r="G15" s="241" t="s">
        <v>684</v>
      </c>
      <c r="H15" s="263">
        <v>1</v>
      </c>
      <c r="I15" s="264">
        <v>44</v>
      </c>
      <c r="J15" s="311">
        <v>1248.83</v>
      </c>
      <c r="K15" s="312">
        <v>0</v>
      </c>
      <c r="L15" s="312">
        <v>0</v>
      </c>
      <c r="M15" s="522">
        <f>1590.11-1248.83</f>
        <v>341.28</v>
      </c>
      <c r="N15" s="312">
        <v>0</v>
      </c>
      <c r="O15" s="522">
        <v>217.29</v>
      </c>
      <c r="P15" s="313">
        <f t="shared" si="0"/>
        <v>1372.82</v>
      </c>
    </row>
    <row r="16" spans="1:16" s="126" customFormat="1">
      <c r="A16" s="249" t="s">
        <v>462</v>
      </c>
      <c r="B16" s="250" t="s">
        <v>480</v>
      </c>
      <c r="C16" s="237" t="s">
        <v>715</v>
      </c>
      <c r="D16" s="536" t="s">
        <v>716</v>
      </c>
      <c r="E16" s="238">
        <v>2</v>
      </c>
      <c r="F16" s="244" t="s">
        <v>714</v>
      </c>
      <c r="G16" s="241" t="s">
        <v>684</v>
      </c>
      <c r="H16" s="263">
        <v>1</v>
      </c>
      <c r="I16" s="264">
        <v>44</v>
      </c>
      <c r="J16" s="311">
        <v>1248.83</v>
      </c>
      <c r="K16" s="312">
        <v>0</v>
      </c>
      <c r="L16" s="312">
        <v>0</v>
      </c>
      <c r="M16" s="522">
        <f>220+2.42+16.32</f>
        <v>238.73999999999998</v>
      </c>
      <c r="N16" s="312">
        <v>0</v>
      </c>
      <c r="O16" s="522">
        <v>217.29</v>
      </c>
      <c r="P16" s="313">
        <f t="shared" si="0"/>
        <v>1270.28</v>
      </c>
    </row>
    <row r="17" spans="1:16" s="126" customFormat="1">
      <c r="A17" s="249" t="s">
        <v>462</v>
      </c>
      <c r="B17" s="250" t="s">
        <v>480</v>
      </c>
      <c r="C17" s="237" t="s">
        <v>717</v>
      </c>
      <c r="D17" s="535" t="s">
        <v>718</v>
      </c>
      <c r="E17" s="238">
        <v>3</v>
      </c>
      <c r="F17" s="242" t="s">
        <v>719</v>
      </c>
      <c r="G17" s="241" t="s">
        <v>684</v>
      </c>
      <c r="H17" s="263">
        <v>1</v>
      </c>
      <c r="I17" s="264">
        <v>44</v>
      </c>
      <c r="J17" s="311">
        <v>1136.42</v>
      </c>
      <c r="K17" s="312">
        <v>0</v>
      </c>
      <c r="L17" s="312">
        <v>0</v>
      </c>
      <c r="M17" s="522">
        <f>1685.2-1136.42</f>
        <v>548.78</v>
      </c>
      <c r="N17" s="312">
        <v>0</v>
      </c>
      <c r="O17" s="522">
        <v>157.88999999999999</v>
      </c>
      <c r="P17" s="313">
        <f t="shared" si="0"/>
        <v>1527.31</v>
      </c>
    </row>
    <row r="18" spans="1:16" s="126" customFormat="1">
      <c r="A18" s="249" t="s">
        <v>462</v>
      </c>
      <c r="B18" s="250" t="s">
        <v>480</v>
      </c>
      <c r="C18" s="237">
        <v>70178717401</v>
      </c>
      <c r="D18" s="535" t="s">
        <v>720</v>
      </c>
      <c r="E18" s="238">
        <v>3</v>
      </c>
      <c r="F18" s="242" t="s">
        <v>719</v>
      </c>
      <c r="G18" s="241" t="s">
        <v>684</v>
      </c>
      <c r="H18" s="263">
        <v>1</v>
      </c>
      <c r="I18" s="264">
        <v>44</v>
      </c>
      <c r="J18" s="311">
        <v>1060.6600000000001</v>
      </c>
      <c r="K18" s="312">
        <v>0</v>
      </c>
      <c r="L18" s="312">
        <v>0</v>
      </c>
      <c r="M18" s="522">
        <f>1493.75-1060.66</f>
        <v>433.08999999999992</v>
      </c>
      <c r="N18" s="312">
        <v>0</v>
      </c>
      <c r="O18" s="522">
        <v>198.29</v>
      </c>
      <c r="P18" s="313">
        <f t="shared" si="0"/>
        <v>1295.46</v>
      </c>
    </row>
    <row r="19" spans="1:16" s="126" customFormat="1">
      <c r="A19" s="249" t="s">
        <v>462</v>
      </c>
      <c r="B19" s="250" t="s">
        <v>480</v>
      </c>
      <c r="C19" s="237">
        <v>76801144472</v>
      </c>
      <c r="D19" s="535" t="s">
        <v>722</v>
      </c>
      <c r="E19" s="238">
        <v>3</v>
      </c>
      <c r="F19" s="242" t="s">
        <v>723</v>
      </c>
      <c r="G19" s="241" t="s">
        <v>684</v>
      </c>
      <c r="H19" s="263">
        <v>1</v>
      </c>
      <c r="I19" s="264">
        <v>44</v>
      </c>
      <c r="J19" s="311">
        <v>1136.42</v>
      </c>
      <c r="K19" s="312">
        <v>0</v>
      </c>
      <c r="L19" s="312">
        <v>0</v>
      </c>
      <c r="M19" s="522">
        <f>1477.55-1136.42</f>
        <v>341.12999999999988</v>
      </c>
      <c r="N19" s="312">
        <v>0</v>
      </c>
      <c r="O19" s="522">
        <v>207.29</v>
      </c>
      <c r="P19" s="313">
        <f t="shared" si="0"/>
        <v>1270.26</v>
      </c>
    </row>
    <row r="20" spans="1:16" s="126" customFormat="1">
      <c r="A20" s="249" t="s">
        <v>462</v>
      </c>
      <c r="B20" s="250" t="s">
        <v>480</v>
      </c>
      <c r="C20" s="237" t="s">
        <v>724</v>
      </c>
      <c r="D20" s="536" t="s">
        <v>725</v>
      </c>
      <c r="E20" s="238">
        <v>2</v>
      </c>
      <c r="F20" s="242" t="s">
        <v>683</v>
      </c>
      <c r="G20" s="241" t="s">
        <v>684</v>
      </c>
      <c r="H20" s="263">
        <v>1</v>
      </c>
      <c r="I20" s="264">
        <v>44</v>
      </c>
      <c r="J20" s="311">
        <v>1252.53</v>
      </c>
      <c r="K20" s="312">
        <v>0</v>
      </c>
      <c r="L20" s="312">
        <v>0</v>
      </c>
      <c r="M20" s="522">
        <v>220</v>
      </c>
      <c r="N20" s="312">
        <v>0</v>
      </c>
      <c r="O20" s="522">
        <v>216.22</v>
      </c>
      <c r="P20" s="313">
        <f t="shared" si="0"/>
        <v>1256.31</v>
      </c>
    </row>
    <row r="21" spans="1:16" s="126" customFormat="1">
      <c r="A21" s="249" t="s">
        <v>462</v>
      </c>
      <c r="B21" s="250" t="s">
        <v>480</v>
      </c>
      <c r="C21" s="237" t="s">
        <v>726</v>
      </c>
      <c r="D21" s="535" t="s">
        <v>727</v>
      </c>
      <c r="E21" s="238">
        <v>3</v>
      </c>
      <c r="F21" s="244" t="s">
        <v>728</v>
      </c>
      <c r="G21" s="241" t="s">
        <v>684</v>
      </c>
      <c r="H21" s="263">
        <v>1</v>
      </c>
      <c r="I21" s="264">
        <v>44</v>
      </c>
      <c r="J21" s="311">
        <v>1296.08</v>
      </c>
      <c r="K21" s="312">
        <v>0</v>
      </c>
      <c r="L21" s="312">
        <v>0</v>
      </c>
      <c r="M21" s="522">
        <v>220</v>
      </c>
      <c r="N21" s="312">
        <v>0</v>
      </c>
      <c r="O21" s="522">
        <v>145.86000000000001</v>
      </c>
      <c r="P21" s="313">
        <f t="shared" si="0"/>
        <v>1370.2199999999998</v>
      </c>
    </row>
    <row r="22" spans="1:16" s="126" customFormat="1">
      <c r="A22" s="249" t="s">
        <v>462</v>
      </c>
      <c r="B22" s="250" t="s">
        <v>480</v>
      </c>
      <c r="C22" s="237" t="s">
        <v>729</v>
      </c>
      <c r="D22" s="535" t="s">
        <v>730</v>
      </c>
      <c r="E22" s="238">
        <v>2</v>
      </c>
      <c r="F22" s="244" t="s">
        <v>731</v>
      </c>
      <c r="G22" s="241" t="s">
        <v>684</v>
      </c>
      <c r="H22" s="263">
        <v>1</v>
      </c>
      <c r="I22" s="264">
        <v>44</v>
      </c>
      <c r="J22" s="311">
        <v>1500</v>
      </c>
      <c r="K22" s="312">
        <v>0</v>
      </c>
      <c r="L22" s="312">
        <v>0</v>
      </c>
      <c r="M22" s="522">
        <v>220</v>
      </c>
      <c r="N22" s="312">
        <v>0</v>
      </c>
      <c r="O22" s="522">
        <v>138.30000000000001</v>
      </c>
      <c r="P22" s="313">
        <f t="shared" si="0"/>
        <v>1581.7</v>
      </c>
    </row>
    <row r="23" spans="1:16" s="126" customFormat="1">
      <c r="A23" s="249" t="s">
        <v>462</v>
      </c>
      <c r="B23" s="250" t="s">
        <v>480</v>
      </c>
      <c r="C23" s="237" t="s">
        <v>732</v>
      </c>
      <c r="D23" s="535" t="s">
        <v>733</v>
      </c>
      <c r="E23" s="238">
        <v>3</v>
      </c>
      <c r="F23" s="244" t="s">
        <v>734</v>
      </c>
      <c r="G23" s="241" t="s">
        <v>684</v>
      </c>
      <c r="H23" s="263">
        <v>2</v>
      </c>
      <c r="I23" s="264">
        <v>44</v>
      </c>
      <c r="J23" s="311">
        <v>3099.3</v>
      </c>
      <c r="K23" s="312">
        <v>0</v>
      </c>
      <c r="L23" s="312">
        <v>0</v>
      </c>
      <c r="M23" s="522">
        <v>220</v>
      </c>
      <c r="N23" s="312">
        <v>0</v>
      </c>
      <c r="O23" s="522">
        <v>766.62</v>
      </c>
      <c r="P23" s="313">
        <f t="shared" si="0"/>
        <v>2552.6800000000003</v>
      </c>
    </row>
    <row r="24" spans="1:16" s="126" customFormat="1">
      <c r="A24" s="249" t="s">
        <v>462</v>
      </c>
      <c r="B24" s="250" t="s">
        <v>480</v>
      </c>
      <c r="C24" s="237" t="s">
        <v>735</v>
      </c>
      <c r="D24" s="535" t="s">
        <v>736</v>
      </c>
      <c r="E24" s="238">
        <v>2</v>
      </c>
      <c r="F24" s="242" t="s">
        <v>683</v>
      </c>
      <c r="G24" s="241" t="s">
        <v>684</v>
      </c>
      <c r="H24" s="263">
        <v>1</v>
      </c>
      <c r="I24" s="264">
        <v>44</v>
      </c>
      <c r="J24" s="311">
        <v>1002.02</v>
      </c>
      <c r="K24" s="312">
        <v>0</v>
      </c>
      <c r="L24" s="312">
        <v>0</v>
      </c>
      <c r="M24" s="522">
        <f>1648.46-1002.02</f>
        <v>646.44000000000005</v>
      </c>
      <c r="N24" s="312">
        <v>0</v>
      </c>
      <c r="O24" s="522">
        <v>212.26</v>
      </c>
      <c r="P24" s="313">
        <f t="shared" si="0"/>
        <v>1436.2</v>
      </c>
    </row>
    <row r="25" spans="1:16" s="126" customFormat="1">
      <c r="A25" s="249" t="s">
        <v>462</v>
      </c>
      <c r="B25" s="250" t="s">
        <v>480</v>
      </c>
      <c r="C25" s="237">
        <v>78272203472</v>
      </c>
      <c r="D25" s="535" t="s">
        <v>738</v>
      </c>
      <c r="E25" s="238">
        <v>3</v>
      </c>
      <c r="F25" s="244" t="s">
        <v>728</v>
      </c>
      <c r="G25" s="241" t="s">
        <v>684</v>
      </c>
      <c r="H25" s="263">
        <v>1</v>
      </c>
      <c r="I25" s="264">
        <v>44</v>
      </c>
      <c r="J25" s="311">
        <v>1296.08</v>
      </c>
      <c r="K25" s="312">
        <v>0</v>
      </c>
      <c r="L25" s="312">
        <v>0</v>
      </c>
      <c r="M25" s="522">
        <v>220</v>
      </c>
      <c r="N25" s="312">
        <v>0</v>
      </c>
      <c r="O25" s="522">
        <v>145.86000000000001</v>
      </c>
      <c r="P25" s="313">
        <f t="shared" si="0"/>
        <v>1370.2199999999998</v>
      </c>
    </row>
    <row r="26" spans="1:16" s="126" customFormat="1">
      <c r="A26" s="249" t="s">
        <v>462</v>
      </c>
      <c r="B26" s="250" t="s">
        <v>480</v>
      </c>
      <c r="C26" s="237">
        <v>65002938434</v>
      </c>
      <c r="D26" s="535" t="s">
        <v>739</v>
      </c>
      <c r="E26" s="238">
        <v>2</v>
      </c>
      <c r="F26" s="244" t="s">
        <v>740</v>
      </c>
      <c r="G26" s="241" t="s">
        <v>684</v>
      </c>
      <c r="H26" s="263">
        <v>1</v>
      </c>
      <c r="I26" s="264">
        <v>44</v>
      </c>
      <c r="J26" s="311">
        <v>3209.67</v>
      </c>
      <c r="K26" s="312">
        <v>0</v>
      </c>
      <c r="L26" s="312">
        <v>0</v>
      </c>
      <c r="M26" s="522">
        <f>3429.67-3209.67</f>
        <v>220</v>
      </c>
      <c r="N26" s="312">
        <v>0</v>
      </c>
      <c r="O26" s="522">
        <v>428.98</v>
      </c>
      <c r="P26" s="313">
        <f t="shared" si="0"/>
        <v>3000.69</v>
      </c>
    </row>
    <row r="27" spans="1:16" s="126" customFormat="1">
      <c r="A27" s="249" t="s">
        <v>462</v>
      </c>
      <c r="B27" s="250" t="s">
        <v>480</v>
      </c>
      <c r="C27" s="237" t="s">
        <v>741</v>
      </c>
      <c r="D27" s="535" t="s">
        <v>742</v>
      </c>
      <c r="E27" s="238">
        <v>2</v>
      </c>
      <c r="F27" s="242" t="s">
        <v>709</v>
      </c>
      <c r="G27" s="241" t="s">
        <v>684</v>
      </c>
      <c r="H27" s="263">
        <v>1</v>
      </c>
      <c r="I27" s="264">
        <v>44</v>
      </c>
      <c r="J27" s="311">
        <v>1771.76</v>
      </c>
      <c r="K27" s="312">
        <v>0</v>
      </c>
      <c r="L27" s="312">
        <v>0</v>
      </c>
      <c r="M27" s="522">
        <f>2029.88-1771.76</f>
        <v>258.12000000000012</v>
      </c>
      <c r="N27" s="312">
        <v>0</v>
      </c>
      <c r="O27" s="522">
        <v>168.61</v>
      </c>
      <c r="P27" s="313">
        <f t="shared" si="0"/>
        <v>1861.27</v>
      </c>
    </row>
    <row r="28" spans="1:16" s="126" customFormat="1">
      <c r="A28" s="249" t="s">
        <v>462</v>
      </c>
      <c r="B28" s="250" t="s">
        <v>480</v>
      </c>
      <c r="C28" s="237">
        <v>84767812453</v>
      </c>
      <c r="D28" s="537" t="s">
        <v>743</v>
      </c>
      <c r="E28" s="238">
        <v>3</v>
      </c>
      <c r="F28" s="244" t="s">
        <v>744</v>
      </c>
      <c r="G28" s="241" t="s">
        <v>684</v>
      </c>
      <c r="H28" s="263">
        <v>1</v>
      </c>
      <c r="I28" s="264">
        <v>44</v>
      </c>
      <c r="J28" s="311">
        <v>1954.7</v>
      </c>
      <c r="K28" s="312">
        <v>0</v>
      </c>
      <c r="L28" s="312">
        <v>0</v>
      </c>
      <c r="M28" s="522">
        <f>8076.77-1954.7</f>
        <v>6122.0700000000006</v>
      </c>
      <c r="N28" s="312">
        <v>0</v>
      </c>
      <c r="O28" s="522">
        <v>659.39</v>
      </c>
      <c r="P28" s="313">
        <f t="shared" si="0"/>
        <v>7417.38</v>
      </c>
    </row>
    <row r="29" spans="1:16" s="126" customFormat="1">
      <c r="A29" s="249" t="s">
        <v>462</v>
      </c>
      <c r="B29" s="250" t="s">
        <v>480</v>
      </c>
      <c r="C29" s="237">
        <v>77118162434</v>
      </c>
      <c r="D29" s="535" t="s">
        <v>745</v>
      </c>
      <c r="E29" s="238">
        <v>2</v>
      </c>
      <c r="F29" s="242" t="s">
        <v>709</v>
      </c>
      <c r="G29" s="241" t="s">
        <v>684</v>
      </c>
      <c r="H29" s="263">
        <v>1</v>
      </c>
      <c r="I29" s="264">
        <v>44</v>
      </c>
      <c r="J29" s="311">
        <v>1081.23</v>
      </c>
      <c r="K29" s="312">
        <v>0</v>
      </c>
      <c r="L29" s="312">
        <v>0</v>
      </c>
      <c r="M29" s="522">
        <f>2137.67-1081.23</f>
        <v>1056.44</v>
      </c>
      <c r="N29" s="312">
        <v>0</v>
      </c>
      <c r="O29" s="522">
        <v>103.9</v>
      </c>
      <c r="P29" s="313">
        <f t="shared" si="0"/>
        <v>2033.77</v>
      </c>
    </row>
    <row r="30" spans="1:16" s="126" customFormat="1">
      <c r="A30" s="249" t="s">
        <v>462</v>
      </c>
      <c r="B30" s="250" t="s">
        <v>480</v>
      </c>
      <c r="C30" s="237">
        <v>62012720463</v>
      </c>
      <c r="D30" s="535" t="s">
        <v>747</v>
      </c>
      <c r="E30" s="238">
        <v>3</v>
      </c>
      <c r="F30" s="244" t="s">
        <v>744</v>
      </c>
      <c r="G30" s="241" t="s">
        <v>684</v>
      </c>
      <c r="H30" s="263">
        <v>1</v>
      </c>
      <c r="I30" s="264">
        <v>44</v>
      </c>
      <c r="J30" s="311">
        <v>1954.7</v>
      </c>
      <c r="K30" s="312">
        <v>0</v>
      </c>
      <c r="L30" s="312">
        <v>0</v>
      </c>
      <c r="M30" s="522">
        <v>220</v>
      </c>
      <c r="N30" s="312">
        <v>0</v>
      </c>
      <c r="O30" s="522">
        <v>218.31</v>
      </c>
      <c r="P30" s="313">
        <f t="shared" si="0"/>
        <v>1956.3899999999999</v>
      </c>
    </row>
    <row r="31" spans="1:16" s="126" customFormat="1">
      <c r="A31" s="249" t="s">
        <v>462</v>
      </c>
      <c r="B31" s="250" t="s">
        <v>480</v>
      </c>
      <c r="C31" s="237" t="s">
        <v>748</v>
      </c>
      <c r="D31" s="536" t="s">
        <v>749</v>
      </c>
      <c r="E31" s="238">
        <v>3</v>
      </c>
      <c r="F31" s="243" t="s">
        <v>750</v>
      </c>
      <c r="G31" s="241" t="s">
        <v>684</v>
      </c>
      <c r="H31" s="263">
        <v>2</v>
      </c>
      <c r="I31" s="264">
        <v>44</v>
      </c>
      <c r="J31" s="311">
        <v>826.33</v>
      </c>
      <c r="K31" s="312">
        <f>559.07+186.36+965.66+321.89+0.15+0.24</f>
        <v>2033.3700000000001</v>
      </c>
      <c r="L31" s="312">
        <v>0</v>
      </c>
      <c r="M31" s="522">
        <v>139.33000000000001</v>
      </c>
      <c r="N31" s="312">
        <v>0</v>
      </c>
      <c r="O31" s="522">
        <v>968.56</v>
      </c>
      <c r="P31" s="313">
        <f t="shared" si="0"/>
        <v>2030.4700000000003</v>
      </c>
    </row>
    <row r="32" spans="1:16" s="126" customFormat="1">
      <c r="A32" s="249" t="s">
        <v>462</v>
      </c>
      <c r="B32" s="250" t="s">
        <v>480</v>
      </c>
      <c r="C32" s="237" t="s">
        <v>751</v>
      </c>
      <c r="D32" s="535" t="s">
        <v>752</v>
      </c>
      <c r="E32" s="238">
        <v>2</v>
      </c>
      <c r="F32" s="242" t="s">
        <v>683</v>
      </c>
      <c r="G32" s="241" t="s">
        <v>684</v>
      </c>
      <c r="H32" s="263">
        <v>1</v>
      </c>
      <c r="I32" s="264">
        <v>44</v>
      </c>
      <c r="J32" s="311">
        <v>0</v>
      </c>
      <c r="K32" s="312">
        <v>0</v>
      </c>
      <c r="L32" s="312">
        <v>0</v>
      </c>
      <c r="M32" s="522">
        <v>0</v>
      </c>
      <c r="N32" s="312">
        <v>0</v>
      </c>
      <c r="O32" s="522">
        <v>0</v>
      </c>
      <c r="P32" s="313">
        <f t="shared" si="0"/>
        <v>0</v>
      </c>
    </row>
    <row r="33" spans="1:16" s="126" customFormat="1">
      <c r="A33" s="249" t="s">
        <v>462</v>
      </c>
      <c r="B33" s="250" t="s">
        <v>480</v>
      </c>
      <c r="C33" s="528" t="s">
        <v>753</v>
      </c>
      <c r="D33" s="536" t="s">
        <v>754</v>
      </c>
      <c r="E33" s="238">
        <v>3</v>
      </c>
      <c r="F33" s="242" t="s">
        <v>723</v>
      </c>
      <c r="G33" s="241" t="s">
        <v>684</v>
      </c>
      <c r="H33" s="263">
        <v>1</v>
      </c>
      <c r="I33" s="264">
        <v>44</v>
      </c>
      <c r="J33" s="311">
        <v>1136.42</v>
      </c>
      <c r="K33" s="312">
        <v>0</v>
      </c>
      <c r="L33" s="312">
        <v>0</v>
      </c>
      <c r="M33" s="522">
        <f>1683.81-1136.42</f>
        <v>547.38999999999987</v>
      </c>
      <c r="N33" s="312">
        <v>0</v>
      </c>
      <c r="O33" s="522">
        <v>157.77000000000001</v>
      </c>
      <c r="P33" s="313">
        <f t="shared" ref="P33:P62" si="1">SUM(J33:N33)-O33</f>
        <v>1526.04</v>
      </c>
    </row>
    <row r="34" spans="1:16" s="126" customFormat="1">
      <c r="A34" s="249" t="s">
        <v>462</v>
      </c>
      <c r="B34" s="250" t="s">
        <v>480</v>
      </c>
      <c r="C34" s="528" t="s">
        <v>755</v>
      </c>
      <c r="D34" s="535" t="s">
        <v>756</v>
      </c>
      <c r="E34" s="238">
        <v>2</v>
      </c>
      <c r="F34" s="242" t="s">
        <v>683</v>
      </c>
      <c r="G34" s="241" t="s">
        <v>684</v>
      </c>
      <c r="H34" s="263">
        <v>1</v>
      </c>
      <c r="I34" s="264">
        <v>44</v>
      </c>
      <c r="J34" s="311">
        <v>1252.53</v>
      </c>
      <c r="K34" s="312">
        <v>0</v>
      </c>
      <c r="L34" s="312">
        <v>0</v>
      </c>
      <c r="M34" s="522">
        <f>1726.31-1252.53</f>
        <v>473.78</v>
      </c>
      <c r="N34" s="312">
        <v>0</v>
      </c>
      <c r="O34" s="522">
        <v>648.51</v>
      </c>
      <c r="P34" s="313">
        <f t="shared" si="1"/>
        <v>1077.8</v>
      </c>
    </row>
    <row r="35" spans="1:16" s="126" customFormat="1">
      <c r="A35" s="249" t="s">
        <v>462</v>
      </c>
      <c r="B35" s="250" t="s">
        <v>480</v>
      </c>
      <c r="C35" s="528" t="s">
        <v>757</v>
      </c>
      <c r="D35" s="535" t="s">
        <v>758</v>
      </c>
      <c r="E35" s="238">
        <v>2</v>
      </c>
      <c r="F35" s="242" t="s">
        <v>683</v>
      </c>
      <c r="G35" s="241" t="s">
        <v>684</v>
      </c>
      <c r="H35" s="263">
        <v>1</v>
      </c>
      <c r="I35" s="264">
        <v>44</v>
      </c>
      <c r="J35" s="311">
        <v>1252.53</v>
      </c>
      <c r="K35" s="312">
        <v>0</v>
      </c>
      <c r="L35" s="312">
        <v>0</v>
      </c>
      <c r="M35" s="522">
        <f>3063.3-1252.53</f>
        <v>1810.7700000000002</v>
      </c>
      <c r="N35" s="312">
        <v>0</v>
      </c>
      <c r="O35" s="522">
        <v>1792.15</v>
      </c>
      <c r="P35" s="313">
        <f t="shared" si="1"/>
        <v>1271.1500000000001</v>
      </c>
    </row>
    <row r="36" spans="1:16" s="126" customFormat="1">
      <c r="A36" s="249" t="s">
        <v>462</v>
      </c>
      <c r="B36" s="250" t="s">
        <v>480</v>
      </c>
      <c r="C36" s="528" t="s">
        <v>759</v>
      </c>
      <c r="D36" s="535" t="s">
        <v>760</v>
      </c>
      <c r="E36" s="238">
        <v>3</v>
      </c>
      <c r="F36" s="244" t="s">
        <v>761</v>
      </c>
      <c r="G36" s="241" t="s">
        <v>684</v>
      </c>
      <c r="H36" s="263">
        <v>1</v>
      </c>
      <c r="I36" s="264">
        <v>44</v>
      </c>
      <c r="J36" s="311">
        <v>1136.42</v>
      </c>
      <c r="K36" s="312">
        <v>0</v>
      </c>
      <c r="L36" s="312">
        <v>0</v>
      </c>
      <c r="M36" s="522">
        <f>51.27+220+66.12</f>
        <v>337.39</v>
      </c>
      <c r="N36" s="312">
        <v>0</v>
      </c>
      <c r="O36" s="522">
        <v>128.30000000000001</v>
      </c>
      <c r="P36" s="313">
        <f t="shared" si="1"/>
        <v>1345.51</v>
      </c>
    </row>
    <row r="37" spans="1:16" s="126" customFormat="1">
      <c r="A37" s="249" t="s">
        <v>462</v>
      </c>
      <c r="B37" s="250" t="s">
        <v>480</v>
      </c>
      <c r="C37" s="528" t="s">
        <v>763</v>
      </c>
      <c r="D37" s="535" t="s">
        <v>764</v>
      </c>
      <c r="E37" s="238">
        <v>3</v>
      </c>
      <c r="F37" s="242" t="s">
        <v>761</v>
      </c>
      <c r="G37" s="241" t="s">
        <v>684</v>
      </c>
      <c r="H37" s="263">
        <v>1</v>
      </c>
      <c r="I37" s="264">
        <v>44</v>
      </c>
      <c r="J37" s="311">
        <v>1136.42</v>
      </c>
      <c r="K37" s="312">
        <v>0</v>
      </c>
      <c r="L37" s="312">
        <v>0</v>
      </c>
      <c r="M37" s="522">
        <f>1473.81-1136.42</f>
        <v>337.38999999999987</v>
      </c>
      <c r="N37" s="312">
        <v>0</v>
      </c>
      <c r="O37" s="522">
        <v>196.49</v>
      </c>
      <c r="P37" s="313">
        <f t="shared" si="1"/>
        <v>1277.32</v>
      </c>
    </row>
    <row r="38" spans="1:16" s="126" customFormat="1">
      <c r="A38" s="249" t="s">
        <v>462</v>
      </c>
      <c r="B38" s="250" t="s">
        <v>480</v>
      </c>
      <c r="C38" s="528" t="s">
        <v>765</v>
      </c>
      <c r="D38" s="535" t="s">
        <v>766</v>
      </c>
      <c r="E38" s="238">
        <v>3</v>
      </c>
      <c r="F38" s="244" t="s">
        <v>761</v>
      </c>
      <c r="G38" s="241" t="s">
        <v>684</v>
      </c>
      <c r="H38" s="263">
        <v>1</v>
      </c>
      <c r="I38" s="264">
        <v>44</v>
      </c>
      <c r="J38" s="311">
        <v>871.26</v>
      </c>
      <c r="K38" s="312">
        <v>0</v>
      </c>
      <c r="L38" s="312">
        <v>0</v>
      </c>
      <c r="M38" s="522">
        <f>1581.95-871.26</f>
        <v>710.69</v>
      </c>
      <c r="N38" s="312">
        <v>0</v>
      </c>
      <c r="O38" s="522">
        <v>216.79</v>
      </c>
      <c r="P38" s="313">
        <f t="shared" si="1"/>
        <v>1365.16</v>
      </c>
    </row>
    <row r="39" spans="1:16" s="126" customFormat="1">
      <c r="A39" s="249" t="s">
        <v>462</v>
      </c>
      <c r="B39" s="250" t="s">
        <v>480</v>
      </c>
      <c r="C39" s="528" t="s">
        <v>767</v>
      </c>
      <c r="D39" s="535" t="s">
        <v>768</v>
      </c>
      <c r="E39" s="238">
        <v>2</v>
      </c>
      <c r="F39" s="242" t="s">
        <v>709</v>
      </c>
      <c r="G39" s="241" t="s">
        <v>684</v>
      </c>
      <c r="H39" s="263">
        <v>1</v>
      </c>
      <c r="I39" s="264">
        <v>44</v>
      </c>
      <c r="J39" s="311">
        <v>2055.94</v>
      </c>
      <c r="K39" s="312">
        <v>0</v>
      </c>
      <c r="L39" s="312">
        <v>0</v>
      </c>
      <c r="M39" s="522">
        <f>3011.3-2055.94</f>
        <v>955.36000000000013</v>
      </c>
      <c r="N39" s="312">
        <v>0</v>
      </c>
      <c r="O39" s="522">
        <v>314.87</v>
      </c>
      <c r="P39" s="313">
        <f t="shared" si="1"/>
        <v>2696.4300000000003</v>
      </c>
    </row>
    <row r="40" spans="1:16" s="126" customFormat="1">
      <c r="A40" s="249" t="s">
        <v>462</v>
      </c>
      <c r="B40" s="250" t="s">
        <v>480</v>
      </c>
      <c r="C40" s="528">
        <v>86643770491</v>
      </c>
      <c r="D40" s="535" t="s">
        <v>769</v>
      </c>
      <c r="E40" s="238">
        <v>2</v>
      </c>
      <c r="F40" s="242" t="s">
        <v>709</v>
      </c>
      <c r="G40" s="241" t="s">
        <v>684</v>
      </c>
      <c r="H40" s="263">
        <v>1</v>
      </c>
      <c r="I40" s="264">
        <v>44</v>
      </c>
      <c r="J40" s="311">
        <v>2055.94</v>
      </c>
      <c r="K40" s="312">
        <v>0</v>
      </c>
      <c r="L40" s="312">
        <v>0</v>
      </c>
      <c r="M40" s="522">
        <f>2389.02-2055.94</f>
        <v>333.07999999999993</v>
      </c>
      <c r="N40" s="312">
        <v>0</v>
      </c>
      <c r="O40" s="522">
        <v>227.57</v>
      </c>
      <c r="P40" s="313">
        <f t="shared" si="1"/>
        <v>2161.4499999999998</v>
      </c>
    </row>
    <row r="41" spans="1:16" s="126" customFormat="1">
      <c r="A41" s="249" t="s">
        <v>462</v>
      </c>
      <c r="B41" s="250" t="s">
        <v>480</v>
      </c>
      <c r="C41" s="528" t="s">
        <v>770</v>
      </c>
      <c r="D41" s="535" t="s">
        <v>771</v>
      </c>
      <c r="E41" s="238">
        <v>3</v>
      </c>
      <c r="F41" s="243" t="s">
        <v>772</v>
      </c>
      <c r="G41" s="241" t="s">
        <v>684</v>
      </c>
      <c r="H41" s="263">
        <v>1</v>
      </c>
      <c r="I41" s="264">
        <v>44</v>
      </c>
      <c r="J41" s="311">
        <v>1303.1300000000001</v>
      </c>
      <c r="K41" s="312">
        <v>0</v>
      </c>
      <c r="L41" s="312">
        <v>0</v>
      </c>
      <c r="M41" s="522">
        <f>1872.89-1303.13</f>
        <v>569.76</v>
      </c>
      <c r="N41" s="312">
        <v>0</v>
      </c>
      <c r="O41" s="522">
        <v>256.31</v>
      </c>
      <c r="P41" s="313">
        <f t="shared" si="1"/>
        <v>1616.5800000000002</v>
      </c>
    </row>
    <row r="42" spans="1:16" s="126" customFormat="1">
      <c r="A42" s="249" t="s">
        <v>462</v>
      </c>
      <c r="B42" s="250" t="s">
        <v>480</v>
      </c>
      <c r="C42" s="528" t="s">
        <v>773</v>
      </c>
      <c r="D42" s="536" t="s">
        <v>774</v>
      </c>
      <c r="E42" s="238">
        <v>3</v>
      </c>
      <c r="F42" s="242" t="s">
        <v>687</v>
      </c>
      <c r="G42" s="241" t="s">
        <v>684</v>
      </c>
      <c r="H42" s="263">
        <v>1</v>
      </c>
      <c r="I42" s="264">
        <v>44</v>
      </c>
      <c r="J42" s="311">
        <v>1136.42</v>
      </c>
      <c r="K42" s="312">
        <v>0</v>
      </c>
      <c r="L42" s="312">
        <v>0</v>
      </c>
      <c r="M42" s="522">
        <f>1667.89-1136.42</f>
        <v>531.47</v>
      </c>
      <c r="N42" s="312">
        <v>0</v>
      </c>
      <c r="O42" s="522">
        <v>224.53</v>
      </c>
      <c r="P42" s="313">
        <f t="shared" si="1"/>
        <v>1443.3600000000001</v>
      </c>
    </row>
    <row r="43" spans="1:16" s="126" customFormat="1">
      <c r="A43" s="249" t="s">
        <v>462</v>
      </c>
      <c r="B43" s="250" t="s">
        <v>480</v>
      </c>
      <c r="C43" s="528" t="s">
        <v>775</v>
      </c>
      <c r="D43" s="536" t="s">
        <v>776</v>
      </c>
      <c r="E43" s="238">
        <v>2</v>
      </c>
      <c r="F43" s="244" t="s">
        <v>740</v>
      </c>
      <c r="G43" s="241" t="s">
        <v>684</v>
      </c>
      <c r="H43" s="263">
        <v>1</v>
      </c>
      <c r="I43" s="264">
        <v>44</v>
      </c>
      <c r="J43" s="311">
        <v>3209.67</v>
      </c>
      <c r="K43" s="312">
        <v>0</v>
      </c>
      <c r="L43" s="312">
        <v>0</v>
      </c>
      <c r="M43" s="522">
        <f>4389.31-3209.67</f>
        <v>1179.6400000000003</v>
      </c>
      <c r="N43" s="312">
        <v>0</v>
      </c>
      <c r="O43" s="522">
        <v>728.49</v>
      </c>
      <c r="P43" s="313">
        <f t="shared" si="1"/>
        <v>3660.8200000000006</v>
      </c>
    </row>
    <row r="44" spans="1:16" s="126" customFormat="1">
      <c r="A44" s="249" t="s">
        <v>462</v>
      </c>
      <c r="B44" s="250" t="s">
        <v>480</v>
      </c>
      <c r="C44" s="528" t="s">
        <v>777</v>
      </c>
      <c r="D44" s="535" t="s">
        <v>778</v>
      </c>
      <c r="E44" s="238">
        <v>2</v>
      </c>
      <c r="F44" s="242" t="s">
        <v>683</v>
      </c>
      <c r="G44" s="241" t="s">
        <v>684</v>
      </c>
      <c r="H44" s="263">
        <v>1</v>
      </c>
      <c r="I44" s="264">
        <v>44</v>
      </c>
      <c r="J44" s="311">
        <v>1127.28</v>
      </c>
      <c r="K44" s="312">
        <v>0</v>
      </c>
      <c r="L44" s="312">
        <v>0</v>
      </c>
      <c r="M44" s="522">
        <f>1535.43-1127.28</f>
        <v>408.15000000000009</v>
      </c>
      <c r="N44" s="312">
        <v>0</v>
      </c>
      <c r="O44" s="522">
        <v>215.93</v>
      </c>
      <c r="P44" s="313">
        <f t="shared" si="1"/>
        <v>1319.5</v>
      </c>
    </row>
    <row r="45" spans="1:16" s="127" customFormat="1">
      <c r="A45" s="249" t="s">
        <v>462</v>
      </c>
      <c r="B45" s="250" t="s">
        <v>480</v>
      </c>
      <c r="C45" s="528" t="s">
        <v>780</v>
      </c>
      <c r="D45" s="535" t="s">
        <v>781</v>
      </c>
      <c r="E45" s="238">
        <v>3</v>
      </c>
      <c r="F45" s="242" t="s">
        <v>687</v>
      </c>
      <c r="G45" s="241" t="s">
        <v>684</v>
      </c>
      <c r="H45" s="263">
        <v>2</v>
      </c>
      <c r="I45" s="264">
        <v>44</v>
      </c>
      <c r="J45" s="311">
        <v>1136.42</v>
      </c>
      <c r="K45" s="312">
        <v>0</v>
      </c>
      <c r="L45" s="312">
        <v>0</v>
      </c>
      <c r="M45" s="522">
        <v>220</v>
      </c>
      <c r="N45" s="312">
        <v>0</v>
      </c>
      <c r="O45" s="522">
        <v>196.49</v>
      </c>
      <c r="P45" s="313">
        <f t="shared" si="1"/>
        <v>1159.93</v>
      </c>
    </row>
    <row r="46" spans="1:16" s="128" customFormat="1">
      <c r="A46" s="249" t="s">
        <v>462</v>
      </c>
      <c r="B46" s="250" t="s">
        <v>480</v>
      </c>
      <c r="C46" s="528" t="s">
        <v>782</v>
      </c>
      <c r="D46" s="535" t="s">
        <v>783</v>
      </c>
      <c r="E46" s="238">
        <v>2</v>
      </c>
      <c r="F46" s="242" t="s">
        <v>709</v>
      </c>
      <c r="G46" s="241" t="s">
        <v>684</v>
      </c>
      <c r="H46" s="263">
        <v>1</v>
      </c>
      <c r="I46" s="264">
        <v>44</v>
      </c>
      <c r="J46" s="311">
        <v>1771.76</v>
      </c>
      <c r="K46" s="312">
        <v>0</v>
      </c>
      <c r="L46" s="312">
        <v>0</v>
      </c>
      <c r="M46" s="522">
        <f>2369.43-1771.76</f>
        <v>597.66999999999985</v>
      </c>
      <c r="N46" s="312">
        <v>0</v>
      </c>
      <c r="O46" s="522">
        <v>204.15</v>
      </c>
      <c r="P46" s="313">
        <f t="shared" si="1"/>
        <v>2165.2799999999997</v>
      </c>
    </row>
    <row r="47" spans="1:16" s="128" customFormat="1">
      <c r="A47" s="249" t="s">
        <v>462</v>
      </c>
      <c r="B47" s="250" t="s">
        <v>480</v>
      </c>
      <c r="C47" s="528" t="s">
        <v>784</v>
      </c>
      <c r="D47" s="535" t="s">
        <v>785</v>
      </c>
      <c r="E47" s="238">
        <v>2</v>
      </c>
      <c r="F47" s="242" t="s">
        <v>697</v>
      </c>
      <c r="G47" s="241" t="s">
        <v>684</v>
      </c>
      <c r="H47" s="263">
        <v>1</v>
      </c>
      <c r="I47" s="264">
        <v>44</v>
      </c>
      <c r="J47" s="311">
        <v>2090.16</v>
      </c>
      <c r="K47" s="312">
        <v>0</v>
      </c>
      <c r="L47" s="312">
        <v>0</v>
      </c>
      <c r="M47" s="522">
        <f>3346.19-2090.16</f>
        <v>1256.0300000000002</v>
      </c>
      <c r="N47" s="312">
        <v>0</v>
      </c>
      <c r="O47" s="522">
        <v>390.47</v>
      </c>
      <c r="P47" s="313">
        <f t="shared" si="1"/>
        <v>2955.7200000000003</v>
      </c>
    </row>
    <row r="48" spans="1:16" s="128" customFormat="1">
      <c r="A48" s="249" t="s">
        <v>462</v>
      </c>
      <c r="B48" s="250" t="s">
        <v>480</v>
      </c>
      <c r="C48" s="528" t="s">
        <v>786</v>
      </c>
      <c r="D48" s="535" t="s">
        <v>787</v>
      </c>
      <c r="E48" s="238">
        <v>3</v>
      </c>
      <c r="F48" s="242" t="s">
        <v>788</v>
      </c>
      <c r="G48" s="241" t="s">
        <v>684</v>
      </c>
      <c r="H48" s="263">
        <v>2</v>
      </c>
      <c r="I48" s="264">
        <v>44</v>
      </c>
      <c r="J48" s="311">
        <v>5346.29</v>
      </c>
      <c r="K48" s="312">
        <v>0</v>
      </c>
      <c r="L48" s="312">
        <v>0</v>
      </c>
      <c r="M48" s="522">
        <f>220+66.12</f>
        <v>286.12</v>
      </c>
      <c r="N48" s="312">
        <v>0</v>
      </c>
      <c r="O48" s="522">
        <v>1066.3800000000001</v>
      </c>
      <c r="P48" s="313">
        <f t="shared" si="1"/>
        <v>4566.03</v>
      </c>
    </row>
    <row r="49" spans="1:16" s="128" customFormat="1">
      <c r="A49" s="249" t="s">
        <v>462</v>
      </c>
      <c r="B49" s="250" t="s">
        <v>480</v>
      </c>
      <c r="C49" s="528" t="s">
        <v>789</v>
      </c>
      <c r="D49" s="535" t="s">
        <v>790</v>
      </c>
      <c r="E49" s="238">
        <v>3</v>
      </c>
      <c r="F49" s="242" t="s">
        <v>689</v>
      </c>
      <c r="G49" s="241" t="s">
        <v>684</v>
      </c>
      <c r="H49" s="263">
        <v>2</v>
      </c>
      <c r="I49" s="264">
        <v>44</v>
      </c>
      <c r="J49" s="311">
        <v>1136.42</v>
      </c>
      <c r="K49" s="312">
        <v>0</v>
      </c>
      <c r="L49" s="312">
        <v>0</v>
      </c>
      <c r="M49" s="522">
        <f>1508.42-1136.42</f>
        <v>372</v>
      </c>
      <c r="N49" s="312">
        <v>0</v>
      </c>
      <c r="O49" s="522">
        <v>131.41999999999999</v>
      </c>
      <c r="P49" s="313">
        <f t="shared" si="1"/>
        <v>1377</v>
      </c>
    </row>
    <row r="50" spans="1:16" s="128" customFormat="1">
      <c r="A50" s="249" t="s">
        <v>462</v>
      </c>
      <c r="B50" s="250" t="s">
        <v>480</v>
      </c>
      <c r="C50" s="528" t="s">
        <v>791</v>
      </c>
      <c r="D50" s="536" t="s">
        <v>792</v>
      </c>
      <c r="E50" s="238">
        <v>3</v>
      </c>
      <c r="F50" s="243" t="s">
        <v>772</v>
      </c>
      <c r="G50" s="241" t="s">
        <v>684</v>
      </c>
      <c r="H50" s="263">
        <v>1</v>
      </c>
      <c r="I50" s="264">
        <v>44</v>
      </c>
      <c r="J50" s="311">
        <v>1085.94</v>
      </c>
      <c r="K50" s="312">
        <v>0</v>
      </c>
      <c r="L50" s="312">
        <v>0</v>
      </c>
      <c r="M50" s="522">
        <f>1882.9-1085.94</f>
        <v>796.96</v>
      </c>
      <c r="N50" s="312">
        <v>0</v>
      </c>
      <c r="O50" s="522">
        <v>251.26</v>
      </c>
      <c r="P50" s="313">
        <f t="shared" si="1"/>
        <v>1631.64</v>
      </c>
    </row>
    <row r="51" spans="1:16" s="128" customFormat="1">
      <c r="A51" s="249" t="s">
        <v>462</v>
      </c>
      <c r="B51" s="250" t="s">
        <v>480</v>
      </c>
      <c r="C51" s="528">
        <v>39960544400</v>
      </c>
      <c r="D51" s="535" t="s">
        <v>793</v>
      </c>
      <c r="E51" s="238">
        <v>2</v>
      </c>
      <c r="F51" s="242" t="s">
        <v>697</v>
      </c>
      <c r="G51" s="241" t="s">
        <v>684</v>
      </c>
      <c r="H51" s="263">
        <v>1</v>
      </c>
      <c r="I51" s="264">
        <v>44</v>
      </c>
      <c r="J51" s="311">
        <v>2090.16</v>
      </c>
      <c r="K51" s="312">
        <v>0</v>
      </c>
      <c r="L51" s="312">
        <v>0</v>
      </c>
      <c r="M51" s="522">
        <f>3178.2-2090.16</f>
        <v>1088.04</v>
      </c>
      <c r="N51" s="312">
        <v>0</v>
      </c>
      <c r="O51" s="522">
        <v>375.88</v>
      </c>
      <c r="P51" s="313">
        <f t="shared" si="1"/>
        <v>2802.3199999999997</v>
      </c>
    </row>
    <row r="52" spans="1:16" s="128" customFormat="1">
      <c r="A52" s="249" t="s">
        <v>462</v>
      </c>
      <c r="B52" s="250" t="s">
        <v>480</v>
      </c>
      <c r="C52" s="528" t="s">
        <v>794</v>
      </c>
      <c r="D52" s="535" t="s">
        <v>795</v>
      </c>
      <c r="E52" s="238">
        <v>2</v>
      </c>
      <c r="F52" s="242" t="s">
        <v>683</v>
      </c>
      <c r="G52" s="241" t="s">
        <v>684</v>
      </c>
      <c r="H52" s="263">
        <v>1</v>
      </c>
      <c r="I52" s="264">
        <v>44</v>
      </c>
      <c r="J52" s="311">
        <v>1169.03</v>
      </c>
      <c r="K52" s="312">
        <v>0</v>
      </c>
      <c r="L52" s="312">
        <v>0</v>
      </c>
      <c r="M52" s="522">
        <f>83.5+205.33</f>
        <v>288.83000000000004</v>
      </c>
      <c r="N52" s="312">
        <v>0</v>
      </c>
      <c r="O52" s="522">
        <v>214.9</v>
      </c>
      <c r="P52" s="313">
        <f t="shared" si="1"/>
        <v>1242.96</v>
      </c>
    </row>
    <row r="53" spans="1:16" s="128" customFormat="1">
      <c r="A53" s="249" t="s">
        <v>462</v>
      </c>
      <c r="B53" s="250" t="s">
        <v>480</v>
      </c>
      <c r="C53" s="237" t="s">
        <v>796</v>
      </c>
      <c r="D53" s="535" t="s">
        <v>797</v>
      </c>
      <c r="E53" s="238">
        <v>3</v>
      </c>
      <c r="F53" s="242" t="s">
        <v>719</v>
      </c>
      <c r="G53" s="241" t="s">
        <v>684</v>
      </c>
      <c r="H53" s="263">
        <v>1</v>
      </c>
      <c r="I53" s="264">
        <v>44</v>
      </c>
      <c r="J53" s="311">
        <v>1136.42</v>
      </c>
      <c r="K53" s="312">
        <v>0</v>
      </c>
      <c r="L53" s="312">
        <v>0</v>
      </c>
      <c r="M53" s="522">
        <v>220</v>
      </c>
      <c r="N53" s="312">
        <v>0</v>
      </c>
      <c r="O53" s="522">
        <v>196.49</v>
      </c>
      <c r="P53" s="313">
        <f t="shared" si="1"/>
        <v>1159.93</v>
      </c>
    </row>
    <row r="54" spans="1:16" s="128" customFormat="1">
      <c r="A54" s="249" t="s">
        <v>462</v>
      </c>
      <c r="B54" s="250" t="s">
        <v>480</v>
      </c>
      <c r="C54" s="528" t="s">
        <v>798</v>
      </c>
      <c r="D54" s="535" t="s">
        <v>799</v>
      </c>
      <c r="E54" s="238">
        <v>2</v>
      </c>
      <c r="F54" s="244" t="s">
        <v>740</v>
      </c>
      <c r="G54" s="241" t="s">
        <v>684</v>
      </c>
      <c r="H54" s="263">
        <v>1</v>
      </c>
      <c r="I54" s="264">
        <v>44</v>
      </c>
      <c r="J54" s="311">
        <v>3209.67</v>
      </c>
      <c r="K54" s="312">
        <v>0</v>
      </c>
      <c r="L54" s="312">
        <v>0</v>
      </c>
      <c r="M54" s="522">
        <f>4217.22-3209.67</f>
        <v>1007.5500000000002</v>
      </c>
      <c r="N54" s="312">
        <v>0</v>
      </c>
      <c r="O54" s="522">
        <v>671.1</v>
      </c>
      <c r="P54" s="313">
        <f t="shared" si="1"/>
        <v>3546.1200000000003</v>
      </c>
    </row>
    <row r="55" spans="1:16" s="128" customFormat="1">
      <c r="A55" s="249" t="s">
        <v>462</v>
      </c>
      <c r="B55" s="250" t="s">
        <v>480</v>
      </c>
      <c r="C55" s="528" t="s">
        <v>800</v>
      </c>
      <c r="D55" s="535" t="s">
        <v>801</v>
      </c>
      <c r="E55" s="238">
        <v>3</v>
      </c>
      <c r="F55" s="244" t="s">
        <v>802</v>
      </c>
      <c r="G55" s="241" t="s">
        <v>684</v>
      </c>
      <c r="H55" s="263">
        <v>2</v>
      </c>
      <c r="I55" s="264">
        <v>44</v>
      </c>
      <c r="J55" s="311">
        <v>1443.5</v>
      </c>
      <c r="K55" s="312">
        <v>0</v>
      </c>
      <c r="L55" s="312">
        <v>0</v>
      </c>
      <c r="M55" s="522">
        <f>1868.01-1443.5</f>
        <v>424.51</v>
      </c>
      <c r="N55" s="312">
        <v>0</v>
      </c>
      <c r="O55" s="522">
        <v>177.75</v>
      </c>
      <c r="P55" s="313">
        <f t="shared" si="1"/>
        <v>1690.26</v>
      </c>
    </row>
    <row r="56" spans="1:16" s="128" customFormat="1">
      <c r="A56" s="249" t="s">
        <v>462</v>
      </c>
      <c r="B56" s="250" t="s">
        <v>480</v>
      </c>
      <c r="C56" s="528" t="s">
        <v>803</v>
      </c>
      <c r="D56" s="535" t="s">
        <v>804</v>
      </c>
      <c r="E56" s="238">
        <v>3</v>
      </c>
      <c r="F56" s="244" t="s">
        <v>744</v>
      </c>
      <c r="G56" s="241" t="s">
        <v>684</v>
      </c>
      <c r="H56" s="263">
        <v>1</v>
      </c>
      <c r="I56" s="264">
        <v>44</v>
      </c>
      <c r="J56" s="311">
        <v>1954.7</v>
      </c>
      <c r="K56" s="312">
        <v>0</v>
      </c>
      <c r="L56" s="312">
        <v>0</v>
      </c>
      <c r="M56" s="522">
        <v>220</v>
      </c>
      <c r="N56" s="312">
        <v>0</v>
      </c>
      <c r="O56" s="522">
        <v>218.31</v>
      </c>
      <c r="P56" s="313">
        <f t="shared" si="1"/>
        <v>1956.3899999999999</v>
      </c>
    </row>
    <row r="57" spans="1:16" s="128" customFormat="1">
      <c r="A57" s="249" t="s">
        <v>462</v>
      </c>
      <c r="B57" s="250" t="s">
        <v>480</v>
      </c>
      <c r="C57" s="528" t="s">
        <v>805</v>
      </c>
      <c r="D57" s="535" t="s">
        <v>944</v>
      </c>
      <c r="E57" s="238">
        <v>2</v>
      </c>
      <c r="F57" s="242" t="s">
        <v>683</v>
      </c>
      <c r="G57" s="241" t="s">
        <v>684</v>
      </c>
      <c r="H57" s="263">
        <v>1</v>
      </c>
      <c r="I57" s="264">
        <v>44</v>
      </c>
      <c r="J57" s="311">
        <v>1252.53</v>
      </c>
      <c r="K57" s="312">
        <v>0</v>
      </c>
      <c r="L57" s="312">
        <v>0</v>
      </c>
      <c r="M57" s="522">
        <v>220</v>
      </c>
      <c r="N57" s="312">
        <v>0</v>
      </c>
      <c r="O57" s="522">
        <v>216.22</v>
      </c>
      <c r="P57" s="313">
        <f t="shared" ref="P57" si="2">SUM(J57:N57)-O57</f>
        <v>1256.31</v>
      </c>
    </row>
    <row r="58" spans="1:16" s="127" customFormat="1">
      <c r="A58" s="249" t="s">
        <v>462</v>
      </c>
      <c r="B58" s="250" t="s">
        <v>480</v>
      </c>
      <c r="C58" s="528">
        <v>11293575461</v>
      </c>
      <c r="D58" s="535" t="s">
        <v>807</v>
      </c>
      <c r="E58" s="238">
        <v>3</v>
      </c>
      <c r="F58" s="242" t="s">
        <v>723</v>
      </c>
      <c r="G58" s="241" t="s">
        <v>684</v>
      </c>
      <c r="H58" s="263">
        <v>1</v>
      </c>
      <c r="I58" s="264">
        <v>44</v>
      </c>
      <c r="J58" s="311">
        <v>1136.42</v>
      </c>
      <c r="K58" s="312">
        <v>0</v>
      </c>
      <c r="L58" s="312">
        <v>0</v>
      </c>
      <c r="M58" s="522">
        <f>1491.11-1136.42</f>
        <v>354.68999999999983</v>
      </c>
      <c r="N58" s="312">
        <v>0</v>
      </c>
      <c r="O58" s="522">
        <v>129.86000000000001</v>
      </c>
      <c r="P58" s="313">
        <f t="shared" si="1"/>
        <v>1361.25</v>
      </c>
    </row>
    <row r="59" spans="1:16" s="128" customFormat="1">
      <c r="A59" s="249" t="s">
        <v>462</v>
      </c>
      <c r="B59" s="250" t="s">
        <v>480</v>
      </c>
      <c r="C59" s="528">
        <v>28651282885</v>
      </c>
      <c r="D59" s="535" t="s">
        <v>808</v>
      </c>
      <c r="E59" s="238">
        <v>3</v>
      </c>
      <c r="F59" s="244" t="s">
        <v>723</v>
      </c>
      <c r="G59" s="241" t="s">
        <v>684</v>
      </c>
      <c r="H59" s="263">
        <v>1</v>
      </c>
      <c r="I59" s="264">
        <v>44</v>
      </c>
      <c r="J59" s="311">
        <v>1136.42</v>
      </c>
      <c r="K59" s="312">
        <v>0</v>
      </c>
      <c r="L59" s="312">
        <v>0</v>
      </c>
      <c r="M59" s="522">
        <f>1615.98-1136.42</f>
        <v>479.55999999999995</v>
      </c>
      <c r="N59" s="312">
        <v>0</v>
      </c>
      <c r="O59" s="522">
        <v>295.27999999999997</v>
      </c>
      <c r="P59" s="313">
        <f t="shared" si="1"/>
        <v>1320.7</v>
      </c>
    </row>
    <row r="60" spans="1:16" s="125" customFormat="1">
      <c r="A60" s="249" t="s">
        <v>462</v>
      </c>
      <c r="B60" s="250" t="s">
        <v>480</v>
      </c>
      <c r="C60" s="528">
        <v>92120482420</v>
      </c>
      <c r="D60" s="535" t="s">
        <v>809</v>
      </c>
      <c r="E60" s="238">
        <v>2</v>
      </c>
      <c r="F60" s="242" t="s">
        <v>683</v>
      </c>
      <c r="G60" s="241" t="s">
        <v>684</v>
      </c>
      <c r="H60" s="263">
        <v>1</v>
      </c>
      <c r="I60" s="264">
        <v>44</v>
      </c>
      <c r="J60" s="311">
        <v>0</v>
      </c>
      <c r="K60" s="312">
        <v>0</v>
      </c>
      <c r="L60" s="312">
        <v>0</v>
      </c>
      <c r="M60" s="522">
        <v>0</v>
      </c>
      <c r="N60" s="312">
        <v>0</v>
      </c>
      <c r="O60" s="522">
        <v>0</v>
      </c>
      <c r="P60" s="313">
        <f t="shared" si="1"/>
        <v>0</v>
      </c>
    </row>
    <row r="61" spans="1:16" s="125" customFormat="1">
      <c r="A61" s="249" t="s">
        <v>462</v>
      </c>
      <c r="B61" s="250" t="s">
        <v>480</v>
      </c>
      <c r="C61" s="528" t="s">
        <v>810</v>
      </c>
      <c r="D61" s="535" t="s">
        <v>811</v>
      </c>
      <c r="E61" s="238">
        <v>2</v>
      </c>
      <c r="F61" s="242" t="s">
        <v>683</v>
      </c>
      <c r="G61" s="241" t="s">
        <v>684</v>
      </c>
      <c r="H61" s="263">
        <v>1</v>
      </c>
      <c r="I61" s="264">
        <v>44</v>
      </c>
      <c r="J61" s="311">
        <v>1252.53</v>
      </c>
      <c r="K61" s="312">
        <v>0</v>
      </c>
      <c r="L61" s="312">
        <v>0</v>
      </c>
      <c r="M61" s="522">
        <v>220</v>
      </c>
      <c r="N61" s="312">
        <v>0</v>
      </c>
      <c r="O61" s="522">
        <v>283.23</v>
      </c>
      <c r="P61" s="313">
        <f t="shared" si="1"/>
        <v>1189.3</v>
      </c>
    </row>
    <row r="62" spans="1:16" s="125" customFormat="1">
      <c r="A62" s="249" t="s">
        <v>462</v>
      </c>
      <c r="B62" s="250" t="s">
        <v>480</v>
      </c>
      <c r="C62" s="528" t="s">
        <v>812</v>
      </c>
      <c r="D62" s="535" t="s">
        <v>813</v>
      </c>
      <c r="E62" s="238">
        <v>2</v>
      </c>
      <c r="F62" s="244" t="s">
        <v>714</v>
      </c>
      <c r="G62" s="241" t="s">
        <v>684</v>
      </c>
      <c r="H62" s="263">
        <v>1</v>
      </c>
      <c r="I62" s="264">
        <v>44</v>
      </c>
      <c r="J62" s="311">
        <v>1248.83</v>
      </c>
      <c r="K62" s="312">
        <v>0</v>
      </c>
      <c r="L62" s="312">
        <v>0</v>
      </c>
      <c r="M62" s="522">
        <f>1805.05-1248.83</f>
        <v>556.22</v>
      </c>
      <c r="N62" s="312">
        <v>0</v>
      </c>
      <c r="O62" s="522">
        <v>170.93</v>
      </c>
      <c r="P62" s="313">
        <f t="shared" si="1"/>
        <v>1634.12</v>
      </c>
    </row>
    <row r="63" spans="1:16" s="125" customFormat="1">
      <c r="A63" s="249" t="s">
        <v>462</v>
      </c>
      <c r="B63" s="250" t="s">
        <v>480</v>
      </c>
      <c r="C63" s="528" t="s">
        <v>814</v>
      </c>
      <c r="D63" s="535" t="s">
        <v>815</v>
      </c>
      <c r="E63" s="238">
        <v>2</v>
      </c>
      <c r="F63" s="242" t="s">
        <v>709</v>
      </c>
      <c r="G63" s="241" t="s">
        <v>684</v>
      </c>
      <c r="H63" s="263">
        <v>1</v>
      </c>
      <c r="I63" s="264">
        <v>44</v>
      </c>
      <c r="J63" s="311">
        <v>2055.94</v>
      </c>
      <c r="K63" s="312">
        <v>0</v>
      </c>
      <c r="L63" s="312">
        <v>0</v>
      </c>
      <c r="M63" s="522">
        <f>2850.83-2055.94</f>
        <v>794.88999999999987</v>
      </c>
      <c r="N63" s="312">
        <v>0</v>
      </c>
      <c r="O63" s="522">
        <v>313.47000000000003</v>
      </c>
      <c r="P63" s="313">
        <f t="shared" ref="P63:P92" si="3">SUM(J63:N63)-O63</f>
        <v>2537.3599999999997</v>
      </c>
    </row>
    <row r="64" spans="1:16" s="128" customFormat="1">
      <c r="A64" s="249" t="s">
        <v>462</v>
      </c>
      <c r="B64" s="250" t="s">
        <v>480</v>
      </c>
      <c r="C64" s="528" t="s">
        <v>816</v>
      </c>
      <c r="D64" s="535" t="s">
        <v>817</v>
      </c>
      <c r="E64" s="238">
        <v>3</v>
      </c>
      <c r="F64" s="242" t="s">
        <v>719</v>
      </c>
      <c r="G64" s="241" t="s">
        <v>684</v>
      </c>
      <c r="H64" s="263">
        <v>1</v>
      </c>
      <c r="I64" s="264">
        <v>44</v>
      </c>
      <c r="J64" s="311">
        <v>1136.42</v>
      </c>
      <c r="K64" s="312">
        <v>0</v>
      </c>
      <c r="L64" s="312">
        <v>0</v>
      </c>
      <c r="M64" s="522">
        <f>1424.99-1136.42</f>
        <v>288.56999999999994</v>
      </c>
      <c r="N64" s="312">
        <v>0</v>
      </c>
      <c r="O64" s="522">
        <v>198.05</v>
      </c>
      <c r="P64" s="313">
        <f t="shared" si="3"/>
        <v>1226.94</v>
      </c>
    </row>
    <row r="65" spans="1:16" s="128" customFormat="1">
      <c r="A65" s="249" t="s">
        <v>462</v>
      </c>
      <c r="B65" s="250" t="s">
        <v>480</v>
      </c>
      <c r="C65" s="528">
        <v>10505042401</v>
      </c>
      <c r="D65" s="535" t="s">
        <v>818</v>
      </c>
      <c r="E65" s="238">
        <v>2</v>
      </c>
      <c r="F65" s="242" t="s">
        <v>683</v>
      </c>
      <c r="G65" s="241" t="s">
        <v>684</v>
      </c>
      <c r="H65" s="263">
        <v>1</v>
      </c>
      <c r="I65" s="264">
        <v>44</v>
      </c>
      <c r="J65" s="311">
        <v>1085.53</v>
      </c>
      <c r="K65" s="312">
        <v>0</v>
      </c>
      <c r="L65" s="312">
        <v>0</v>
      </c>
      <c r="M65" s="522">
        <f>1706.19-1085.53</f>
        <v>620.66000000000008</v>
      </c>
      <c r="N65" s="312">
        <v>0</v>
      </c>
      <c r="O65" s="522">
        <v>237.25</v>
      </c>
      <c r="P65" s="313">
        <f t="shared" si="3"/>
        <v>1468.94</v>
      </c>
    </row>
    <row r="66" spans="1:16" s="128" customFormat="1">
      <c r="A66" s="249" t="s">
        <v>462</v>
      </c>
      <c r="B66" s="250" t="s">
        <v>480</v>
      </c>
      <c r="C66" s="528" t="s">
        <v>819</v>
      </c>
      <c r="D66" s="536" t="s">
        <v>820</v>
      </c>
      <c r="E66" s="238">
        <v>2</v>
      </c>
      <c r="F66" s="242" t="s">
        <v>683</v>
      </c>
      <c r="G66" s="241" t="s">
        <v>684</v>
      </c>
      <c r="H66" s="263">
        <v>1</v>
      </c>
      <c r="I66" s="264">
        <v>44</v>
      </c>
      <c r="J66" s="311">
        <v>1252.53</v>
      </c>
      <c r="K66" s="312">
        <v>0</v>
      </c>
      <c r="L66" s="312">
        <v>0</v>
      </c>
      <c r="M66" s="522">
        <f>1791.88-1252.53</f>
        <v>539.35000000000014</v>
      </c>
      <c r="N66" s="312">
        <v>0</v>
      </c>
      <c r="O66" s="522">
        <v>244.96</v>
      </c>
      <c r="P66" s="313">
        <f t="shared" si="3"/>
        <v>1546.92</v>
      </c>
    </row>
    <row r="67" spans="1:16" s="128" customFormat="1">
      <c r="A67" s="249" t="s">
        <v>462</v>
      </c>
      <c r="B67" s="250" t="s">
        <v>480</v>
      </c>
      <c r="C67" s="528">
        <v>77307950430</v>
      </c>
      <c r="D67" s="535" t="s">
        <v>821</v>
      </c>
      <c r="E67" s="238">
        <v>3</v>
      </c>
      <c r="F67" s="242" t="s">
        <v>719</v>
      </c>
      <c r="G67" s="241" t="s">
        <v>684</v>
      </c>
      <c r="H67" s="263">
        <v>1</v>
      </c>
      <c r="I67" s="264">
        <v>44</v>
      </c>
      <c r="J67" s="311">
        <v>1136.42</v>
      </c>
      <c r="K67" s="312">
        <v>0</v>
      </c>
      <c r="L67" s="312">
        <v>0</v>
      </c>
      <c r="M67" s="522">
        <v>220</v>
      </c>
      <c r="N67" s="312">
        <v>0</v>
      </c>
      <c r="O67" s="522">
        <v>128.30000000000001</v>
      </c>
      <c r="P67" s="313">
        <f t="shared" si="3"/>
        <v>1228.1200000000001</v>
      </c>
    </row>
    <row r="68" spans="1:16" s="128" customFormat="1">
      <c r="A68" s="249" t="s">
        <v>462</v>
      </c>
      <c r="B68" s="250" t="s">
        <v>480</v>
      </c>
      <c r="C68" s="528" t="s">
        <v>822</v>
      </c>
      <c r="D68" s="535" t="s">
        <v>823</v>
      </c>
      <c r="E68" s="238">
        <v>2</v>
      </c>
      <c r="F68" s="244" t="s">
        <v>740</v>
      </c>
      <c r="G68" s="241" t="s">
        <v>684</v>
      </c>
      <c r="H68" s="263">
        <v>1</v>
      </c>
      <c r="I68" s="264">
        <v>44</v>
      </c>
      <c r="J68" s="311">
        <v>3209.67</v>
      </c>
      <c r="K68" s="312">
        <v>0</v>
      </c>
      <c r="L68" s="312">
        <v>0</v>
      </c>
      <c r="M68" s="522">
        <v>220</v>
      </c>
      <c r="N68" s="312">
        <v>0</v>
      </c>
      <c r="O68" s="522">
        <v>457.42</v>
      </c>
      <c r="P68" s="313">
        <f t="shared" si="3"/>
        <v>2972.25</v>
      </c>
    </row>
    <row r="69" spans="1:16" s="128" customFormat="1">
      <c r="A69" s="249" t="s">
        <v>462</v>
      </c>
      <c r="B69" s="250" t="s">
        <v>480</v>
      </c>
      <c r="C69" s="528" t="s">
        <v>824</v>
      </c>
      <c r="D69" s="535" t="s">
        <v>825</v>
      </c>
      <c r="E69" s="238">
        <v>3</v>
      </c>
      <c r="F69" s="243" t="s">
        <v>772</v>
      </c>
      <c r="G69" s="241" t="s">
        <v>684</v>
      </c>
      <c r="H69" s="263">
        <v>1</v>
      </c>
      <c r="I69" s="264">
        <v>44</v>
      </c>
      <c r="J69" s="311">
        <v>2780.08</v>
      </c>
      <c r="K69" s="312">
        <v>0</v>
      </c>
      <c r="L69" s="312">
        <v>0</v>
      </c>
      <c r="M69" s="522">
        <f>3464.57-2780.08</f>
        <v>684.49000000000024</v>
      </c>
      <c r="N69" s="312">
        <v>0</v>
      </c>
      <c r="O69" s="522">
        <v>436.12</v>
      </c>
      <c r="P69" s="313">
        <f t="shared" si="3"/>
        <v>3028.4500000000003</v>
      </c>
    </row>
    <row r="70" spans="1:16" s="128" customFormat="1">
      <c r="A70" s="249" t="s">
        <v>462</v>
      </c>
      <c r="B70" s="250" t="s">
        <v>480</v>
      </c>
      <c r="C70" s="528">
        <v>10068012438</v>
      </c>
      <c r="D70" s="536" t="s">
        <v>826</v>
      </c>
      <c r="E70" s="238">
        <v>3</v>
      </c>
      <c r="F70" s="244" t="s">
        <v>689</v>
      </c>
      <c r="G70" s="241" t="s">
        <v>684</v>
      </c>
      <c r="H70" s="263">
        <v>1</v>
      </c>
      <c r="I70" s="264">
        <v>44</v>
      </c>
      <c r="J70" s="311">
        <v>719.73</v>
      </c>
      <c r="K70" s="312">
        <f>497.35+165.78+859.07+286.36+95.68+165.27</f>
        <v>2069.5100000000002</v>
      </c>
      <c r="L70" s="312">
        <v>0</v>
      </c>
      <c r="M70" s="522">
        <f>139.33+66.12+33.49+226.07</f>
        <v>465.01</v>
      </c>
      <c r="N70" s="312">
        <v>0</v>
      </c>
      <c r="O70" s="522">
        <v>2334</v>
      </c>
      <c r="P70" s="313">
        <f t="shared" si="3"/>
        <v>920.25</v>
      </c>
    </row>
    <row r="71" spans="1:16" s="128" customFormat="1">
      <c r="A71" s="249" t="s">
        <v>462</v>
      </c>
      <c r="B71" s="250" t="s">
        <v>480</v>
      </c>
      <c r="C71" s="528" t="s">
        <v>827</v>
      </c>
      <c r="D71" s="535" t="s">
        <v>828</v>
      </c>
      <c r="E71" s="238">
        <v>2</v>
      </c>
      <c r="F71" s="527" t="s">
        <v>712</v>
      </c>
      <c r="G71" s="241" t="s">
        <v>684</v>
      </c>
      <c r="H71" s="263">
        <v>1</v>
      </c>
      <c r="I71" s="264">
        <v>44</v>
      </c>
      <c r="J71" s="311">
        <v>1500</v>
      </c>
      <c r="K71" s="312">
        <v>0</v>
      </c>
      <c r="L71" s="312">
        <v>0</v>
      </c>
      <c r="M71" s="522">
        <v>220</v>
      </c>
      <c r="N71" s="312">
        <v>0</v>
      </c>
      <c r="O71" s="522">
        <v>138.30000000000001</v>
      </c>
      <c r="P71" s="313">
        <f t="shared" si="3"/>
        <v>1581.7</v>
      </c>
    </row>
    <row r="72" spans="1:16" s="128" customFormat="1">
      <c r="A72" s="249" t="s">
        <v>462</v>
      </c>
      <c r="B72" s="250" t="s">
        <v>480</v>
      </c>
      <c r="C72" s="528" t="s">
        <v>829</v>
      </c>
      <c r="D72" s="535" t="s">
        <v>830</v>
      </c>
      <c r="E72" s="238">
        <v>3</v>
      </c>
      <c r="F72" s="244" t="s">
        <v>689</v>
      </c>
      <c r="G72" s="241" t="s">
        <v>684</v>
      </c>
      <c r="H72" s="263">
        <v>1</v>
      </c>
      <c r="I72" s="264">
        <v>44</v>
      </c>
      <c r="J72" s="311">
        <v>1136.42</v>
      </c>
      <c r="K72" s="312">
        <v>0</v>
      </c>
      <c r="L72" s="312">
        <v>0</v>
      </c>
      <c r="M72" s="522">
        <f>1715.75-1136.42</f>
        <v>579.32999999999993</v>
      </c>
      <c r="N72" s="312">
        <v>0</v>
      </c>
      <c r="O72" s="522">
        <v>222.88</v>
      </c>
      <c r="P72" s="313">
        <f t="shared" si="3"/>
        <v>1492.87</v>
      </c>
    </row>
    <row r="73" spans="1:16" s="128" customFormat="1">
      <c r="A73" s="249" t="s">
        <v>462</v>
      </c>
      <c r="B73" s="250" t="s">
        <v>480</v>
      </c>
      <c r="C73" s="528" t="s">
        <v>831</v>
      </c>
      <c r="D73" s="535" t="s">
        <v>832</v>
      </c>
      <c r="E73" s="238">
        <v>2</v>
      </c>
      <c r="F73" s="242" t="s">
        <v>697</v>
      </c>
      <c r="G73" s="241" t="s">
        <v>684</v>
      </c>
      <c r="H73" s="263">
        <v>1</v>
      </c>
      <c r="I73" s="264">
        <v>44</v>
      </c>
      <c r="J73" s="311">
        <v>2090.16</v>
      </c>
      <c r="K73" s="312">
        <v>0</v>
      </c>
      <c r="L73" s="312">
        <v>0</v>
      </c>
      <c r="M73" s="522">
        <f>3348.8-2090.16</f>
        <v>1258.6400000000003</v>
      </c>
      <c r="N73" s="312">
        <v>0</v>
      </c>
      <c r="O73" s="522">
        <v>376.02</v>
      </c>
      <c r="P73" s="313">
        <f t="shared" si="3"/>
        <v>2972.78</v>
      </c>
    </row>
    <row r="74" spans="1:16" s="128" customFormat="1">
      <c r="A74" s="249" t="s">
        <v>462</v>
      </c>
      <c r="B74" s="250" t="s">
        <v>480</v>
      </c>
      <c r="C74" s="528" t="s">
        <v>833</v>
      </c>
      <c r="D74" s="535" t="s">
        <v>834</v>
      </c>
      <c r="E74" s="238">
        <v>3</v>
      </c>
      <c r="F74" s="244" t="s">
        <v>728</v>
      </c>
      <c r="G74" s="241" t="s">
        <v>684</v>
      </c>
      <c r="H74" s="263">
        <v>1</v>
      </c>
      <c r="I74" s="264">
        <v>44</v>
      </c>
      <c r="J74" s="311">
        <v>1296.08</v>
      </c>
      <c r="K74" s="312">
        <v>0</v>
      </c>
      <c r="L74" s="312">
        <v>0</v>
      </c>
      <c r="M74" s="522">
        <f>1913.68-1296.08</f>
        <v>617.60000000000014</v>
      </c>
      <c r="N74" s="312">
        <v>0</v>
      </c>
      <c r="O74" s="522">
        <v>253.46</v>
      </c>
      <c r="P74" s="313">
        <f t="shared" si="3"/>
        <v>1660.22</v>
      </c>
    </row>
    <row r="75" spans="1:16" s="128" customFormat="1">
      <c r="A75" s="249" t="s">
        <v>462</v>
      </c>
      <c r="B75" s="250" t="s">
        <v>480</v>
      </c>
      <c r="C75" s="528">
        <v>89967100400</v>
      </c>
      <c r="D75" s="535" t="s">
        <v>835</v>
      </c>
      <c r="E75" s="238">
        <v>3</v>
      </c>
      <c r="F75" s="242" t="s">
        <v>723</v>
      </c>
      <c r="G75" s="241" t="s">
        <v>684</v>
      </c>
      <c r="H75" s="263">
        <v>1</v>
      </c>
      <c r="I75" s="264">
        <v>44</v>
      </c>
      <c r="J75" s="311">
        <v>1136.42</v>
      </c>
      <c r="K75" s="312">
        <v>0</v>
      </c>
      <c r="L75" s="312">
        <v>0</v>
      </c>
      <c r="M75" s="522">
        <f>1508.42-1136.42</f>
        <v>372</v>
      </c>
      <c r="N75" s="312">
        <v>0</v>
      </c>
      <c r="O75" s="522">
        <v>199.61</v>
      </c>
      <c r="P75" s="313">
        <f t="shared" si="3"/>
        <v>1308.81</v>
      </c>
    </row>
    <row r="76" spans="1:16" s="128" customFormat="1">
      <c r="A76" s="249" t="s">
        <v>462</v>
      </c>
      <c r="B76" s="250" t="s">
        <v>480</v>
      </c>
      <c r="C76" s="528" t="s">
        <v>836</v>
      </c>
      <c r="D76" s="535" t="s">
        <v>837</v>
      </c>
      <c r="E76" s="238">
        <v>2</v>
      </c>
      <c r="F76" s="242" t="s">
        <v>709</v>
      </c>
      <c r="G76" s="241" t="s">
        <v>684</v>
      </c>
      <c r="H76" s="263">
        <v>1</v>
      </c>
      <c r="I76" s="264">
        <v>44</v>
      </c>
      <c r="J76" s="311">
        <v>1908.06</v>
      </c>
      <c r="K76" s="312">
        <v>0</v>
      </c>
      <c r="L76" s="312">
        <v>0</v>
      </c>
      <c r="M76" s="522">
        <f>2306.96-1908.06</f>
        <v>398.90000000000009</v>
      </c>
      <c r="N76" s="312">
        <v>0</v>
      </c>
      <c r="O76" s="522">
        <v>212.31</v>
      </c>
      <c r="P76" s="313">
        <f t="shared" si="3"/>
        <v>2094.65</v>
      </c>
    </row>
    <row r="77" spans="1:16" s="128" customFormat="1">
      <c r="A77" s="249" t="s">
        <v>462</v>
      </c>
      <c r="B77" s="250" t="s">
        <v>480</v>
      </c>
      <c r="C77" s="528" t="s">
        <v>838</v>
      </c>
      <c r="D77" s="535" t="s">
        <v>839</v>
      </c>
      <c r="E77" s="238">
        <v>3</v>
      </c>
      <c r="F77" s="244" t="s">
        <v>802</v>
      </c>
      <c r="G77" s="241" t="s">
        <v>684</v>
      </c>
      <c r="H77" s="263">
        <v>1</v>
      </c>
      <c r="I77" s="264">
        <v>44</v>
      </c>
      <c r="J77" s="311">
        <v>1603.89</v>
      </c>
      <c r="K77" s="312">
        <v>0</v>
      </c>
      <c r="L77" s="312">
        <v>0</v>
      </c>
      <c r="M77" s="522">
        <v>220</v>
      </c>
      <c r="N77" s="312">
        <v>0</v>
      </c>
      <c r="O77" s="522">
        <v>275.95999999999998</v>
      </c>
      <c r="P77" s="313">
        <f t="shared" si="3"/>
        <v>1547.93</v>
      </c>
    </row>
    <row r="78" spans="1:16" s="128" customFormat="1">
      <c r="A78" s="249" t="s">
        <v>462</v>
      </c>
      <c r="B78" s="250" t="s">
        <v>480</v>
      </c>
      <c r="C78" s="528" t="s">
        <v>840</v>
      </c>
      <c r="D78" s="535" t="s">
        <v>841</v>
      </c>
      <c r="E78" s="238">
        <v>2</v>
      </c>
      <c r="F78" s="242" t="s">
        <v>683</v>
      </c>
      <c r="G78" s="241" t="s">
        <v>684</v>
      </c>
      <c r="H78" s="263">
        <v>1</v>
      </c>
      <c r="I78" s="264">
        <v>44</v>
      </c>
      <c r="J78" s="311">
        <v>1252.53</v>
      </c>
      <c r="K78" s="312">
        <v>0</v>
      </c>
      <c r="L78" s="312">
        <v>0</v>
      </c>
      <c r="M78" s="522">
        <f>1799.79-1252.53</f>
        <v>547.26</v>
      </c>
      <c r="N78" s="312">
        <v>0</v>
      </c>
      <c r="O78" s="522">
        <v>245.68</v>
      </c>
      <c r="P78" s="313">
        <f t="shared" si="3"/>
        <v>1554.11</v>
      </c>
    </row>
    <row r="79" spans="1:16" s="127" customFormat="1">
      <c r="A79" s="249" t="s">
        <v>462</v>
      </c>
      <c r="B79" s="250" t="s">
        <v>480</v>
      </c>
      <c r="C79" s="528" t="s">
        <v>842</v>
      </c>
      <c r="D79" s="535" t="s">
        <v>843</v>
      </c>
      <c r="E79" s="238">
        <v>3</v>
      </c>
      <c r="F79" s="242" t="s">
        <v>844</v>
      </c>
      <c r="G79" s="241" t="s">
        <v>684</v>
      </c>
      <c r="H79" s="263">
        <v>2</v>
      </c>
      <c r="I79" s="264">
        <v>44</v>
      </c>
      <c r="J79" s="311">
        <v>1443.5</v>
      </c>
      <c r="K79" s="312">
        <v>0</v>
      </c>
      <c r="L79" s="312">
        <v>0</v>
      </c>
      <c r="M79" s="522">
        <f>1801.89-1443.5</f>
        <v>358.3900000000001</v>
      </c>
      <c r="N79" s="312">
        <v>0</v>
      </c>
      <c r="O79" s="522">
        <v>177.75</v>
      </c>
      <c r="P79" s="313">
        <f t="shared" si="3"/>
        <v>1624.14</v>
      </c>
    </row>
    <row r="80" spans="1:16" s="127" customFormat="1">
      <c r="A80" s="249" t="s">
        <v>462</v>
      </c>
      <c r="B80" s="250" t="s">
        <v>480</v>
      </c>
      <c r="C80" s="528">
        <v>10560715404</v>
      </c>
      <c r="D80" s="535" t="s">
        <v>845</v>
      </c>
      <c r="E80" s="238">
        <v>2</v>
      </c>
      <c r="F80" s="527" t="s">
        <v>712</v>
      </c>
      <c r="G80" s="241" t="s">
        <v>684</v>
      </c>
      <c r="H80" s="263">
        <v>1</v>
      </c>
      <c r="I80" s="264">
        <v>44</v>
      </c>
      <c r="J80" s="311">
        <v>1500</v>
      </c>
      <c r="K80" s="312">
        <v>0</v>
      </c>
      <c r="L80" s="312">
        <v>0</v>
      </c>
      <c r="M80" s="522">
        <v>220</v>
      </c>
      <c r="N80" s="312">
        <v>0</v>
      </c>
      <c r="O80" s="522">
        <v>138.30000000000001</v>
      </c>
      <c r="P80" s="313">
        <f t="shared" si="3"/>
        <v>1581.7</v>
      </c>
    </row>
    <row r="81" spans="1:16" s="127" customFormat="1">
      <c r="A81" s="249" t="s">
        <v>462</v>
      </c>
      <c r="B81" s="250" t="s">
        <v>480</v>
      </c>
      <c r="C81" s="528">
        <v>70306823438</v>
      </c>
      <c r="D81" s="535" t="s">
        <v>846</v>
      </c>
      <c r="E81" s="238">
        <v>2</v>
      </c>
      <c r="F81" s="527" t="s">
        <v>712</v>
      </c>
      <c r="G81" s="241" t="s">
        <v>684</v>
      </c>
      <c r="H81" s="263">
        <v>1</v>
      </c>
      <c r="I81" s="264">
        <v>44</v>
      </c>
      <c r="J81" s="311">
        <v>1500</v>
      </c>
      <c r="K81" s="312">
        <v>0</v>
      </c>
      <c r="L81" s="312">
        <v>0</v>
      </c>
      <c r="M81" s="522">
        <v>220</v>
      </c>
      <c r="N81" s="312">
        <v>0</v>
      </c>
      <c r="O81" s="522">
        <v>138.30000000000001</v>
      </c>
      <c r="P81" s="313">
        <f t="shared" si="3"/>
        <v>1581.7</v>
      </c>
    </row>
    <row r="82" spans="1:16" s="127" customFormat="1">
      <c r="A82" s="249" t="s">
        <v>462</v>
      </c>
      <c r="B82" s="250" t="s">
        <v>480</v>
      </c>
      <c r="C82" s="528" t="s">
        <v>847</v>
      </c>
      <c r="D82" s="536" t="s">
        <v>848</v>
      </c>
      <c r="E82" s="238">
        <v>2</v>
      </c>
      <c r="F82" s="242" t="s">
        <v>697</v>
      </c>
      <c r="G82" s="241" t="s">
        <v>684</v>
      </c>
      <c r="H82" s="263">
        <v>1</v>
      </c>
      <c r="I82" s="264">
        <v>44</v>
      </c>
      <c r="J82" s="311">
        <v>2090.16</v>
      </c>
      <c r="K82" s="312">
        <v>0</v>
      </c>
      <c r="L82" s="312">
        <v>0</v>
      </c>
      <c r="M82" s="522">
        <f>3346.19-2090.16</f>
        <v>1256.0300000000002</v>
      </c>
      <c r="N82" s="312">
        <v>0</v>
      </c>
      <c r="O82" s="522">
        <v>795.41</v>
      </c>
      <c r="P82" s="313">
        <f t="shared" si="3"/>
        <v>2550.7800000000002</v>
      </c>
    </row>
    <row r="83" spans="1:16" s="127" customFormat="1">
      <c r="A83" s="249" t="s">
        <v>462</v>
      </c>
      <c r="B83" s="250" t="s">
        <v>480</v>
      </c>
      <c r="C83" s="237" t="s">
        <v>849</v>
      </c>
      <c r="D83" s="536" t="s">
        <v>850</v>
      </c>
      <c r="E83" s="240">
        <v>2</v>
      </c>
      <c r="F83" s="531" t="s">
        <v>683</v>
      </c>
      <c r="G83" s="241" t="s">
        <v>684</v>
      </c>
      <c r="H83" s="263">
        <v>1</v>
      </c>
      <c r="I83" s="264">
        <v>44</v>
      </c>
      <c r="J83" s="311">
        <v>1252.53</v>
      </c>
      <c r="K83" s="312">
        <v>0</v>
      </c>
      <c r="L83" s="312">
        <v>0</v>
      </c>
      <c r="M83" s="522">
        <v>220</v>
      </c>
      <c r="N83" s="312">
        <v>0</v>
      </c>
      <c r="O83" s="522">
        <v>141.07</v>
      </c>
      <c r="P83" s="313">
        <f t="shared" si="3"/>
        <v>1331.46</v>
      </c>
    </row>
    <row r="84" spans="1:16" s="127" customFormat="1">
      <c r="A84" s="249" t="s">
        <v>462</v>
      </c>
      <c r="B84" s="250" t="s">
        <v>480</v>
      </c>
      <c r="C84" s="528">
        <v>98694910497</v>
      </c>
      <c r="D84" s="535" t="s">
        <v>851</v>
      </c>
      <c r="E84" s="238">
        <v>2</v>
      </c>
      <c r="F84" s="242" t="s">
        <v>683</v>
      </c>
      <c r="G84" s="241" t="s">
        <v>684</v>
      </c>
      <c r="H84" s="263">
        <v>1</v>
      </c>
      <c r="I84" s="264">
        <v>44</v>
      </c>
      <c r="J84" s="311">
        <v>1252.53</v>
      </c>
      <c r="K84" s="312">
        <v>0</v>
      </c>
      <c r="L84" s="312">
        <v>0</v>
      </c>
      <c r="M84" s="522">
        <v>220</v>
      </c>
      <c r="N84" s="312">
        <v>0</v>
      </c>
      <c r="O84" s="522">
        <v>216.22</v>
      </c>
      <c r="P84" s="313">
        <f t="shared" si="3"/>
        <v>1256.31</v>
      </c>
    </row>
    <row r="85" spans="1:16" s="127" customFormat="1">
      <c r="A85" s="249" t="s">
        <v>462</v>
      </c>
      <c r="B85" s="250" t="s">
        <v>480</v>
      </c>
      <c r="C85" s="528">
        <v>70315023490</v>
      </c>
      <c r="D85" s="535" t="s">
        <v>852</v>
      </c>
      <c r="E85" s="238">
        <v>3</v>
      </c>
      <c r="F85" s="244" t="s">
        <v>689</v>
      </c>
      <c r="G85" s="241" t="s">
        <v>684</v>
      </c>
      <c r="H85" s="263">
        <v>1</v>
      </c>
      <c r="I85" s="264">
        <v>44</v>
      </c>
      <c r="J85" s="311">
        <v>1136.42</v>
      </c>
      <c r="K85" s="312">
        <v>0</v>
      </c>
      <c r="L85" s="312">
        <v>0</v>
      </c>
      <c r="M85" s="522">
        <f>51.27+220</f>
        <v>271.27</v>
      </c>
      <c r="N85" s="312">
        <v>0</v>
      </c>
      <c r="O85" s="522">
        <v>196.49</v>
      </c>
      <c r="P85" s="313">
        <f t="shared" si="3"/>
        <v>1211.2</v>
      </c>
    </row>
    <row r="86" spans="1:16" s="127" customFormat="1">
      <c r="A86" s="249" t="s">
        <v>462</v>
      </c>
      <c r="B86" s="250" t="s">
        <v>480</v>
      </c>
      <c r="C86" s="528">
        <v>61442607491</v>
      </c>
      <c r="D86" s="535" t="s">
        <v>853</v>
      </c>
      <c r="E86" s="238">
        <v>3</v>
      </c>
      <c r="F86" s="244" t="s">
        <v>854</v>
      </c>
      <c r="G86" s="241" t="s">
        <v>684</v>
      </c>
      <c r="H86" s="263">
        <v>1</v>
      </c>
      <c r="I86" s="264">
        <v>44</v>
      </c>
      <c r="J86" s="311">
        <v>17375.03</v>
      </c>
      <c r="K86" s="312">
        <v>0</v>
      </c>
      <c r="L86" s="312">
        <v>0</v>
      </c>
      <c r="M86" s="522">
        <v>220</v>
      </c>
      <c r="N86" s="312">
        <v>0</v>
      </c>
      <c r="O86" s="522">
        <v>4514.45</v>
      </c>
      <c r="P86" s="313">
        <f t="shared" si="3"/>
        <v>13080.579999999998</v>
      </c>
    </row>
    <row r="87" spans="1:16" s="127" customFormat="1">
      <c r="A87" s="249" t="s">
        <v>462</v>
      </c>
      <c r="B87" s="250" t="s">
        <v>480</v>
      </c>
      <c r="C87" s="528" t="s">
        <v>855</v>
      </c>
      <c r="D87" s="535" t="s">
        <v>856</v>
      </c>
      <c r="E87" s="238">
        <v>2</v>
      </c>
      <c r="F87" s="242" t="s">
        <v>709</v>
      </c>
      <c r="G87" s="241" t="s">
        <v>684</v>
      </c>
      <c r="H87" s="263">
        <v>1</v>
      </c>
      <c r="I87" s="264">
        <v>44</v>
      </c>
      <c r="J87" s="311">
        <v>1908.06</v>
      </c>
      <c r="K87" s="312">
        <v>0</v>
      </c>
      <c r="L87" s="312">
        <v>0</v>
      </c>
      <c r="M87" s="522">
        <f>4183.21-1908.06</f>
        <v>2275.15</v>
      </c>
      <c r="N87" s="312">
        <v>0</v>
      </c>
      <c r="O87" s="522">
        <v>2152.4299999999998</v>
      </c>
      <c r="P87" s="313">
        <f t="shared" si="3"/>
        <v>2030.7800000000002</v>
      </c>
    </row>
    <row r="88" spans="1:16" s="127" customFormat="1">
      <c r="A88" s="249" t="s">
        <v>462</v>
      </c>
      <c r="B88" s="250" t="s">
        <v>480</v>
      </c>
      <c r="C88" s="528" t="s">
        <v>857</v>
      </c>
      <c r="D88" s="535" t="s">
        <v>858</v>
      </c>
      <c r="E88" s="238">
        <v>3</v>
      </c>
      <c r="F88" s="244" t="s">
        <v>728</v>
      </c>
      <c r="G88" s="241" t="s">
        <v>684</v>
      </c>
      <c r="H88" s="263">
        <v>1</v>
      </c>
      <c r="I88" s="264">
        <v>44</v>
      </c>
      <c r="J88" s="311">
        <v>1296.08</v>
      </c>
      <c r="K88" s="312">
        <v>0</v>
      </c>
      <c r="L88" s="312">
        <v>0</v>
      </c>
      <c r="M88" s="522">
        <v>220</v>
      </c>
      <c r="N88" s="312">
        <v>0</v>
      </c>
      <c r="O88" s="522">
        <v>145.86000000000001</v>
      </c>
      <c r="P88" s="313">
        <f t="shared" si="3"/>
        <v>1370.2199999999998</v>
      </c>
    </row>
    <row r="89" spans="1:16" s="127" customFormat="1">
      <c r="A89" s="249" t="s">
        <v>462</v>
      </c>
      <c r="B89" s="250" t="s">
        <v>480</v>
      </c>
      <c r="C89" s="528" t="s">
        <v>859</v>
      </c>
      <c r="D89" s="535" t="s">
        <v>860</v>
      </c>
      <c r="E89" s="238">
        <v>3</v>
      </c>
      <c r="F89" s="244" t="s">
        <v>689</v>
      </c>
      <c r="G89" s="241" t="s">
        <v>684</v>
      </c>
      <c r="H89" s="263">
        <v>1</v>
      </c>
      <c r="I89" s="264">
        <v>44</v>
      </c>
      <c r="J89" s="311">
        <v>1136.42</v>
      </c>
      <c r="K89" s="312">
        <v>0</v>
      </c>
      <c r="L89" s="312">
        <v>0</v>
      </c>
      <c r="M89" s="522">
        <f>1649.82-1136.42</f>
        <v>513.39999999999986</v>
      </c>
      <c r="N89" s="312">
        <v>0</v>
      </c>
      <c r="O89" s="522">
        <v>140.87</v>
      </c>
      <c r="P89" s="313">
        <f t="shared" si="3"/>
        <v>1508.9499999999998</v>
      </c>
    </row>
    <row r="90" spans="1:16" s="127" customFormat="1">
      <c r="A90" s="249" t="s">
        <v>462</v>
      </c>
      <c r="B90" s="250" t="s">
        <v>480</v>
      </c>
      <c r="C90" s="528">
        <v>76656071449</v>
      </c>
      <c r="D90" s="535" t="s">
        <v>861</v>
      </c>
      <c r="E90" s="238">
        <v>3</v>
      </c>
      <c r="F90" s="242" t="s">
        <v>719</v>
      </c>
      <c r="G90" s="241" t="s">
        <v>684</v>
      </c>
      <c r="H90" s="263">
        <v>1</v>
      </c>
      <c r="I90" s="264">
        <v>44</v>
      </c>
      <c r="J90" s="311">
        <v>1136.42</v>
      </c>
      <c r="K90" s="312">
        <v>0</v>
      </c>
      <c r="L90" s="312">
        <v>0</v>
      </c>
      <c r="M90" s="522">
        <f>1373.72-1136.42</f>
        <v>237.29999999999995</v>
      </c>
      <c r="N90" s="312">
        <v>0</v>
      </c>
      <c r="O90" s="522">
        <v>198.05</v>
      </c>
      <c r="P90" s="313">
        <f t="shared" si="3"/>
        <v>1175.67</v>
      </c>
    </row>
    <row r="91" spans="1:16" s="127" customFormat="1">
      <c r="A91" s="249" t="s">
        <v>462</v>
      </c>
      <c r="B91" s="250" t="s">
        <v>480</v>
      </c>
      <c r="C91" s="528" t="s">
        <v>862</v>
      </c>
      <c r="D91" s="535" t="s">
        <v>863</v>
      </c>
      <c r="E91" s="238">
        <v>2</v>
      </c>
      <c r="F91" s="242" t="s">
        <v>683</v>
      </c>
      <c r="G91" s="241" t="s">
        <v>684</v>
      </c>
      <c r="H91" s="263">
        <v>1</v>
      </c>
      <c r="I91" s="264">
        <v>44</v>
      </c>
      <c r="J91" s="311">
        <v>960.27</v>
      </c>
      <c r="K91" s="312">
        <v>0</v>
      </c>
      <c r="L91" s="312">
        <v>0</v>
      </c>
      <c r="M91" s="522">
        <f>1769.1-960.27</f>
        <v>808.82999999999993</v>
      </c>
      <c r="N91" s="312">
        <v>0</v>
      </c>
      <c r="O91" s="522">
        <v>342.38</v>
      </c>
      <c r="P91" s="313">
        <f t="shared" si="3"/>
        <v>1426.7199999999998</v>
      </c>
    </row>
    <row r="92" spans="1:16" s="127" customFormat="1">
      <c r="A92" s="249" t="s">
        <v>462</v>
      </c>
      <c r="B92" s="250" t="s">
        <v>480</v>
      </c>
      <c r="C92" s="528">
        <v>73554553468</v>
      </c>
      <c r="D92" s="535" t="s">
        <v>864</v>
      </c>
      <c r="E92" s="238">
        <v>2</v>
      </c>
      <c r="F92" s="242" t="s">
        <v>683</v>
      </c>
      <c r="G92" s="241" t="s">
        <v>684</v>
      </c>
      <c r="H92" s="263">
        <v>1</v>
      </c>
      <c r="I92" s="264">
        <v>44</v>
      </c>
      <c r="J92" s="311">
        <v>1252.53</v>
      </c>
      <c r="K92" s="312">
        <v>0</v>
      </c>
      <c r="L92" s="312">
        <v>0</v>
      </c>
      <c r="M92" s="522">
        <f>1810.67-1252.53</f>
        <v>558.1400000000001</v>
      </c>
      <c r="N92" s="312">
        <v>0</v>
      </c>
      <c r="O92" s="522">
        <v>328.55</v>
      </c>
      <c r="P92" s="313">
        <f t="shared" si="3"/>
        <v>1482.1200000000001</v>
      </c>
    </row>
    <row r="93" spans="1:16" s="127" customFormat="1">
      <c r="A93" s="249" t="s">
        <v>462</v>
      </c>
      <c r="B93" s="250" t="s">
        <v>480</v>
      </c>
      <c r="C93" s="528">
        <v>90002172453</v>
      </c>
      <c r="D93" s="535" t="s">
        <v>865</v>
      </c>
      <c r="E93" s="238">
        <v>3</v>
      </c>
      <c r="F93" s="244" t="s">
        <v>761</v>
      </c>
      <c r="G93" s="241" t="s">
        <v>684</v>
      </c>
      <c r="H93" s="263">
        <v>1</v>
      </c>
      <c r="I93" s="264">
        <v>44</v>
      </c>
      <c r="J93" s="311">
        <v>1136.42</v>
      </c>
      <c r="K93" s="312">
        <v>0</v>
      </c>
      <c r="L93" s="312">
        <v>0</v>
      </c>
      <c r="M93" s="522">
        <f>1408.33-1136.42</f>
        <v>271.90999999999985</v>
      </c>
      <c r="N93" s="312">
        <v>0</v>
      </c>
      <c r="O93" s="522">
        <v>201.16</v>
      </c>
      <c r="P93" s="313">
        <f t="shared" ref="P93:P124" si="4">SUM(J93:N93)-O93</f>
        <v>1207.1699999999998</v>
      </c>
    </row>
    <row r="94" spans="1:16" s="127" customFormat="1">
      <c r="A94" s="249" t="s">
        <v>462</v>
      </c>
      <c r="B94" s="250" t="s">
        <v>480</v>
      </c>
      <c r="C94" s="528">
        <v>66049890463</v>
      </c>
      <c r="D94" s="535" t="s">
        <v>866</v>
      </c>
      <c r="E94" s="238">
        <v>3</v>
      </c>
      <c r="F94" s="242" t="s">
        <v>719</v>
      </c>
      <c r="G94" s="241" t="s">
        <v>684</v>
      </c>
      <c r="H94" s="263">
        <v>1</v>
      </c>
      <c r="I94" s="264">
        <v>44</v>
      </c>
      <c r="J94" s="311">
        <v>1136.42</v>
      </c>
      <c r="K94" s="312">
        <v>0</v>
      </c>
      <c r="L94" s="312">
        <v>0</v>
      </c>
      <c r="M94" s="522">
        <f>1615.98-1136.42</f>
        <v>479.55999999999995</v>
      </c>
      <c r="N94" s="312">
        <v>0</v>
      </c>
      <c r="O94" s="522">
        <v>219.85</v>
      </c>
      <c r="P94" s="313">
        <f t="shared" si="4"/>
        <v>1396.13</v>
      </c>
    </row>
    <row r="95" spans="1:16" s="127" customFormat="1">
      <c r="A95" s="249" t="s">
        <v>462</v>
      </c>
      <c r="B95" s="250" t="s">
        <v>480</v>
      </c>
      <c r="C95" s="528">
        <v>40791564487</v>
      </c>
      <c r="D95" s="535" t="s">
        <v>867</v>
      </c>
      <c r="E95" s="238">
        <v>2</v>
      </c>
      <c r="F95" s="242" t="s">
        <v>709</v>
      </c>
      <c r="G95" s="241" t="s">
        <v>684</v>
      </c>
      <c r="H95" s="263">
        <v>1</v>
      </c>
      <c r="I95" s="264">
        <v>44</v>
      </c>
      <c r="J95" s="311">
        <v>2184.7800000000002</v>
      </c>
      <c r="K95" s="312">
        <f>1345.54+448.51+189.73+2324.11+774.7+246.89+426.44</f>
        <v>5755.92</v>
      </c>
      <c r="L95" s="312">
        <v>0</v>
      </c>
      <c r="M95" s="522">
        <f>505+139.33</f>
        <v>644.33000000000004</v>
      </c>
      <c r="N95" s="312">
        <v>0</v>
      </c>
      <c r="O95" s="522">
        <f>5679.33</f>
        <v>5679.33</v>
      </c>
      <c r="P95" s="313">
        <f t="shared" si="4"/>
        <v>2905.7000000000007</v>
      </c>
    </row>
    <row r="96" spans="1:16" s="127" customFormat="1">
      <c r="A96" s="249" t="s">
        <v>462</v>
      </c>
      <c r="B96" s="250" t="s">
        <v>480</v>
      </c>
      <c r="C96" s="528">
        <v>50022440410</v>
      </c>
      <c r="D96" s="535" t="s">
        <v>868</v>
      </c>
      <c r="E96" s="238">
        <v>2</v>
      </c>
      <c r="F96" s="242" t="s">
        <v>683</v>
      </c>
      <c r="G96" s="241" t="s">
        <v>684</v>
      </c>
      <c r="H96" s="263">
        <v>1</v>
      </c>
      <c r="I96" s="264">
        <v>44</v>
      </c>
      <c r="J96" s="311">
        <v>1252.53</v>
      </c>
      <c r="K96" s="312">
        <v>0</v>
      </c>
      <c r="L96" s="312">
        <v>0</v>
      </c>
      <c r="M96" s="522">
        <f>1802.26-1252.53</f>
        <v>549.73</v>
      </c>
      <c r="N96" s="312">
        <v>0</v>
      </c>
      <c r="O96" s="522">
        <v>170.75</v>
      </c>
      <c r="P96" s="313">
        <f t="shared" si="4"/>
        <v>1631.51</v>
      </c>
    </row>
    <row r="97" spans="1:241" s="127" customFormat="1">
      <c r="A97" s="249" t="s">
        <v>462</v>
      </c>
      <c r="B97" s="250" t="s">
        <v>480</v>
      </c>
      <c r="C97" s="528">
        <v>42713978491</v>
      </c>
      <c r="D97" s="535" t="s">
        <v>869</v>
      </c>
      <c r="E97" s="238">
        <v>2</v>
      </c>
      <c r="F97" s="242" t="s">
        <v>683</v>
      </c>
      <c r="G97" s="241" t="s">
        <v>684</v>
      </c>
      <c r="H97" s="263">
        <v>1</v>
      </c>
      <c r="I97" s="264">
        <v>44</v>
      </c>
      <c r="J97" s="311">
        <v>1252.53</v>
      </c>
      <c r="K97" s="312">
        <v>0</v>
      </c>
      <c r="L97" s="312">
        <v>0</v>
      </c>
      <c r="M97" s="522">
        <v>220</v>
      </c>
      <c r="N97" s="312">
        <v>0</v>
      </c>
      <c r="O97" s="522">
        <v>216.22</v>
      </c>
      <c r="P97" s="313">
        <f t="shared" si="4"/>
        <v>1256.31</v>
      </c>
      <c r="AG97" s="254"/>
      <c r="AH97" s="254"/>
      <c r="AI97" s="254"/>
      <c r="AJ97" s="254"/>
      <c r="AK97" s="254"/>
      <c r="AL97" s="254"/>
      <c r="AM97" s="254"/>
      <c r="AN97" s="254"/>
      <c r="AO97" s="254"/>
      <c r="AP97" s="254"/>
      <c r="AQ97" s="254"/>
      <c r="AR97" s="254"/>
      <c r="AS97" s="254"/>
      <c r="AT97" s="254"/>
      <c r="AU97" s="254"/>
      <c r="AV97" s="254"/>
      <c r="AW97" s="254"/>
      <c r="AX97" s="254"/>
      <c r="AY97" s="254"/>
      <c r="AZ97" s="254"/>
      <c r="BA97" s="254"/>
      <c r="BB97" s="254"/>
      <c r="BC97" s="254"/>
      <c r="BD97" s="254"/>
      <c r="BE97" s="254"/>
      <c r="BF97" s="254"/>
      <c r="BG97" s="254"/>
      <c r="BH97" s="254"/>
      <c r="BI97" s="254"/>
      <c r="BJ97" s="254"/>
      <c r="BK97" s="254"/>
      <c r="BL97" s="254"/>
      <c r="BM97" s="254"/>
      <c r="BN97" s="254"/>
      <c r="BO97" s="254"/>
      <c r="BP97" s="254"/>
      <c r="BQ97" s="254"/>
      <c r="BR97" s="254"/>
      <c r="BS97" s="254"/>
      <c r="BT97" s="254"/>
      <c r="BU97" s="254"/>
      <c r="BV97" s="254"/>
      <c r="BW97" s="254"/>
      <c r="BX97" s="254"/>
      <c r="BY97" s="254"/>
      <c r="BZ97" s="254"/>
      <c r="CA97" s="254"/>
      <c r="CB97" s="254"/>
      <c r="CC97" s="254"/>
      <c r="CD97" s="254"/>
      <c r="CE97" s="254"/>
      <c r="CF97" s="254"/>
      <c r="CG97" s="254"/>
      <c r="CH97" s="254"/>
      <c r="CI97" s="254"/>
      <c r="CJ97" s="254"/>
      <c r="CK97" s="254"/>
      <c r="CL97" s="254"/>
      <c r="CM97" s="254"/>
      <c r="CN97" s="254"/>
      <c r="CO97" s="254"/>
      <c r="CP97" s="254"/>
      <c r="CQ97" s="254"/>
      <c r="CR97" s="254"/>
      <c r="CS97" s="254"/>
      <c r="CT97" s="254"/>
      <c r="CU97" s="254"/>
      <c r="CV97" s="254"/>
      <c r="CW97" s="254"/>
      <c r="CX97" s="254"/>
      <c r="CY97" s="254"/>
      <c r="CZ97" s="254"/>
      <c r="DA97" s="254"/>
      <c r="DB97" s="254"/>
      <c r="DC97" s="254"/>
      <c r="DD97" s="254"/>
      <c r="DE97" s="254"/>
      <c r="DF97" s="254"/>
      <c r="DG97" s="254"/>
      <c r="DH97" s="254"/>
      <c r="DI97" s="254"/>
      <c r="DJ97" s="254"/>
      <c r="DK97" s="254"/>
      <c r="DL97" s="254"/>
      <c r="DM97" s="254"/>
      <c r="DN97" s="254"/>
      <c r="DO97" s="254"/>
      <c r="DP97" s="254"/>
      <c r="DQ97" s="254"/>
      <c r="DR97" s="254"/>
      <c r="DS97" s="254"/>
      <c r="DT97" s="254"/>
      <c r="DU97" s="254"/>
      <c r="DV97" s="254"/>
      <c r="DW97" s="254"/>
      <c r="DX97" s="254"/>
      <c r="DY97" s="254"/>
      <c r="DZ97" s="254"/>
      <c r="EA97" s="254"/>
      <c r="EB97" s="254"/>
      <c r="EC97" s="254"/>
      <c r="ED97" s="254"/>
      <c r="EE97" s="254"/>
      <c r="EF97" s="254"/>
      <c r="EG97" s="254"/>
      <c r="EH97" s="254"/>
      <c r="EI97" s="254"/>
      <c r="EJ97" s="254"/>
      <c r="EK97" s="254"/>
      <c r="EL97" s="254"/>
      <c r="EM97" s="254"/>
      <c r="EN97" s="254"/>
      <c r="EO97" s="254"/>
      <c r="EP97" s="254"/>
      <c r="EQ97" s="254"/>
      <c r="ER97" s="254"/>
      <c r="ES97" s="254"/>
      <c r="ET97" s="254"/>
      <c r="EU97" s="254"/>
      <c r="EV97" s="254"/>
      <c r="EW97" s="254"/>
      <c r="EX97" s="254"/>
      <c r="EY97" s="254"/>
      <c r="EZ97" s="254"/>
      <c r="FA97" s="254"/>
      <c r="FB97" s="254"/>
      <c r="FC97" s="254"/>
      <c r="FD97" s="254"/>
      <c r="FE97" s="254"/>
      <c r="FF97" s="254"/>
      <c r="FG97" s="254"/>
      <c r="FH97" s="254"/>
      <c r="FI97" s="254"/>
      <c r="FJ97" s="254"/>
      <c r="FK97" s="254"/>
      <c r="FL97" s="254"/>
      <c r="FM97" s="254"/>
      <c r="FN97" s="254"/>
      <c r="FO97" s="254"/>
      <c r="FP97" s="254"/>
      <c r="FQ97" s="254"/>
      <c r="FR97" s="254"/>
      <c r="FS97" s="254"/>
      <c r="FT97" s="254"/>
      <c r="FU97" s="254"/>
      <c r="FV97" s="254"/>
      <c r="FW97" s="254"/>
      <c r="FX97" s="254"/>
      <c r="FY97" s="254"/>
      <c r="FZ97" s="254"/>
      <c r="GA97" s="254"/>
      <c r="GB97" s="254"/>
      <c r="GC97" s="254"/>
      <c r="GD97" s="254"/>
      <c r="GE97" s="254"/>
      <c r="GF97" s="254"/>
      <c r="GG97" s="254"/>
      <c r="GH97" s="254"/>
      <c r="GI97" s="254"/>
      <c r="GJ97" s="254"/>
      <c r="GK97" s="254"/>
      <c r="GL97" s="254"/>
      <c r="GM97" s="254"/>
      <c r="GN97" s="254"/>
      <c r="GO97" s="254"/>
      <c r="GP97" s="254"/>
      <c r="GQ97" s="254"/>
      <c r="GR97" s="254"/>
      <c r="GS97" s="254"/>
      <c r="GT97" s="254"/>
      <c r="GU97" s="254"/>
      <c r="GV97" s="254"/>
      <c r="GW97" s="254"/>
      <c r="GX97" s="254"/>
      <c r="GY97" s="254"/>
      <c r="GZ97" s="254"/>
      <c r="HA97" s="254"/>
      <c r="HB97" s="254"/>
      <c r="HC97" s="254"/>
      <c r="HD97" s="254"/>
      <c r="HE97" s="254"/>
      <c r="HF97" s="254"/>
      <c r="HG97" s="254"/>
      <c r="HH97" s="254"/>
      <c r="HI97" s="254"/>
      <c r="HJ97" s="254"/>
      <c r="HK97" s="254"/>
      <c r="HL97" s="254"/>
      <c r="HM97" s="254"/>
      <c r="HN97" s="254"/>
      <c r="HO97" s="254"/>
      <c r="HP97" s="254"/>
      <c r="HQ97" s="254"/>
      <c r="HR97" s="254"/>
      <c r="HS97" s="254"/>
      <c r="HT97" s="254"/>
      <c r="HU97" s="254"/>
      <c r="HV97" s="254"/>
      <c r="HW97" s="254"/>
      <c r="HX97" s="254"/>
      <c r="HY97" s="254"/>
      <c r="HZ97" s="254"/>
      <c r="IA97" s="254"/>
      <c r="IB97" s="254"/>
      <c r="IC97" s="254"/>
      <c r="ID97" s="254"/>
      <c r="IE97" s="254"/>
      <c r="IF97" s="254"/>
      <c r="IG97" s="254"/>
    </row>
    <row r="98" spans="1:241" s="127" customFormat="1">
      <c r="A98" s="249" t="s">
        <v>462</v>
      </c>
      <c r="B98" s="250" t="s">
        <v>480</v>
      </c>
      <c r="C98" s="528">
        <v>97586390487</v>
      </c>
      <c r="D98" s="535" t="s">
        <v>870</v>
      </c>
      <c r="E98" s="238">
        <v>2</v>
      </c>
      <c r="F98" s="242" t="s">
        <v>683</v>
      </c>
      <c r="G98" s="241" t="s">
        <v>684</v>
      </c>
      <c r="H98" s="263">
        <v>1</v>
      </c>
      <c r="I98" s="264">
        <v>44</v>
      </c>
      <c r="J98" s="311">
        <v>1252.53</v>
      </c>
      <c r="K98" s="312">
        <v>0</v>
      </c>
      <c r="L98" s="312">
        <v>0</v>
      </c>
      <c r="M98" s="522">
        <f>1752.68-1252.53</f>
        <v>500.15000000000009</v>
      </c>
      <c r="N98" s="312">
        <v>0</v>
      </c>
      <c r="O98" s="522">
        <v>241.44</v>
      </c>
      <c r="P98" s="313">
        <f t="shared" si="4"/>
        <v>1511.24</v>
      </c>
    </row>
    <row r="99" spans="1:241" s="127" customFormat="1">
      <c r="A99" s="249" t="s">
        <v>462</v>
      </c>
      <c r="B99" s="250" t="s">
        <v>480</v>
      </c>
      <c r="C99" s="528" t="s">
        <v>871</v>
      </c>
      <c r="D99" s="535" t="s">
        <v>872</v>
      </c>
      <c r="E99" s="238">
        <v>2</v>
      </c>
      <c r="F99" s="244" t="s">
        <v>740</v>
      </c>
      <c r="G99" s="241" t="s">
        <v>684</v>
      </c>
      <c r="H99" s="263">
        <v>1</v>
      </c>
      <c r="I99" s="264">
        <v>44</v>
      </c>
      <c r="J99" s="311">
        <v>3209.67</v>
      </c>
      <c r="K99" s="312">
        <v>0</v>
      </c>
      <c r="L99" s="312">
        <v>0</v>
      </c>
      <c r="M99" s="522">
        <f>4374.73-3209.67</f>
        <v>1165.0599999999995</v>
      </c>
      <c r="N99" s="312">
        <v>0</v>
      </c>
      <c r="O99" s="522">
        <v>723.63</v>
      </c>
      <c r="P99" s="313">
        <f t="shared" si="4"/>
        <v>3651.0999999999995</v>
      </c>
    </row>
    <row r="100" spans="1:241" s="127" customFormat="1">
      <c r="A100" s="249" t="s">
        <v>462</v>
      </c>
      <c r="B100" s="250" t="s">
        <v>480</v>
      </c>
      <c r="C100" s="528">
        <v>86334050400</v>
      </c>
      <c r="D100" s="535" t="s">
        <v>873</v>
      </c>
      <c r="E100" s="238">
        <v>2</v>
      </c>
      <c r="F100" s="244" t="s">
        <v>874</v>
      </c>
      <c r="G100" s="241" t="s">
        <v>684</v>
      </c>
      <c r="H100" s="263">
        <v>1</v>
      </c>
      <c r="I100" s="264">
        <v>44</v>
      </c>
      <c r="J100" s="311">
        <v>1242.74</v>
      </c>
      <c r="K100" s="312">
        <v>0</v>
      </c>
      <c r="L100" s="312">
        <v>0</v>
      </c>
      <c r="M100" s="522">
        <f>220+345.56</f>
        <v>565.55999999999995</v>
      </c>
      <c r="N100" s="312">
        <v>0</v>
      </c>
      <c r="O100" s="522">
        <f>139.99-31.1</f>
        <v>108.89000000000001</v>
      </c>
      <c r="P100" s="313">
        <f t="shared" si="4"/>
        <v>1699.4099999999999</v>
      </c>
    </row>
    <row r="101" spans="1:241" s="127" customFormat="1">
      <c r="A101" s="249" t="s">
        <v>462</v>
      </c>
      <c r="B101" s="250" t="s">
        <v>480</v>
      </c>
      <c r="C101" s="528" t="s">
        <v>875</v>
      </c>
      <c r="D101" s="535" t="s">
        <v>876</v>
      </c>
      <c r="E101" s="238">
        <v>3</v>
      </c>
      <c r="F101" s="244" t="s">
        <v>772</v>
      </c>
      <c r="G101" s="241" t="s">
        <v>684</v>
      </c>
      <c r="H101" s="263">
        <v>2</v>
      </c>
      <c r="I101" s="264">
        <v>44</v>
      </c>
      <c r="J101" s="311">
        <v>2218.54</v>
      </c>
      <c r="K101" s="312">
        <f>7322.44-139.33-2218.54</f>
        <v>4964.57</v>
      </c>
      <c r="L101" s="312">
        <v>0</v>
      </c>
      <c r="M101" s="522">
        <v>139.33000000000001</v>
      </c>
      <c r="N101" s="312">
        <v>0</v>
      </c>
      <c r="O101" s="522">
        <v>5014.32</v>
      </c>
      <c r="P101" s="313">
        <f t="shared" si="4"/>
        <v>2308.12</v>
      </c>
    </row>
    <row r="102" spans="1:241" s="127" customFormat="1">
      <c r="A102" s="249" t="s">
        <v>462</v>
      </c>
      <c r="B102" s="250" t="s">
        <v>480</v>
      </c>
      <c r="C102" s="528" t="s">
        <v>877</v>
      </c>
      <c r="D102" s="535" t="s">
        <v>878</v>
      </c>
      <c r="E102" s="238">
        <v>3</v>
      </c>
      <c r="F102" s="242" t="s">
        <v>723</v>
      </c>
      <c r="G102" s="241" t="s">
        <v>684</v>
      </c>
      <c r="H102" s="263">
        <v>1</v>
      </c>
      <c r="I102" s="264">
        <v>44</v>
      </c>
      <c r="J102" s="311">
        <v>1136.42</v>
      </c>
      <c r="K102" s="312">
        <v>0</v>
      </c>
      <c r="L102" s="312">
        <v>0</v>
      </c>
      <c r="M102" s="522">
        <f>1391.03-1136.42</f>
        <v>254.6099999999999</v>
      </c>
      <c r="N102" s="312">
        <v>0</v>
      </c>
      <c r="O102" s="522">
        <v>131.41999999999999</v>
      </c>
      <c r="P102" s="313">
        <f t="shared" si="4"/>
        <v>1259.6099999999999</v>
      </c>
    </row>
    <row r="103" spans="1:241" s="127" customFormat="1">
      <c r="A103" s="249" t="s">
        <v>462</v>
      </c>
      <c r="B103" s="250" t="s">
        <v>480</v>
      </c>
      <c r="C103" s="528" t="s">
        <v>879</v>
      </c>
      <c r="D103" s="535" t="s">
        <v>880</v>
      </c>
      <c r="E103" s="238">
        <v>2</v>
      </c>
      <c r="F103" s="242" t="s">
        <v>709</v>
      </c>
      <c r="G103" s="241" t="s">
        <v>684</v>
      </c>
      <c r="H103" s="263">
        <v>1</v>
      </c>
      <c r="I103" s="264">
        <v>44</v>
      </c>
      <c r="J103" s="311">
        <v>1908.06</v>
      </c>
      <c r="K103" s="312">
        <v>0</v>
      </c>
      <c r="L103" s="312">
        <v>0</v>
      </c>
      <c r="M103" s="522">
        <f>2404.26-1908.06</f>
        <v>496.20000000000027</v>
      </c>
      <c r="N103" s="312">
        <v>0</v>
      </c>
      <c r="O103" s="522">
        <v>230.41</v>
      </c>
      <c r="P103" s="313">
        <f t="shared" si="4"/>
        <v>2173.8500000000004</v>
      </c>
    </row>
    <row r="104" spans="1:241" s="127" customFormat="1">
      <c r="A104" s="249" t="s">
        <v>462</v>
      </c>
      <c r="B104" s="250" t="s">
        <v>480</v>
      </c>
      <c r="C104" s="528" t="s">
        <v>881</v>
      </c>
      <c r="D104" s="535" t="s">
        <v>882</v>
      </c>
      <c r="E104" s="238">
        <v>3</v>
      </c>
      <c r="F104" s="242" t="s">
        <v>723</v>
      </c>
      <c r="G104" s="241" t="s">
        <v>684</v>
      </c>
      <c r="H104" s="263">
        <v>1</v>
      </c>
      <c r="I104" s="264">
        <v>44</v>
      </c>
      <c r="J104" s="311">
        <v>1136.42</v>
      </c>
      <c r="K104" s="312">
        <v>0</v>
      </c>
      <c r="L104" s="312">
        <v>0</v>
      </c>
      <c r="M104" s="522">
        <f>1699.4-1136.42</f>
        <v>562.98</v>
      </c>
      <c r="N104" s="312">
        <v>0</v>
      </c>
      <c r="O104" s="522">
        <v>221.41</v>
      </c>
      <c r="P104" s="313">
        <f t="shared" si="4"/>
        <v>1477.99</v>
      </c>
    </row>
    <row r="105" spans="1:241" s="127" customFormat="1">
      <c r="A105" s="249" t="s">
        <v>462</v>
      </c>
      <c r="B105" s="250" t="s">
        <v>480</v>
      </c>
      <c r="C105" s="528" t="s">
        <v>883</v>
      </c>
      <c r="D105" s="535" t="s">
        <v>884</v>
      </c>
      <c r="E105" s="238">
        <v>2</v>
      </c>
      <c r="F105" s="242" t="s">
        <v>683</v>
      </c>
      <c r="G105" s="241" t="s">
        <v>684</v>
      </c>
      <c r="H105" s="263">
        <v>1</v>
      </c>
      <c r="I105" s="264">
        <v>44</v>
      </c>
      <c r="J105" s="311">
        <v>1252.53</v>
      </c>
      <c r="K105" s="312">
        <v>0</v>
      </c>
      <c r="L105" s="312">
        <v>0</v>
      </c>
      <c r="M105" s="522">
        <v>220</v>
      </c>
      <c r="N105" s="312">
        <v>0</v>
      </c>
      <c r="O105" s="522">
        <v>216.22</v>
      </c>
      <c r="P105" s="313">
        <f t="shared" si="4"/>
        <v>1256.31</v>
      </c>
    </row>
    <row r="106" spans="1:241" s="127" customFormat="1">
      <c r="A106" s="249" t="s">
        <v>462</v>
      </c>
      <c r="B106" s="250" t="s">
        <v>480</v>
      </c>
      <c r="C106" s="528" t="s">
        <v>885</v>
      </c>
      <c r="D106" s="535" t="s">
        <v>886</v>
      </c>
      <c r="E106" s="238">
        <v>3</v>
      </c>
      <c r="F106" s="242" t="s">
        <v>887</v>
      </c>
      <c r="G106" s="241" t="s">
        <v>684</v>
      </c>
      <c r="H106" s="263">
        <v>2</v>
      </c>
      <c r="I106" s="264">
        <v>44</v>
      </c>
      <c r="J106" s="311">
        <v>2673.15</v>
      </c>
      <c r="K106" s="312">
        <v>0</v>
      </c>
      <c r="L106" s="312">
        <v>0</v>
      </c>
      <c r="M106" s="522">
        <v>220</v>
      </c>
      <c r="N106" s="312">
        <v>0</v>
      </c>
      <c r="O106" s="522">
        <v>343.94</v>
      </c>
      <c r="P106" s="313">
        <f t="shared" si="4"/>
        <v>2549.21</v>
      </c>
    </row>
    <row r="107" spans="1:241" s="127" customFormat="1">
      <c r="A107" s="249" t="s">
        <v>462</v>
      </c>
      <c r="B107" s="250" t="s">
        <v>480</v>
      </c>
      <c r="C107" s="528" t="s">
        <v>888</v>
      </c>
      <c r="D107" s="535" t="s">
        <v>889</v>
      </c>
      <c r="E107" s="238">
        <v>2</v>
      </c>
      <c r="F107" s="242" t="s">
        <v>697</v>
      </c>
      <c r="G107" s="241" t="s">
        <v>684</v>
      </c>
      <c r="H107" s="263">
        <v>1</v>
      </c>
      <c r="I107" s="264">
        <v>44</v>
      </c>
      <c r="J107" s="311">
        <v>2090.16</v>
      </c>
      <c r="K107" s="312">
        <v>0</v>
      </c>
      <c r="L107" s="312">
        <v>0</v>
      </c>
      <c r="M107" s="522">
        <f>3430.18-2090.16</f>
        <v>1340.02</v>
      </c>
      <c r="N107" s="312">
        <v>0</v>
      </c>
      <c r="O107" s="522">
        <v>392.66</v>
      </c>
      <c r="P107" s="313">
        <f t="shared" si="4"/>
        <v>3037.52</v>
      </c>
    </row>
    <row r="108" spans="1:241" s="127" customFormat="1">
      <c r="A108" s="249" t="s">
        <v>462</v>
      </c>
      <c r="B108" s="250" t="s">
        <v>480</v>
      </c>
      <c r="C108" s="528" t="s">
        <v>890</v>
      </c>
      <c r="D108" s="535" t="s">
        <v>891</v>
      </c>
      <c r="E108" s="238">
        <v>2</v>
      </c>
      <c r="F108" s="242" t="s">
        <v>709</v>
      </c>
      <c r="G108" s="241" t="s">
        <v>684</v>
      </c>
      <c r="H108" s="263">
        <v>1</v>
      </c>
      <c r="I108" s="264">
        <v>44</v>
      </c>
      <c r="J108" s="311">
        <v>1771.76</v>
      </c>
      <c r="K108" s="312">
        <v>0</v>
      </c>
      <c r="L108" s="312">
        <v>0</v>
      </c>
      <c r="M108" s="522">
        <f>2067.99-1771.76</f>
        <v>296.22999999999979</v>
      </c>
      <c r="N108" s="312">
        <v>0</v>
      </c>
      <c r="O108" s="522">
        <v>278.35000000000002</v>
      </c>
      <c r="P108" s="313">
        <f t="shared" si="4"/>
        <v>1789.6399999999999</v>
      </c>
    </row>
    <row r="109" spans="1:241" s="127" customFormat="1">
      <c r="A109" s="249" t="s">
        <v>462</v>
      </c>
      <c r="B109" s="250" t="s">
        <v>480</v>
      </c>
      <c r="C109" s="528" t="s">
        <v>892</v>
      </c>
      <c r="D109" s="535" t="s">
        <v>893</v>
      </c>
      <c r="E109" s="238">
        <v>3</v>
      </c>
      <c r="F109" s="242" t="s">
        <v>723</v>
      </c>
      <c r="G109" s="241" t="s">
        <v>684</v>
      </c>
      <c r="H109" s="263">
        <v>1</v>
      </c>
      <c r="I109" s="264">
        <v>44</v>
      </c>
      <c r="J109" s="311">
        <v>1136.42</v>
      </c>
      <c r="K109" s="312">
        <v>0</v>
      </c>
      <c r="L109" s="312">
        <v>0</v>
      </c>
      <c r="M109" s="522">
        <f>1373.72-1136.42</f>
        <v>237.29999999999995</v>
      </c>
      <c r="N109" s="312">
        <v>0</v>
      </c>
      <c r="O109" s="522">
        <v>198.05</v>
      </c>
      <c r="P109" s="313">
        <f t="shared" si="4"/>
        <v>1175.67</v>
      </c>
    </row>
    <row r="110" spans="1:241" s="127" customFormat="1">
      <c r="A110" s="249" t="s">
        <v>462</v>
      </c>
      <c r="B110" s="250" t="s">
        <v>480</v>
      </c>
      <c r="C110" s="528" t="s">
        <v>894</v>
      </c>
      <c r="D110" s="535" t="s">
        <v>895</v>
      </c>
      <c r="E110" s="238">
        <v>3</v>
      </c>
      <c r="F110" s="242" t="s">
        <v>689</v>
      </c>
      <c r="G110" s="241" t="s">
        <v>684</v>
      </c>
      <c r="H110" s="263">
        <v>1</v>
      </c>
      <c r="I110" s="264">
        <v>44</v>
      </c>
      <c r="J110" s="311">
        <v>1136.42</v>
      </c>
      <c r="K110" s="312">
        <v>0</v>
      </c>
      <c r="L110" s="312">
        <v>0</v>
      </c>
      <c r="M110" s="522">
        <f>1373.72-1136.42</f>
        <v>237.29999999999995</v>
      </c>
      <c r="N110" s="312">
        <v>0</v>
      </c>
      <c r="O110" s="522">
        <v>129.86000000000001</v>
      </c>
      <c r="P110" s="313">
        <f t="shared" si="4"/>
        <v>1243.8600000000001</v>
      </c>
      <c r="AG110" s="254"/>
      <c r="AH110" s="254"/>
      <c r="AI110" s="254"/>
      <c r="AJ110" s="254"/>
      <c r="AK110" s="254"/>
      <c r="AL110" s="254"/>
      <c r="AM110" s="254"/>
      <c r="AN110" s="254"/>
      <c r="AO110" s="254"/>
      <c r="AP110" s="254"/>
      <c r="AQ110" s="254"/>
      <c r="AR110" s="254"/>
      <c r="AS110" s="254"/>
      <c r="AT110" s="254"/>
      <c r="AU110" s="254"/>
      <c r="AV110" s="254"/>
      <c r="AW110" s="254"/>
      <c r="AX110" s="254"/>
      <c r="AY110" s="254"/>
      <c r="AZ110" s="254"/>
      <c r="BA110" s="254"/>
      <c r="BB110" s="254"/>
      <c r="BC110" s="254"/>
      <c r="BD110" s="254"/>
      <c r="BE110" s="254"/>
      <c r="BF110" s="254"/>
      <c r="BG110" s="254"/>
      <c r="BH110" s="254"/>
      <c r="BI110" s="254"/>
      <c r="BJ110" s="254"/>
      <c r="BK110" s="254"/>
      <c r="BL110" s="254"/>
      <c r="BM110" s="254"/>
      <c r="BN110" s="254"/>
      <c r="BO110" s="254"/>
      <c r="BP110" s="254"/>
      <c r="BQ110" s="254"/>
      <c r="BR110" s="254"/>
      <c r="BS110" s="254"/>
      <c r="BT110" s="254"/>
      <c r="BU110" s="254"/>
      <c r="BV110" s="254"/>
      <c r="BW110" s="254"/>
      <c r="BX110" s="254"/>
      <c r="BY110" s="254"/>
      <c r="BZ110" s="254"/>
      <c r="CA110" s="254"/>
      <c r="CB110" s="254"/>
      <c r="CC110" s="254"/>
      <c r="CD110" s="254"/>
      <c r="CE110" s="254"/>
      <c r="CF110" s="254"/>
      <c r="CG110" s="254"/>
      <c r="CH110" s="254"/>
      <c r="CI110" s="254"/>
      <c r="CJ110" s="254"/>
      <c r="CK110" s="254"/>
      <c r="CL110" s="254"/>
      <c r="CM110" s="254"/>
      <c r="CN110" s="254"/>
      <c r="CO110" s="254"/>
      <c r="CP110" s="254"/>
      <c r="CQ110" s="254"/>
      <c r="CR110" s="254"/>
      <c r="CS110" s="254"/>
      <c r="CT110" s="254"/>
      <c r="CU110" s="254"/>
      <c r="CV110" s="254"/>
      <c r="CW110" s="254"/>
      <c r="CX110" s="254"/>
      <c r="CY110" s="254"/>
      <c r="CZ110" s="254"/>
      <c r="DA110" s="254"/>
      <c r="DB110" s="254"/>
      <c r="DC110" s="254"/>
      <c r="DD110" s="254"/>
      <c r="DE110" s="254"/>
      <c r="DF110" s="254"/>
      <c r="DG110" s="254"/>
      <c r="DH110" s="254"/>
      <c r="DI110" s="254"/>
      <c r="DJ110" s="254"/>
      <c r="DK110" s="254"/>
      <c r="DL110" s="254"/>
      <c r="DM110" s="254"/>
      <c r="DN110" s="254"/>
      <c r="DO110" s="254"/>
      <c r="DP110" s="254"/>
      <c r="DQ110" s="254"/>
      <c r="DR110" s="254"/>
      <c r="DS110" s="254"/>
      <c r="DT110" s="254"/>
      <c r="DU110" s="254"/>
      <c r="DV110" s="254"/>
      <c r="DW110" s="254"/>
      <c r="DX110" s="254"/>
      <c r="DY110" s="254"/>
      <c r="DZ110" s="254"/>
      <c r="EA110" s="254"/>
      <c r="EB110" s="254"/>
      <c r="EC110" s="254"/>
      <c r="ED110" s="254"/>
      <c r="EE110" s="254"/>
      <c r="EF110" s="254"/>
      <c r="EG110" s="254"/>
      <c r="EH110" s="254"/>
      <c r="EI110" s="254"/>
      <c r="EJ110" s="254"/>
      <c r="EK110" s="254"/>
      <c r="EL110" s="254"/>
      <c r="EM110" s="254"/>
      <c r="EN110" s="254"/>
      <c r="EO110" s="254"/>
      <c r="EP110" s="254"/>
      <c r="EQ110" s="254"/>
      <c r="ER110" s="254"/>
      <c r="ES110" s="254"/>
      <c r="ET110" s="254"/>
      <c r="EU110" s="254"/>
      <c r="EV110" s="254"/>
      <c r="EW110" s="254"/>
      <c r="EX110" s="254"/>
      <c r="EY110" s="254"/>
      <c r="EZ110" s="254"/>
      <c r="FA110" s="254"/>
      <c r="FB110" s="254"/>
      <c r="FC110" s="254"/>
      <c r="FD110" s="254"/>
      <c r="FE110" s="254"/>
      <c r="FF110" s="254"/>
      <c r="FG110" s="254"/>
      <c r="FH110" s="254"/>
      <c r="FI110" s="254"/>
      <c r="FJ110" s="254"/>
      <c r="FK110" s="254"/>
      <c r="FL110" s="254"/>
      <c r="FM110" s="254"/>
      <c r="FN110" s="254"/>
      <c r="FO110" s="254"/>
      <c r="FP110" s="254"/>
      <c r="FQ110" s="254"/>
      <c r="FR110" s="254"/>
      <c r="FS110" s="254"/>
      <c r="FT110" s="254"/>
      <c r="FU110" s="254"/>
      <c r="FV110" s="254"/>
      <c r="FW110" s="254"/>
      <c r="FX110" s="254"/>
      <c r="FY110" s="254"/>
      <c r="FZ110" s="254"/>
      <c r="GA110" s="254"/>
      <c r="GB110" s="254"/>
      <c r="GC110" s="254"/>
      <c r="GD110" s="254"/>
      <c r="GE110" s="254"/>
      <c r="GF110" s="254"/>
      <c r="GG110" s="254"/>
      <c r="GH110" s="254"/>
      <c r="GI110" s="254"/>
      <c r="GJ110" s="254"/>
      <c r="GK110" s="254"/>
      <c r="GL110" s="254"/>
      <c r="GM110" s="254"/>
      <c r="GN110" s="254"/>
      <c r="GO110" s="254"/>
      <c r="GP110" s="254"/>
      <c r="GQ110" s="254"/>
      <c r="GR110" s="254"/>
      <c r="GS110" s="254"/>
      <c r="GT110" s="254"/>
      <c r="GU110" s="254"/>
      <c r="GV110" s="254"/>
      <c r="GW110" s="254"/>
      <c r="GX110" s="254"/>
      <c r="GY110" s="254"/>
      <c r="GZ110" s="254"/>
      <c r="HA110" s="254"/>
      <c r="HB110" s="254"/>
      <c r="HC110" s="254"/>
      <c r="HD110" s="254"/>
      <c r="HE110" s="254"/>
      <c r="HF110" s="254"/>
      <c r="HG110" s="254"/>
      <c r="HH110" s="254"/>
      <c r="HI110" s="254"/>
      <c r="HJ110" s="254"/>
      <c r="HK110" s="254"/>
      <c r="HL110" s="254"/>
      <c r="HM110" s="254"/>
      <c r="HN110" s="254"/>
      <c r="HO110" s="254"/>
      <c r="HP110" s="254"/>
      <c r="HQ110" s="254"/>
      <c r="HR110" s="254"/>
      <c r="HS110" s="254"/>
      <c r="HT110" s="254"/>
      <c r="HU110" s="254"/>
      <c r="HV110" s="254"/>
      <c r="HW110" s="254"/>
      <c r="HX110" s="254"/>
      <c r="HY110" s="254"/>
      <c r="HZ110" s="254"/>
      <c r="IA110" s="254"/>
      <c r="IB110" s="254"/>
      <c r="IC110" s="254"/>
      <c r="ID110" s="254"/>
      <c r="IE110" s="254"/>
      <c r="IF110" s="254"/>
      <c r="IG110" s="254"/>
    </row>
    <row r="111" spans="1:241" s="127" customFormat="1">
      <c r="A111" s="249" t="s">
        <v>462</v>
      </c>
      <c r="B111" s="250" t="s">
        <v>480</v>
      </c>
      <c r="C111" s="528">
        <v>66715300410</v>
      </c>
      <c r="D111" s="535" t="s">
        <v>896</v>
      </c>
      <c r="E111" s="238">
        <v>2</v>
      </c>
      <c r="F111" s="242" t="s">
        <v>683</v>
      </c>
      <c r="G111" s="241" t="s">
        <v>684</v>
      </c>
      <c r="H111" s="263">
        <v>1</v>
      </c>
      <c r="I111" s="264">
        <v>44</v>
      </c>
      <c r="J111" s="311">
        <v>1002.02</v>
      </c>
      <c r="K111" s="312">
        <v>0</v>
      </c>
      <c r="L111" s="312">
        <v>0</v>
      </c>
      <c r="M111" s="522">
        <f>1635.17-1002.02</f>
        <v>633.15000000000009</v>
      </c>
      <c r="N111" s="312">
        <v>0</v>
      </c>
      <c r="O111" s="522">
        <v>230.86</v>
      </c>
      <c r="P111" s="313">
        <f t="shared" si="4"/>
        <v>1404.31</v>
      </c>
    </row>
    <row r="112" spans="1:241" s="127" customFormat="1">
      <c r="A112" s="249" t="s">
        <v>462</v>
      </c>
      <c r="B112" s="250" t="s">
        <v>480</v>
      </c>
      <c r="C112" s="528" t="s">
        <v>897</v>
      </c>
      <c r="D112" s="535" t="s">
        <v>898</v>
      </c>
      <c r="E112" s="238">
        <v>2</v>
      </c>
      <c r="F112" s="242" t="s">
        <v>683</v>
      </c>
      <c r="G112" s="241" t="s">
        <v>684</v>
      </c>
      <c r="H112" s="263">
        <v>1</v>
      </c>
      <c r="I112" s="264">
        <v>44</v>
      </c>
      <c r="J112" s="311">
        <v>1252.53</v>
      </c>
      <c r="K112" s="312">
        <v>0</v>
      </c>
      <c r="L112" s="312">
        <v>0</v>
      </c>
      <c r="M112" s="522">
        <f>1754.31-1252.53</f>
        <v>501.78</v>
      </c>
      <c r="N112" s="312">
        <v>0</v>
      </c>
      <c r="O112" s="522">
        <v>241.58</v>
      </c>
      <c r="P112" s="313">
        <f t="shared" si="4"/>
        <v>1512.73</v>
      </c>
    </row>
    <row r="113" spans="1:16" s="127" customFormat="1">
      <c r="A113" s="249" t="s">
        <v>462</v>
      </c>
      <c r="B113" s="250" t="s">
        <v>480</v>
      </c>
      <c r="C113" s="528">
        <v>71197891471</v>
      </c>
      <c r="D113" s="535" t="s">
        <v>899</v>
      </c>
      <c r="E113" s="238">
        <v>3</v>
      </c>
      <c r="F113" s="244" t="s">
        <v>689</v>
      </c>
      <c r="G113" s="241" t="s">
        <v>684</v>
      </c>
      <c r="H113" s="263">
        <v>1</v>
      </c>
      <c r="I113" s="264">
        <v>44</v>
      </c>
      <c r="J113" s="311">
        <v>947.02</v>
      </c>
      <c r="K113" s="312">
        <v>0</v>
      </c>
      <c r="L113" s="312">
        <v>0</v>
      </c>
      <c r="M113" s="522">
        <f>189.4+183.33</f>
        <v>372.73</v>
      </c>
      <c r="N113" s="312">
        <v>0</v>
      </c>
      <c r="O113" s="522">
        <v>344.05</v>
      </c>
      <c r="P113" s="313">
        <f t="shared" si="4"/>
        <v>975.7</v>
      </c>
    </row>
    <row r="114" spans="1:16" s="127" customFormat="1">
      <c r="A114" s="249" t="s">
        <v>462</v>
      </c>
      <c r="B114" s="250" t="s">
        <v>480</v>
      </c>
      <c r="C114" s="528" t="s">
        <v>900</v>
      </c>
      <c r="D114" s="535" t="s">
        <v>901</v>
      </c>
      <c r="E114" s="238">
        <v>3</v>
      </c>
      <c r="F114" s="244" t="s">
        <v>728</v>
      </c>
      <c r="G114" s="241" t="s">
        <v>684</v>
      </c>
      <c r="H114" s="263">
        <v>1</v>
      </c>
      <c r="I114" s="264">
        <v>44</v>
      </c>
      <c r="J114" s="311">
        <v>1296.08</v>
      </c>
      <c r="K114" s="312">
        <v>0</v>
      </c>
      <c r="L114" s="312">
        <v>0</v>
      </c>
      <c r="M114" s="522">
        <f>1864.22-1296.08</f>
        <v>568.1400000000001</v>
      </c>
      <c r="N114" s="312">
        <v>0</v>
      </c>
      <c r="O114" s="522">
        <v>177.19</v>
      </c>
      <c r="P114" s="313">
        <f t="shared" si="4"/>
        <v>1687.03</v>
      </c>
    </row>
    <row r="115" spans="1:16" s="127" customFormat="1">
      <c r="A115" s="249" t="s">
        <v>462</v>
      </c>
      <c r="B115" s="250" t="s">
        <v>480</v>
      </c>
      <c r="C115" s="528" t="s">
        <v>902</v>
      </c>
      <c r="D115" s="535" t="s">
        <v>903</v>
      </c>
      <c r="E115" s="238">
        <v>3</v>
      </c>
      <c r="F115" s="244" t="s">
        <v>728</v>
      </c>
      <c r="G115" s="241" t="s">
        <v>684</v>
      </c>
      <c r="H115" s="263">
        <v>2</v>
      </c>
      <c r="I115" s="264">
        <v>44</v>
      </c>
      <c r="J115" s="311">
        <v>1296.08</v>
      </c>
      <c r="K115" s="312">
        <v>0</v>
      </c>
      <c r="L115" s="312">
        <v>0</v>
      </c>
      <c r="M115" s="522">
        <f>1554.76-1296.08</f>
        <v>258.68000000000006</v>
      </c>
      <c r="N115" s="312">
        <v>0</v>
      </c>
      <c r="O115" s="522">
        <v>149.34</v>
      </c>
      <c r="P115" s="313">
        <f t="shared" si="4"/>
        <v>1405.42</v>
      </c>
    </row>
    <row r="116" spans="1:16" s="127" customFormat="1">
      <c r="A116" s="249" t="s">
        <v>462</v>
      </c>
      <c r="B116" s="250" t="s">
        <v>480</v>
      </c>
      <c r="C116" s="528" t="s">
        <v>904</v>
      </c>
      <c r="D116" s="535" t="s">
        <v>905</v>
      </c>
      <c r="E116" s="238">
        <v>2</v>
      </c>
      <c r="F116" s="242" t="s">
        <v>683</v>
      </c>
      <c r="G116" s="241" t="s">
        <v>684</v>
      </c>
      <c r="H116" s="263">
        <v>1</v>
      </c>
      <c r="I116" s="264">
        <v>44</v>
      </c>
      <c r="J116" s="311">
        <v>1252.53</v>
      </c>
      <c r="K116" s="312">
        <v>0</v>
      </c>
      <c r="L116" s="312">
        <v>0</v>
      </c>
      <c r="M116" s="522">
        <f>1858-1252.53</f>
        <v>605.47</v>
      </c>
      <c r="N116" s="312">
        <v>0</v>
      </c>
      <c r="O116" s="522">
        <v>244.96</v>
      </c>
      <c r="P116" s="313">
        <f t="shared" si="4"/>
        <v>1613.04</v>
      </c>
    </row>
    <row r="117" spans="1:16" s="127" customFormat="1">
      <c r="A117" s="249" t="s">
        <v>462</v>
      </c>
      <c r="B117" s="250" t="s">
        <v>480</v>
      </c>
      <c r="C117" s="528" t="s">
        <v>906</v>
      </c>
      <c r="D117" s="535" t="s">
        <v>907</v>
      </c>
      <c r="E117" s="238">
        <v>3</v>
      </c>
      <c r="F117" s="242" t="s">
        <v>689</v>
      </c>
      <c r="G117" s="241" t="s">
        <v>684</v>
      </c>
      <c r="H117" s="263">
        <v>1</v>
      </c>
      <c r="I117" s="264">
        <v>44</v>
      </c>
      <c r="J117" s="311">
        <v>984.9</v>
      </c>
      <c r="K117" s="312">
        <v>0</v>
      </c>
      <c r="L117" s="312">
        <v>0</v>
      </c>
      <c r="M117" s="522">
        <f>1360.71-984.9</f>
        <v>375.81000000000006</v>
      </c>
      <c r="N117" s="312">
        <v>0</v>
      </c>
      <c r="O117" s="522">
        <v>128.69</v>
      </c>
      <c r="P117" s="313">
        <f t="shared" si="4"/>
        <v>1232.02</v>
      </c>
    </row>
    <row r="118" spans="1:16" s="127" customFormat="1">
      <c r="A118" s="249" t="s">
        <v>462</v>
      </c>
      <c r="B118" s="250" t="s">
        <v>480</v>
      </c>
      <c r="C118" s="241" t="s">
        <v>908</v>
      </c>
      <c r="D118" s="535" t="s">
        <v>909</v>
      </c>
      <c r="E118" s="238">
        <v>2</v>
      </c>
      <c r="F118" s="242" t="s">
        <v>683</v>
      </c>
      <c r="G118" s="241" t="s">
        <v>684</v>
      </c>
      <c r="H118" s="263">
        <v>1</v>
      </c>
      <c r="I118" s="264">
        <v>44</v>
      </c>
      <c r="J118" s="311">
        <v>1252.53</v>
      </c>
      <c r="K118" s="312">
        <v>0</v>
      </c>
      <c r="L118" s="312">
        <v>0</v>
      </c>
      <c r="M118" s="522">
        <v>220</v>
      </c>
      <c r="N118" s="312">
        <v>0</v>
      </c>
      <c r="O118" s="522">
        <v>298.11</v>
      </c>
      <c r="P118" s="313">
        <f t="shared" si="4"/>
        <v>1174.42</v>
      </c>
    </row>
    <row r="119" spans="1:16" s="127" customFormat="1">
      <c r="A119" s="249" t="s">
        <v>462</v>
      </c>
      <c r="B119" s="250" t="s">
        <v>480</v>
      </c>
      <c r="C119" s="528">
        <v>11141755440</v>
      </c>
      <c r="D119" s="535" t="s">
        <v>910</v>
      </c>
      <c r="E119" s="238">
        <v>3</v>
      </c>
      <c r="F119" s="242" t="s">
        <v>911</v>
      </c>
      <c r="G119" s="241" t="s">
        <v>684</v>
      </c>
      <c r="H119" s="263">
        <v>2</v>
      </c>
      <c r="I119" s="264">
        <v>44</v>
      </c>
      <c r="J119" s="311">
        <v>2138.52</v>
      </c>
      <c r="K119" s="312">
        <v>0</v>
      </c>
      <c r="L119" s="312">
        <v>0</v>
      </c>
      <c r="M119" s="522">
        <v>220</v>
      </c>
      <c r="N119" s="312">
        <v>0</v>
      </c>
      <c r="O119" s="522">
        <v>262.24</v>
      </c>
      <c r="P119" s="313">
        <f t="shared" si="4"/>
        <v>2096.2799999999997</v>
      </c>
    </row>
    <row r="120" spans="1:16" s="127" customFormat="1">
      <c r="A120" s="249" t="s">
        <v>462</v>
      </c>
      <c r="B120" s="250" t="s">
        <v>480</v>
      </c>
      <c r="C120" s="528">
        <v>82203210400</v>
      </c>
      <c r="D120" s="535" t="s">
        <v>912</v>
      </c>
      <c r="E120" s="238">
        <v>2</v>
      </c>
      <c r="F120" s="242" t="s">
        <v>697</v>
      </c>
      <c r="G120" s="241" t="s">
        <v>684</v>
      </c>
      <c r="H120" s="263">
        <v>1</v>
      </c>
      <c r="I120" s="264">
        <v>44</v>
      </c>
      <c r="J120" s="311">
        <v>2090.16</v>
      </c>
      <c r="K120" s="312">
        <v>0</v>
      </c>
      <c r="L120" s="312">
        <v>0</v>
      </c>
      <c r="M120" s="522">
        <f>3619.36-2090.16</f>
        <v>1529.2000000000003</v>
      </c>
      <c r="N120" s="312">
        <v>0</v>
      </c>
      <c r="O120" s="522">
        <v>589.36</v>
      </c>
      <c r="P120" s="313">
        <f t="shared" si="4"/>
        <v>3030</v>
      </c>
    </row>
    <row r="121" spans="1:16" s="127" customFormat="1">
      <c r="A121" s="249" t="s">
        <v>462</v>
      </c>
      <c r="B121" s="250" t="s">
        <v>480</v>
      </c>
      <c r="C121" s="528" t="s">
        <v>913</v>
      </c>
      <c r="D121" s="535" t="s">
        <v>914</v>
      </c>
      <c r="E121" s="238">
        <v>3</v>
      </c>
      <c r="F121" s="242" t="s">
        <v>723</v>
      </c>
      <c r="G121" s="241" t="s">
        <v>684</v>
      </c>
      <c r="H121" s="263">
        <v>1</v>
      </c>
      <c r="I121" s="264">
        <v>44</v>
      </c>
      <c r="J121" s="311">
        <v>1136.42</v>
      </c>
      <c r="K121" s="312">
        <v>0</v>
      </c>
      <c r="L121" s="312">
        <v>0</v>
      </c>
      <c r="M121" s="522">
        <f>1716.71-1136.42</f>
        <v>580.29</v>
      </c>
      <c r="N121" s="312">
        <v>0</v>
      </c>
      <c r="O121" s="522">
        <v>154.78</v>
      </c>
      <c r="P121" s="313">
        <f t="shared" si="4"/>
        <v>1561.93</v>
      </c>
    </row>
    <row r="122" spans="1:16" s="127" customFormat="1">
      <c r="A122" s="249" t="s">
        <v>462</v>
      </c>
      <c r="B122" s="250" t="s">
        <v>480</v>
      </c>
      <c r="C122" s="528" t="s">
        <v>915</v>
      </c>
      <c r="D122" s="536" t="s">
        <v>916</v>
      </c>
      <c r="E122" s="238">
        <v>3</v>
      </c>
      <c r="F122" s="244" t="s">
        <v>761</v>
      </c>
      <c r="G122" s="241" t="s">
        <v>684</v>
      </c>
      <c r="H122" s="263">
        <v>1</v>
      </c>
      <c r="I122" s="264">
        <v>44</v>
      </c>
      <c r="J122" s="311">
        <v>1136.42</v>
      </c>
      <c r="K122" s="312">
        <v>0</v>
      </c>
      <c r="L122" s="312">
        <v>0</v>
      </c>
      <c r="M122" s="522">
        <f>1667.89-1136.42</f>
        <v>531.47</v>
      </c>
      <c r="N122" s="312">
        <v>0</v>
      </c>
      <c r="O122" s="522">
        <v>224.53</v>
      </c>
      <c r="P122" s="313">
        <f t="shared" si="4"/>
        <v>1443.3600000000001</v>
      </c>
    </row>
    <row r="123" spans="1:16" s="127" customFormat="1">
      <c r="A123" s="249" t="s">
        <v>462</v>
      </c>
      <c r="B123" s="250" t="s">
        <v>480</v>
      </c>
      <c r="C123" s="532">
        <v>50934384487</v>
      </c>
      <c r="D123" s="536" t="s">
        <v>917</v>
      </c>
      <c r="E123" s="239">
        <v>2</v>
      </c>
      <c r="F123" s="242" t="s">
        <v>709</v>
      </c>
      <c r="G123" s="241" t="s">
        <v>684</v>
      </c>
      <c r="H123" s="265">
        <v>1</v>
      </c>
      <c r="I123" s="266">
        <v>44</v>
      </c>
      <c r="J123" s="314">
        <v>2055.94</v>
      </c>
      <c r="K123" s="312">
        <v>0</v>
      </c>
      <c r="L123" s="312">
        <v>0</v>
      </c>
      <c r="M123" s="522">
        <f>2441.28-2055.94</f>
        <v>385.34000000000015</v>
      </c>
      <c r="N123" s="312">
        <v>0</v>
      </c>
      <c r="O123" s="522">
        <v>234.86</v>
      </c>
      <c r="P123" s="313">
        <f t="shared" si="4"/>
        <v>2206.42</v>
      </c>
    </row>
    <row r="124" spans="1:16" s="127" customFormat="1">
      <c r="A124" s="249" t="s">
        <v>462</v>
      </c>
      <c r="B124" s="250" t="s">
        <v>480</v>
      </c>
      <c r="C124" s="528" t="s">
        <v>918</v>
      </c>
      <c r="D124" s="535" t="s">
        <v>919</v>
      </c>
      <c r="E124" s="238">
        <v>2</v>
      </c>
      <c r="F124" s="242" t="s">
        <v>683</v>
      </c>
      <c r="G124" s="241" t="s">
        <v>684</v>
      </c>
      <c r="H124" s="263">
        <v>1</v>
      </c>
      <c r="I124" s="264">
        <v>44</v>
      </c>
      <c r="J124" s="311">
        <v>1252.53</v>
      </c>
      <c r="K124" s="312">
        <v>0</v>
      </c>
      <c r="L124" s="312">
        <v>0</v>
      </c>
      <c r="M124" s="522">
        <f>1810.67-1252.53</f>
        <v>558.1400000000001</v>
      </c>
      <c r="N124" s="312">
        <v>0</v>
      </c>
      <c r="O124" s="522">
        <v>246.66</v>
      </c>
      <c r="P124" s="313">
        <f t="shared" si="4"/>
        <v>1564.01</v>
      </c>
    </row>
    <row r="125" spans="1:16" s="127" customFormat="1">
      <c r="A125" s="249" t="s">
        <v>462</v>
      </c>
      <c r="B125" s="250" t="s">
        <v>480</v>
      </c>
      <c r="C125" s="528" t="s">
        <v>920</v>
      </c>
      <c r="D125" s="535" t="s">
        <v>921</v>
      </c>
      <c r="E125" s="238">
        <v>2</v>
      </c>
      <c r="F125" s="244" t="s">
        <v>714</v>
      </c>
      <c r="G125" s="241" t="s">
        <v>684</v>
      </c>
      <c r="H125" s="263">
        <v>1</v>
      </c>
      <c r="I125" s="264">
        <v>44</v>
      </c>
      <c r="J125" s="311">
        <v>1248.83</v>
      </c>
      <c r="K125" s="312">
        <v>0</v>
      </c>
      <c r="L125" s="312">
        <v>0</v>
      </c>
      <c r="M125" s="522">
        <f>1780.6-1248.83</f>
        <v>531.77</v>
      </c>
      <c r="N125" s="312">
        <v>0</v>
      </c>
      <c r="O125" s="522">
        <v>168.73</v>
      </c>
      <c r="P125" s="313">
        <f t="shared" ref="P125:P136" si="5">SUM(J125:N125)-O125</f>
        <v>1611.87</v>
      </c>
    </row>
    <row r="126" spans="1:16" s="127" customFormat="1">
      <c r="A126" s="249" t="s">
        <v>462</v>
      </c>
      <c r="B126" s="250" t="s">
        <v>480</v>
      </c>
      <c r="C126" s="528" t="s">
        <v>922</v>
      </c>
      <c r="D126" s="535" t="s">
        <v>923</v>
      </c>
      <c r="E126" s="238">
        <v>2</v>
      </c>
      <c r="F126" s="244" t="s">
        <v>740</v>
      </c>
      <c r="G126" s="241" t="s">
        <v>684</v>
      </c>
      <c r="H126" s="263">
        <v>1</v>
      </c>
      <c r="I126" s="264">
        <v>44</v>
      </c>
      <c r="J126" s="311">
        <v>3209.67</v>
      </c>
      <c r="K126" s="312">
        <v>0</v>
      </c>
      <c r="L126" s="312">
        <v>0</v>
      </c>
      <c r="M126" s="522">
        <f>3980.95-3209.67</f>
        <v>771.27999999999975</v>
      </c>
      <c r="N126" s="312">
        <v>0</v>
      </c>
      <c r="O126" s="522">
        <v>605.71</v>
      </c>
      <c r="P126" s="313">
        <f t="shared" ref="P126" si="6">SUM(J126:N126)-O126</f>
        <v>3375.24</v>
      </c>
    </row>
    <row r="127" spans="1:16" s="127" customFormat="1">
      <c r="A127" s="249" t="s">
        <v>462</v>
      </c>
      <c r="B127" s="250" t="s">
        <v>480</v>
      </c>
      <c r="C127" s="528" t="s">
        <v>924</v>
      </c>
      <c r="D127" s="536" t="s">
        <v>925</v>
      </c>
      <c r="E127" s="238">
        <v>2</v>
      </c>
      <c r="F127" s="242" t="s">
        <v>709</v>
      </c>
      <c r="G127" s="241" t="s">
        <v>684</v>
      </c>
      <c r="H127" s="263">
        <v>1</v>
      </c>
      <c r="I127" s="264">
        <v>44</v>
      </c>
      <c r="J127" s="311">
        <v>1272.05</v>
      </c>
      <c r="K127" s="312">
        <v>0</v>
      </c>
      <c r="L127" s="312">
        <v>0</v>
      </c>
      <c r="M127" s="522">
        <f>2311.29-1272.05</f>
        <v>1039.24</v>
      </c>
      <c r="N127" s="312">
        <v>0</v>
      </c>
      <c r="O127" s="522">
        <v>213.11</v>
      </c>
      <c r="P127" s="313">
        <f t="shared" si="5"/>
        <v>2098.1799999999998</v>
      </c>
    </row>
    <row r="128" spans="1:16" s="127" customFormat="1">
      <c r="A128" s="249" t="s">
        <v>462</v>
      </c>
      <c r="B128" s="250" t="s">
        <v>480</v>
      </c>
      <c r="C128" s="528" t="s">
        <v>926</v>
      </c>
      <c r="D128" s="535" t="s">
        <v>927</v>
      </c>
      <c r="E128" s="238">
        <v>2</v>
      </c>
      <c r="F128" s="244" t="s">
        <v>740</v>
      </c>
      <c r="G128" s="241" t="s">
        <v>684</v>
      </c>
      <c r="H128" s="264">
        <v>1</v>
      </c>
      <c r="I128" s="264">
        <v>44</v>
      </c>
      <c r="J128" s="311">
        <v>3209.67</v>
      </c>
      <c r="K128" s="312">
        <v>0</v>
      </c>
      <c r="L128" s="312">
        <v>0</v>
      </c>
      <c r="M128" s="522">
        <v>220</v>
      </c>
      <c r="N128" s="312">
        <v>0</v>
      </c>
      <c r="O128" s="522">
        <v>457.42</v>
      </c>
      <c r="P128" s="313">
        <f t="shared" si="5"/>
        <v>2972.25</v>
      </c>
    </row>
    <row r="129" spans="1:16" s="127" customFormat="1">
      <c r="A129" s="249" t="s">
        <v>462</v>
      </c>
      <c r="B129" s="250" t="s">
        <v>480</v>
      </c>
      <c r="C129" s="528" t="s">
        <v>928</v>
      </c>
      <c r="D129" s="535" t="s">
        <v>929</v>
      </c>
      <c r="E129" s="238">
        <v>2</v>
      </c>
      <c r="F129" s="242" t="s">
        <v>683</v>
      </c>
      <c r="G129" s="241" t="s">
        <v>684</v>
      </c>
      <c r="H129" s="264">
        <v>1</v>
      </c>
      <c r="I129" s="264">
        <v>44</v>
      </c>
      <c r="J129" s="311">
        <v>1252.53</v>
      </c>
      <c r="K129" s="312">
        <v>0</v>
      </c>
      <c r="L129" s="312">
        <v>0</v>
      </c>
      <c r="M129" s="522">
        <f>1641.19-1252.53</f>
        <v>388.66000000000008</v>
      </c>
      <c r="N129" s="312">
        <v>0</v>
      </c>
      <c r="O129" s="522">
        <v>216.22</v>
      </c>
      <c r="P129" s="313">
        <f t="shared" si="5"/>
        <v>1424.97</v>
      </c>
    </row>
    <row r="130" spans="1:16" s="127" customFormat="1">
      <c r="A130" s="249" t="s">
        <v>462</v>
      </c>
      <c r="B130" s="250" t="s">
        <v>480</v>
      </c>
      <c r="C130" s="528" t="s">
        <v>931</v>
      </c>
      <c r="D130" s="535" t="s">
        <v>932</v>
      </c>
      <c r="E130" s="238">
        <v>3</v>
      </c>
      <c r="F130" s="242" t="s">
        <v>723</v>
      </c>
      <c r="G130" s="241" t="s">
        <v>684</v>
      </c>
      <c r="H130" s="264">
        <v>1</v>
      </c>
      <c r="I130" s="264">
        <v>44</v>
      </c>
      <c r="J130" s="311">
        <v>1136.42</v>
      </c>
      <c r="K130" s="312">
        <v>0</v>
      </c>
      <c r="L130" s="312">
        <v>0</v>
      </c>
      <c r="M130" s="522">
        <f>1491.11-1136.42</f>
        <v>354.68999999999983</v>
      </c>
      <c r="N130" s="312">
        <v>0</v>
      </c>
      <c r="O130" s="522">
        <v>198.05</v>
      </c>
      <c r="P130" s="313">
        <f t="shared" si="5"/>
        <v>1293.06</v>
      </c>
    </row>
    <row r="131" spans="1:16" s="127" customFormat="1">
      <c r="A131" s="249" t="s">
        <v>462</v>
      </c>
      <c r="B131" s="250" t="s">
        <v>480</v>
      </c>
      <c r="C131" s="528" t="s">
        <v>933</v>
      </c>
      <c r="D131" s="535" t="s">
        <v>934</v>
      </c>
      <c r="E131" s="238">
        <v>3</v>
      </c>
      <c r="F131" s="244" t="s">
        <v>935</v>
      </c>
      <c r="G131" s="241" t="s">
        <v>684</v>
      </c>
      <c r="H131" s="264">
        <v>1</v>
      </c>
      <c r="I131" s="264">
        <v>44</v>
      </c>
      <c r="J131" s="311">
        <v>1136.42</v>
      </c>
      <c r="K131" s="312">
        <v>0</v>
      </c>
      <c r="L131" s="312">
        <v>0</v>
      </c>
      <c r="M131" s="522">
        <f>1473.81-1136.42</f>
        <v>337.38999999999987</v>
      </c>
      <c r="N131" s="312">
        <v>0</v>
      </c>
      <c r="O131" s="522">
        <v>196.49</v>
      </c>
      <c r="P131" s="313">
        <f t="shared" si="5"/>
        <v>1277.32</v>
      </c>
    </row>
    <row r="132" spans="1:16" s="127" customFormat="1">
      <c r="A132" s="249" t="s">
        <v>462</v>
      </c>
      <c r="B132" s="250" t="s">
        <v>480</v>
      </c>
      <c r="C132" s="528" t="s">
        <v>936</v>
      </c>
      <c r="D132" s="535" t="s">
        <v>937</v>
      </c>
      <c r="E132" s="238">
        <v>2</v>
      </c>
      <c r="F132" s="242" t="s">
        <v>683</v>
      </c>
      <c r="G132" s="241" t="s">
        <v>684</v>
      </c>
      <c r="H132" s="264">
        <v>1</v>
      </c>
      <c r="I132" s="264">
        <v>44</v>
      </c>
      <c r="J132" s="311">
        <v>1252.53</v>
      </c>
      <c r="K132" s="312">
        <v>0</v>
      </c>
      <c r="L132" s="312">
        <v>0</v>
      </c>
      <c r="M132" s="522">
        <f>1523.8-1252.53</f>
        <v>271.27</v>
      </c>
      <c r="N132" s="312">
        <v>0</v>
      </c>
      <c r="O132" s="522">
        <v>216.22</v>
      </c>
      <c r="P132" s="313">
        <f t="shared" si="5"/>
        <v>1307.58</v>
      </c>
    </row>
    <row r="133" spans="1:16" s="127" customFormat="1">
      <c r="A133" s="249" t="s">
        <v>462</v>
      </c>
      <c r="B133" s="250" t="s">
        <v>480</v>
      </c>
      <c r="C133" s="528">
        <v>76931382420</v>
      </c>
      <c r="D133" s="535" t="s">
        <v>938</v>
      </c>
      <c r="E133" s="238">
        <v>2</v>
      </c>
      <c r="F133" s="242" t="s">
        <v>709</v>
      </c>
      <c r="G133" s="241" t="s">
        <v>684</v>
      </c>
      <c r="H133" s="264">
        <v>1</v>
      </c>
      <c r="I133" s="264">
        <v>44</v>
      </c>
      <c r="J133" s="311">
        <v>1908.07</v>
      </c>
      <c r="K133" s="312">
        <v>0</v>
      </c>
      <c r="L133" s="312">
        <v>0</v>
      </c>
      <c r="M133" s="522">
        <f>2616.45-1908.07</f>
        <v>708.37999999999988</v>
      </c>
      <c r="N133" s="312">
        <v>0</v>
      </c>
      <c r="O133" s="522">
        <v>233.79</v>
      </c>
      <c r="P133" s="313">
        <f t="shared" si="5"/>
        <v>2382.66</v>
      </c>
    </row>
    <row r="134" spans="1:16" s="127" customFormat="1">
      <c r="A134" s="249" t="s">
        <v>462</v>
      </c>
      <c r="B134" s="250" t="s">
        <v>480</v>
      </c>
      <c r="C134" s="528" t="s">
        <v>939</v>
      </c>
      <c r="D134" s="535" t="s">
        <v>945</v>
      </c>
      <c r="E134" s="238">
        <v>2</v>
      </c>
      <c r="F134" s="242" t="s">
        <v>683</v>
      </c>
      <c r="G134" s="241" t="s">
        <v>684</v>
      </c>
      <c r="H134" s="263">
        <v>1</v>
      </c>
      <c r="I134" s="264">
        <v>44</v>
      </c>
      <c r="J134" s="311">
        <v>1252.53</v>
      </c>
      <c r="K134" s="312">
        <v>0</v>
      </c>
      <c r="L134" s="312">
        <v>0</v>
      </c>
      <c r="M134" s="522">
        <v>220</v>
      </c>
      <c r="N134" s="312">
        <v>0</v>
      </c>
      <c r="O134" s="522">
        <v>216.22</v>
      </c>
      <c r="P134" s="313">
        <f t="shared" ref="P134" si="7">SUM(J134:N134)-O134</f>
        <v>1256.31</v>
      </c>
    </row>
    <row r="135" spans="1:16" s="127" customFormat="1">
      <c r="A135" s="249" t="s">
        <v>462</v>
      </c>
      <c r="B135" s="250" t="s">
        <v>480</v>
      </c>
      <c r="C135" s="528" t="s">
        <v>941</v>
      </c>
      <c r="D135" s="535" t="s">
        <v>942</v>
      </c>
      <c r="E135" s="238">
        <v>2</v>
      </c>
      <c r="F135" s="242" t="s">
        <v>683</v>
      </c>
      <c r="G135" s="241" t="s">
        <v>684</v>
      </c>
      <c r="H135" s="264">
        <v>1</v>
      </c>
      <c r="I135" s="264">
        <v>44</v>
      </c>
      <c r="J135" s="311">
        <v>1252.53</v>
      </c>
      <c r="K135" s="312">
        <v>0</v>
      </c>
      <c r="L135" s="312">
        <v>0</v>
      </c>
      <c r="M135" s="522">
        <f>1491.31-1252.53</f>
        <v>238.77999999999997</v>
      </c>
      <c r="N135" s="312">
        <v>0</v>
      </c>
      <c r="O135" s="522">
        <v>217.91</v>
      </c>
      <c r="P135" s="313">
        <f t="shared" si="5"/>
        <v>1273.3999999999999</v>
      </c>
    </row>
    <row r="136" spans="1:16" s="127" customFormat="1">
      <c r="A136" s="249" t="s">
        <v>462</v>
      </c>
      <c r="B136" s="250" t="s">
        <v>480</v>
      </c>
      <c r="C136" s="528">
        <v>89866681491</v>
      </c>
      <c r="D136" s="535" t="s">
        <v>943</v>
      </c>
      <c r="E136" s="238">
        <v>2</v>
      </c>
      <c r="F136" s="242" t="s">
        <v>683</v>
      </c>
      <c r="G136" s="241" t="s">
        <v>684</v>
      </c>
      <c r="H136" s="264">
        <v>1</v>
      </c>
      <c r="I136" s="264">
        <v>44</v>
      </c>
      <c r="J136" s="311">
        <v>1252.53</v>
      </c>
      <c r="K136" s="312">
        <v>0</v>
      </c>
      <c r="L136" s="312">
        <v>0</v>
      </c>
      <c r="M136" s="522">
        <v>220</v>
      </c>
      <c r="N136" s="312">
        <v>0</v>
      </c>
      <c r="O136" s="522">
        <v>216.22</v>
      </c>
      <c r="P136" s="313">
        <f t="shared" si="5"/>
        <v>1256.31</v>
      </c>
    </row>
    <row r="137" spans="1:16" s="127" customFormat="1">
      <c r="A137" s="255"/>
      <c r="B137" s="256"/>
      <c r="C137" s="255"/>
      <c r="D137" s="257"/>
      <c r="E137" s="258"/>
      <c r="F137" s="255"/>
      <c r="G137" s="255"/>
      <c r="H137" s="255"/>
      <c r="I137" s="255"/>
      <c r="J137" s="267"/>
      <c r="K137" s="267"/>
      <c r="L137" s="267"/>
      <c r="M137" s="267"/>
      <c r="N137" s="267"/>
      <c r="O137" s="267"/>
      <c r="P137" s="268"/>
    </row>
    <row r="138" spans="1:16" s="127" customFormat="1">
      <c r="A138" s="255"/>
      <c r="B138" s="256"/>
      <c r="C138" s="255"/>
      <c r="D138" s="257"/>
      <c r="E138" s="258"/>
      <c r="F138" s="255"/>
      <c r="G138" s="255"/>
      <c r="H138" s="255"/>
      <c r="I138" s="255"/>
      <c r="J138" s="267"/>
      <c r="K138" s="267"/>
      <c r="L138" s="267"/>
      <c r="M138" s="267"/>
      <c r="N138" s="267"/>
      <c r="O138" s="267"/>
      <c r="P138" s="268"/>
    </row>
    <row r="139" spans="1:16" s="127" customFormat="1">
      <c r="A139" s="255"/>
      <c r="B139" s="256"/>
      <c r="C139" s="255"/>
      <c r="D139" s="257"/>
      <c r="E139" s="258"/>
      <c r="F139" s="255"/>
      <c r="G139" s="255"/>
      <c r="H139" s="255"/>
      <c r="I139" s="255"/>
      <c r="J139" s="267"/>
      <c r="K139" s="267"/>
      <c r="L139" s="267"/>
      <c r="M139" s="267"/>
      <c r="N139" s="267"/>
      <c r="O139" s="267"/>
      <c r="P139" s="268"/>
    </row>
    <row r="140" spans="1:16" s="127" customFormat="1">
      <c r="A140" s="255"/>
      <c r="B140" s="256"/>
      <c r="C140" s="255"/>
      <c r="D140" s="257"/>
      <c r="E140" s="258"/>
      <c r="F140" s="255"/>
      <c r="G140" s="255"/>
      <c r="H140" s="255"/>
      <c r="I140" s="255"/>
      <c r="J140" s="267"/>
      <c r="K140" s="267"/>
      <c r="L140" s="267"/>
      <c r="M140" s="267"/>
      <c r="N140" s="267"/>
      <c r="O140" s="267"/>
      <c r="P140" s="268"/>
    </row>
    <row r="141" spans="1:16" s="127" customFormat="1">
      <c r="A141" s="255"/>
      <c r="B141" s="256"/>
      <c r="C141" s="255"/>
      <c r="D141" s="257"/>
      <c r="E141" s="258"/>
      <c r="F141" s="255"/>
      <c r="G141" s="255"/>
      <c r="H141" s="255"/>
      <c r="I141" s="255"/>
      <c r="J141" s="267"/>
      <c r="K141" s="267"/>
      <c r="L141" s="267"/>
      <c r="M141" s="267"/>
      <c r="N141" s="267"/>
      <c r="O141" s="267"/>
      <c r="P141" s="268"/>
    </row>
    <row r="142" spans="1:16" s="127" customFormat="1">
      <c r="A142" s="255"/>
      <c r="B142" s="256"/>
      <c r="C142" s="255"/>
      <c r="D142" s="257"/>
      <c r="E142" s="258"/>
      <c r="F142" s="255"/>
      <c r="G142" s="255"/>
      <c r="H142" s="255"/>
      <c r="I142" s="255"/>
      <c r="J142" s="267"/>
      <c r="K142" s="267"/>
      <c r="L142" s="267"/>
      <c r="M142" s="267"/>
      <c r="N142" s="267"/>
      <c r="O142" s="267"/>
      <c r="P142" s="268"/>
    </row>
    <row r="143" spans="1:16" s="127" customFormat="1">
      <c r="A143" s="255"/>
      <c r="B143" s="256"/>
      <c r="C143" s="255"/>
      <c r="D143" s="254"/>
      <c r="E143" s="258"/>
      <c r="F143" s="255"/>
      <c r="G143" s="255"/>
      <c r="H143" s="255"/>
      <c r="I143" s="255"/>
      <c r="J143" s="267"/>
      <c r="K143" s="267"/>
      <c r="L143" s="267"/>
      <c r="M143" s="267"/>
      <c r="N143" s="267"/>
      <c r="O143" s="267"/>
      <c r="P143" s="268"/>
    </row>
    <row r="144" spans="1:16" s="127" customFormat="1">
      <c r="A144" s="255"/>
      <c r="B144" s="256"/>
      <c r="C144" s="255"/>
      <c r="D144" s="257"/>
      <c r="E144" s="259"/>
      <c r="F144" s="255"/>
      <c r="G144" s="255"/>
      <c r="H144" s="255"/>
      <c r="I144" s="255"/>
      <c r="J144" s="267"/>
      <c r="K144" s="267"/>
      <c r="L144" s="267"/>
      <c r="M144" s="267"/>
      <c r="N144" s="267"/>
      <c r="O144" s="267"/>
      <c r="P144" s="268"/>
    </row>
    <row r="145" spans="1:16" s="127" customFormat="1">
      <c r="A145" s="255"/>
      <c r="B145" s="256"/>
      <c r="C145" s="255"/>
      <c r="D145" s="257"/>
      <c r="E145" s="258"/>
      <c r="F145" s="255"/>
      <c r="G145" s="255"/>
      <c r="H145" s="255"/>
      <c r="I145" s="255"/>
      <c r="J145" s="267"/>
      <c r="K145" s="267"/>
      <c r="L145" s="267"/>
      <c r="M145" s="267"/>
      <c r="N145" s="267"/>
      <c r="O145" s="267"/>
      <c r="P145" s="268"/>
    </row>
    <row r="146" spans="1:16" s="127" customFormat="1">
      <c r="A146" s="255"/>
      <c r="B146" s="256"/>
      <c r="C146" s="255"/>
      <c r="D146" s="257"/>
      <c r="E146" s="258"/>
      <c r="F146" s="255"/>
      <c r="G146" s="255"/>
      <c r="H146" s="255"/>
      <c r="I146" s="255"/>
      <c r="J146" s="267"/>
      <c r="K146" s="267"/>
      <c r="L146" s="267"/>
      <c r="M146" s="267"/>
      <c r="N146" s="267"/>
      <c r="O146" s="267"/>
      <c r="P146" s="268"/>
    </row>
    <row r="147" spans="1:16" s="127" customFormat="1">
      <c r="A147" s="255"/>
      <c r="B147" s="256"/>
      <c r="C147" s="255"/>
      <c r="D147" s="257"/>
      <c r="E147" s="258"/>
      <c r="F147" s="255"/>
      <c r="G147" s="255"/>
      <c r="H147" s="255"/>
      <c r="I147" s="255"/>
      <c r="J147" s="267"/>
      <c r="K147" s="267"/>
      <c r="L147" s="267"/>
      <c r="M147" s="267"/>
      <c r="N147" s="267"/>
      <c r="O147" s="267"/>
      <c r="P147" s="268"/>
    </row>
    <row r="148" spans="1:16" s="127" customFormat="1">
      <c r="A148" s="255"/>
      <c r="B148" s="256"/>
      <c r="C148" s="255"/>
      <c r="D148" s="254"/>
      <c r="E148" s="258"/>
      <c r="F148" s="255"/>
      <c r="G148" s="255"/>
      <c r="H148" s="255"/>
      <c r="I148" s="255"/>
      <c r="J148" s="267"/>
      <c r="K148" s="267"/>
      <c r="L148" s="267"/>
      <c r="M148" s="267"/>
      <c r="N148" s="267"/>
      <c r="O148" s="267"/>
      <c r="P148" s="268"/>
    </row>
    <row r="149" spans="1:16" s="127" customFormat="1">
      <c r="A149" s="255"/>
      <c r="B149" s="256"/>
      <c r="C149" s="255"/>
      <c r="D149" s="254"/>
      <c r="E149" s="258"/>
      <c r="F149" s="255"/>
      <c r="G149" s="255"/>
      <c r="H149" s="255"/>
      <c r="I149" s="255"/>
      <c r="J149" s="267"/>
      <c r="K149" s="267"/>
      <c r="L149" s="267"/>
      <c r="M149" s="267"/>
      <c r="N149" s="267"/>
      <c r="O149" s="267"/>
      <c r="P149" s="268"/>
    </row>
    <row r="150" spans="1:16" s="127" customFormat="1">
      <c r="A150" s="255"/>
      <c r="B150" s="256"/>
      <c r="C150" s="255"/>
      <c r="D150" s="257"/>
      <c r="E150" s="259"/>
      <c r="F150" s="255"/>
      <c r="G150" s="255"/>
      <c r="H150" s="255"/>
      <c r="I150" s="255"/>
      <c r="J150" s="267"/>
      <c r="K150" s="267"/>
      <c r="L150" s="267"/>
      <c r="M150" s="267"/>
      <c r="N150" s="267"/>
      <c r="O150" s="267"/>
      <c r="P150" s="268"/>
    </row>
    <row r="151" spans="1:16" s="127" customFormat="1">
      <c r="A151" s="255"/>
      <c r="B151" s="256"/>
      <c r="C151" s="255"/>
      <c r="D151" s="257"/>
      <c r="E151" s="258"/>
      <c r="F151" s="255"/>
      <c r="G151" s="255"/>
      <c r="H151" s="255"/>
      <c r="I151" s="255"/>
      <c r="J151" s="267"/>
      <c r="K151" s="267"/>
      <c r="L151" s="267"/>
      <c r="M151" s="267"/>
      <c r="N151" s="267"/>
      <c r="O151" s="267"/>
      <c r="P151" s="268"/>
    </row>
    <row r="152" spans="1:16" s="128" customFormat="1">
      <c r="A152" s="255"/>
      <c r="B152" s="256"/>
      <c r="C152" s="255"/>
      <c r="D152" s="257"/>
      <c r="E152" s="258"/>
      <c r="F152" s="255"/>
      <c r="G152" s="255"/>
      <c r="H152" s="255"/>
      <c r="I152" s="255"/>
      <c r="J152" s="267"/>
      <c r="K152" s="267"/>
      <c r="L152" s="267"/>
      <c r="M152" s="267"/>
      <c r="N152" s="267"/>
      <c r="O152" s="267"/>
      <c r="P152" s="268"/>
    </row>
    <row r="153" spans="1:16" s="127" customFormat="1">
      <c r="A153" s="255"/>
      <c r="B153" s="256"/>
      <c r="C153" s="255"/>
      <c r="D153" s="257"/>
      <c r="E153" s="258"/>
      <c r="F153" s="255"/>
      <c r="G153" s="255"/>
      <c r="H153" s="255"/>
      <c r="I153" s="255"/>
      <c r="J153" s="267"/>
      <c r="K153" s="267"/>
      <c r="L153" s="267"/>
      <c r="M153" s="267"/>
      <c r="N153" s="267"/>
      <c r="O153" s="267"/>
      <c r="P153" s="268"/>
    </row>
    <row r="154" spans="1:16" s="127" customFormat="1">
      <c r="A154" s="255"/>
      <c r="B154" s="256"/>
      <c r="C154" s="255"/>
      <c r="D154" s="257"/>
      <c r="E154" s="259"/>
      <c r="F154" s="255"/>
      <c r="G154" s="255"/>
      <c r="H154" s="255"/>
      <c r="I154" s="255"/>
      <c r="J154" s="267"/>
      <c r="K154" s="267"/>
      <c r="L154" s="267"/>
      <c r="M154" s="267"/>
      <c r="N154" s="267"/>
      <c r="O154" s="267"/>
      <c r="P154" s="268"/>
    </row>
    <row r="155" spans="1:16" s="127" customFormat="1">
      <c r="A155" s="255"/>
      <c r="B155" s="256"/>
      <c r="C155" s="255"/>
      <c r="D155" s="257"/>
      <c r="E155" s="259"/>
      <c r="F155" s="255"/>
      <c r="G155" s="255"/>
      <c r="H155" s="255"/>
      <c r="I155" s="255"/>
      <c r="J155" s="267"/>
      <c r="K155" s="267"/>
      <c r="L155" s="267"/>
      <c r="M155" s="267"/>
      <c r="N155" s="267"/>
      <c r="O155" s="267"/>
      <c r="P155" s="268"/>
    </row>
    <row r="156" spans="1:16" s="127" customFormat="1">
      <c r="A156" s="255"/>
      <c r="B156" s="256"/>
      <c r="C156" s="255"/>
      <c r="D156" s="257"/>
      <c r="E156" s="258"/>
      <c r="F156" s="255"/>
      <c r="G156" s="255"/>
      <c r="H156" s="255"/>
      <c r="I156" s="255"/>
      <c r="J156" s="267"/>
      <c r="K156" s="267"/>
      <c r="L156" s="267"/>
      <c r="M156" s="267"/>
      <c r="N156" s="267"/>
      <c r="O156" s="267"/>
      <c r="P156" s="268"/>
    </row>
    <row r="157" spans="1:16" s="127" customFormat="1">
      <c r="A157" s="255"/>
      <c r="B157" s="256"/>
      <c r="C157" s="255"/>
      <c r="D157" s="257"/>
      <c r="E157" s="260"/>
      <c r="F157" s="255"/>
      <c r="G157" s="255"/>
      <c r="H157" s="255"/>
      <c r="I157" s="255"/>
      <c r="J157" s="267"/>
      <c r="K157" s="267"/>
      <c r="L157" s="267"/>
      <c r="M157" s="267"/>
      <c r="N157" s="267"/>
      <c r="O157" s="267"/>
      <c r="P157" s="268"/>
    </row>
    <row r="158" spans="1:16" s="127" customFormat="1">
      <c r="A158" s="255"/>
      <c r="B158" s="256"/>
      <c r="C158" s="255"/>
      <c r="D158" s="257"/>
      <c r="E158" s="260"/>
      <c r="F158" s="255"/>
      <c r="G158" s="255"/>
      <c r="H158" s="255"/>
      <c r="I158" s="255"/>
      <c r="J158" s="267"/>
      <c r="K158" s="267"/>
      <c r="L158" s="267"/>
      <c r="M158" s="267"/>
      <c r="N158" s="267"/>
      <c r="O158" s="267"/>
      <c r="P158" s="268"/>
    </row>
    <row r="159" spans="1:16" s="127" customFormat="1">
      <c r="A159" s="255"/>
      <c r="B159" s="256"/>
      <c r="C159" s="255"/>
      <c r="D159" s="257"/>
      <c r="E159" s="258"/>
      <c r="F159" s="255"/>
      <c r="G159" s="255"/>
      <c r="H159" s="255"/>
      <c r="I159" s="255"/>
      <c r="J159" s="267"/>
      <c r="K159" s="267"/>
      <c r="L159" s="267"/>
      <c r="M159" s="267"/>
      <c r="N159" s="267"/>
      <c r="O159" s="267"/>
      <c r="P159" s="268"/>
    </row>
    <row r="160" spans="1:16" s="127" customFormat="1">
      <c r="A160" s="255"/>
      <c r="B160" s="256"/>
      <c r="C160" s="255"/>
      <c r="D160" s="257"/>
      <c r="E160" s="258"/>
      <c r="F160" s="255"/>
      <c r="G160" s="255"/>
      <c r="H160" s="255"/>
      <c r="I160" s="255"/>
      <c r="J160" s="267"/>
      <c r="K160" s="267"/>
      <c r="L160" s="267"/>
      <c r="M160" s="267"/>
      <c r="N160" s="267"/>
      <c r="O160" s="267"/>
      <c r="P160" s="268"/>
    </row>
    <row r="161" spans="1:16" s="127" customFormat="1">
      <c r="A161" s="255"/>
      <c r="B161" s="256"/>
      <c r="C161" s="255"/>
      <c r="D161" s="257"/>
      <c r="E161" s="258"/>
      <c r="F161" s="255"/>
      <c r="G161" s="255"/>
      <c r="H161" s="255"/>
      <c r="I161" s="255"/>
      <c r="J161" s="267"/>
      <c r="K161" s="267"/>
      <c r="L161" s="267"/>
      <c r="M161" s="267"/>
      <c r="N161" s="267"/>
      <c r="O161" s="267"/>
      <c r="P161" s="268"/>
    </row>
    <row r="162" spans="1:16" s="127" customFormat="1">
      <c r="A162" s="255"/>
      <c r="B162" s="256"/>
      <c r="C162" s="255"/>
      <c r="D162" s="257"/>
      <c r="E162" s="258"/>
      <c r="F162" s="255"/>
      <c r="G162" s="255"/>
      <c r="H162" s="255"/>
      <c r="I162" s="255"/>
      <c r="J162" s="267"/>
      <c r="K162" s="267"/>
      <c r="L162" s="267"/>
      <c r="M162" s="267"/>
      <c r="N162" s="267"/>
      <c r="O162" s="267"/>
      <c r="P162" s="268"/>
    </row>
    <row r="163" spans="1:16" s="127" customFormat="1">
      <c r="A163" s="255"/>
      <c r="B163" s="256"/>
      <c r="C163" s="255"/>
      <c r="D163" s="257"/>
      <c r="E163" s="258"/>
      <c r="F163" s="255"/>
      <c r="G163" s="255"/>
      <c r="H163" s="255"/>
      <c r="I163" s="255"/>
      <c r="J163" s="267"/>
      <c r="K163" s="267"/>
      <c r="L163" s="267"/>
      <c r="M163" s="267"/>
      <c r="N163" s="267"/>
      <c r="O163" s="267"/>
      <c r="P163" s="268"/>
    </row>
    <row r="164" spans="1:16" s="127" customFormat="1">
      <c r="A164" s="255"/>
      <c r="B164" s="256"/>
      <c r="C164" s="255"/>
      <c r="D164" s="257"/>
      <c r="E164" s="258"/>
      <c r="F164" s="255"/>
      <c r="G164" s="255"/>
      <c r="H164" s="255"/>
      <c r="I164" s="255"/>
      <c r="J164" s="267"/>
      <c r="K164" s="267"/>
      <c r="L164" s="267"/>
      <c r="M164" s="267"/>
      <c r="N164" s="267"/>
      <c r="O164" s="267"/>
      <c r="P164" s="268"/>
    </row>
    <row r="165" spans="1:16" s="127" customFormat="1">
      <c r="A165" s="255"/>
      <c r="B165" s="256"/>
      <c r="C165" s="255"/>
      <c r="D165" s="257"/>
      <c r="E165" s="258"/>
      <c r="F165" s="255"/>
      <c r="G165" s="255"/>
      <c r="H165" s="255"/>
      <c r="I165" s="255"/>
      <c r="J165" s="267"/>
      <c r="K165" s="267"/>
      <c r="L165" s="267"/>
      <c r="M165" s="267"/>
      <c r="N165" s="267"/>
      <c r="O165" s="267"/>
      <c r="P165" s="268"/>
    </row>
    <row r="166" spans="1:16" s="127" customFormat="1">
      <c r="A166" s="255"/>
      <c r="B166" s="256"/>
      <c r="C166" s="255"/>
      <c r="D166" s="257"/>
      <c r="E166" s="258"/>
      <c r="F166" s="255"/>
      <c r="G166" s="255"/>
      <c r="H166" s="255"/>
      <c r="I166" s="255"/>
      <c r="J166" s="267"/>
      <c r="K166" s="267"/>
      <c r="L166" s="267"/>
      <c r="M166" s="267"/>
      <c r="N166" s="267"/>
      <c r="O166" s="267"/>
      <c r="P166" s="268"/>
    </row>
    <row r="167" spans="1:16" s="127" customFormat="1">
      <c r="A167" s="255"/>
      <c r="B167" s="256"/>
      <c r="C167" s="255"/>
      <c r="D167" s="257"/>
      <c r="E167" s="258"/>
      <c r="F167" s="255"/>
      <c r="G167" s="255"/>
      <c r="H167" s="255"/>
      <c r="I167" s="255"/>
      <c r="J167" s="267"/>
      <c r="K167" s="267"/>
      <c r="L167" s="267"/>
      <c r="M167" s="267"/>
      <c r="N167" s="267"/>
      <c r="O167" s="267"/>
      <c r="P167" s="268"/>
    </row>
    <row r="168" spans="1:16" s="127" customFormat="1">
      <c r="A168" s="255"/>
      <c r="B168" s="256"/>
      <c r="C168" s="255"/>
      <c r="D168" s="257"/>
      <c r="E168" s="258"/>
      <c r="F168" s="255"/>
      <c r="G168" s="255"/>
      <c r="H168" s="255"/>
      <c r="I168" s="255"/>
      <c r="J168" s="267"/>
      <c r="K168" s="267"/>
      <c r="L168" s="267"/>
      <c r="M168" s="267"/>
      <c r="N168" s="267"/>
      <c r="O168" s="267"/>
      <c r="P168" s="268"/>
    </row>
    <row r="169" spans="1:16" s="127" customFormat="1">
      <c r="A169" s="255"/>
      <c r="B169" s="256"/>
      <c r="C169" s="255"/>
      <c r="D169" s="257"/>
      <c r="E169" s="260"/>
      <c r="F169" s="255"/>
      <c r="G169" s="255"/>
      <c r="H169" s="255"/>
      <c r="I169" s="255"/>
      <c r="J169" s="267"/>
      <c r="K169" s="267"/>
      <c r="L169" s="267"/>
      <c r="M169" s="267"/>
      <c r="N169" s="267"/>
      <c r="O169" s="267"/>
      <c r="P169" s="268"/>
    </row>
    <row r="170" spans="1:16" s="127" customFormat="1">
      <c r="A170" s="255"/>
      <c r="B170" s="256"/>
      <c r="C170" s="255"/>
      <c r="D170" s="257"/>
      <c r="E170" s="258"/>
      <c r="F170" s="255"/>
      <c r="G170" s="255"/>
      <c r="H170" s="255"/>
      <c r="I170" s="255"/>
      <c r="J170" s="267"/>
      <c r="K170" s="267"/>
      <c r="L170" s="267"/>
      <c r="M170" s="267"/>
      <c r="N170" s="267"/>
      <c r="O170" s="267"/>
      <c r="P170" s="268"/>
    </row>
    <row r="171" spans="1:16" s="127" customFormat="1">
      <c r="A171" s="255"/>
      <c r="B171" s="256"/>
      <c r="C171" s="255"/>
      <c r="D171" s="257"/>
      <c r="E171" s="258"/>
      <c r="F171" s="255"/>
      <c r="G171" s="255"/>
      <c r="H171" s="255"/>
      <c r="I171" s="255"/>
      <c r="J171" s="267"/>
      <c r="K171" s="267"/>
      <c r="L171" s="267"/>
      <c r="M171" s="267"/>
      <c r="N171" s="267"/>
      <c r="O171" s="267"/>
      <c r="P171" s="268"/>
    </row>
    <row r="172" spans="1:16" s="127" customFormat="1">
      <c r="A172" s="255"/>
      <c r="B172" s="256"/>
      <c r="C172" s="255"/>
      <c r="D172" s="257"/>
      <c r="E172" s="258"/>
      <c r="F172" s="255"/>
      <c r="G172" s="255"/>
      <c r="H172" s="255"/>
      <c r="I172" s="255"/>
      <c r="J172" s="267"/>
      <c r="K172" s="267"/>
      <c r="L172" s="267"/>
      <c r="M172" s="267"/>
      <c r="N172" s="267"/>
      <c r="O172" s="267"/>
      <c r="P172" s="268"/>
    </row>
    <row r="173" spans="1:16" s="127" customFormat="1">
      <c r="A173" s="255"/>
      <c r="B173" s="256"/>
      <c r="C173" s="255"/>
      <c r="D173" s="257"/>
      <c r="E173" s="258"/>
      <c r="F173" s="255"/>
      <c r="G173" s="255"/>
      <c r="H173" s="255"/>
      <c r="I173" s="255"/>
      <c r="J173" s="267"/>
      <c r="K173" s="267"/>
      <c r="L173" s="267"/>
      <c r="M173" s="267"/>
      <c r="N173" s="267"/>
      <c r="O173" s="267"/>
      <c r="P173" s="268"/>
    </row>
    <row r="174" spans="1:16" s="127" customFormat="1">
      <c r="A174" s="255"/>
      <c r="B174" s="256"/>
      <c r="C174" s="255"/>
      <c r="D174" s="257"/>
      <c r="E174" s="261"/>
      <c r="F174" s="255"/>
      <c r="G174" s="255"/>
      <c r="H174" s="255"/>
      <c r="I174" s="255"/>
      <c r="J174" s="267"/>
      <c r="K174" s="267"/>
      <c r="L174" s="267"/>
      <c r="M174" s="267"/>
      <c r="N174" s="267"/>
      <c r="O174" s="267"/>
      <c r="P174" s="268"/>
    </row>
    <row r="175" spans="1:16" s="127" customFormat="1">
      <c r="A175" s="255"/>
      <c r="B175" s="256"/>
      <c r="C175" s="255"/>
      <c r="D175" s="257"/>
      <c r="E175" s="259"/>
      <c r="F175" s="255"/>
      <c r="G175" s="255"/>
      <c r="H175" s="255"/>
      <c r="I175" s="255"/>
      <c r="J175" s="267"/>
      <c r="K175" s="267"/>
      <c r="L175" s="267"/>
      <c r="M175" s="267"/>
      <c r="N175" s="267"/>
      <c r="O175" s="267"/>
      <c r="P175" s="268"/>
    </row>
    <row r="176" spans="1:16" s="127" customFormat="1">
      <c r="A176" s="255"/>
      <c r="B176" s="256"/>
      <c r="C176" s="255"/>
      <c r="D176" s="257"/>
      <c r="E176" s="258"/>
      <c r="F176" s="255"/>
      <c r="G176" s="255"/>
      <c r="H176" s="255"/>
      <c r="I176" s="255"/>
      <c r="J176" s="267"/>
      <c r="K176" s="267"/>
      <c r="L176" s="267"/>
      <c r="M176" s="267"/>
      <c r="N176" s="267"/>
      <c r="O176" s="267"/>
      <c r="P176" s="268"/>
    </row>
    <row r="177" spans="1:16" s="127" customFormat="1">
      <c r="A177" s="255"/>
      <c r="B177" s="256"/>
      <c r="C177" s="255"/>
      <c r="D177" s="257"/>
      <c r="E177" s="260"/>
      <c r="F177" s="255"/>
      <c r="G177" s="255"/>
      <c r="H177" s="255"/>
      <c r="I177" s="255"/>
      <c r="J177" s="267"/>
      <c r="K177" s="267"/>
      <c r="L177" s="267"/>
      <c r="M177" s="267"/>
      <c r="N177" s="267"/>
      <c r="O177" s="267"/>
      <c r="P177" s="268"/>
    </row>
    <row r="178" spans="1:16" s="127" customFormat="1">
      <c r="A178" s="255"/>
      <c r="B178" s="256"/>
      <c r="C178" s="255"/>
      <c r="D178" s="257"/>
      <c r="E178" s="258"/>
      <c r="F178" s="255"/>
      <c r="G178" s="255"/>
      <c r="H178" s="255"/>
      <c r="I178" s="255"/>
      <c r="J178" s="267"/>
      <c r="K178" s="267"/>
      <c r="L178" s="267"/>
      <c r="M178" s="267"/>
      <c r="N178" s="267"/>
      <c r="O178" s="267"/>
      <c r="P178" s="268"/>
    </row>
    <row r="179" spans="1:16" s="127" customFormat="1">
      <c r="A179" s="255"/>
      <c r="B179" s="256"/>
      <c r="C179" s="255"/>
      <c r="D179" s="257"/>
      <c r="E179" s="258"/>
      <c r="F179" s="255"/>
      <c r="G179" s="255"/>
      <c r="H179" s="255"/>
      <c r="I179" s="255"/>
      <c r="J179" s="267"/>
      <c r="K179" s="267"/>
      <c r="L179" s="267"/>
      <c r="M179" s="267"/>
      <c r="N179" s="267"/>
      <c r="O179" s="267"/>
      <c r="P179" s="268"/>
    </row>
    <row r="180" spans="1:16" s="127" customFormat="1">
      <c r="A180" s="255"/>
      <c r="B180" s="256"/>
      <c r="C180" s="255"/>
      <c r="D180" s="257"/>
      <c r="E180" s="258"/>
      <c r="F180" s="255"/>
      <c r="G180" s="255"/>
      <c r="H180" s="255"/>
      <c r="I180" s="255"/>
      <c r="J180" s="267"/>
      <c r="K180" s="267"/>
      <c r="L180" s="267"/>
      <c r="M180" s="267"/>
      <c r="N180" s="267"/>
      <c r="O180" s="267"/>
      <c r="P180" s="268"/>
    </row>
    <row r="181" spans="1:16" s="127" customFormat="1">
      <c r="A181" s="255"/>
      <c r="B181" s="256"/>
      <c r="C181" s="255"/>
      <c r="D181" s="257"/>
      <c r="E181" s="258"/>
      <c r="F181" s="255"/>
      <c r="G181" s="255"/>
      <c r="H181" s="255"/>
      <c r="I181" s="255"/>
      <c r="J181" s="267"/>
      <c r="K181" s="267"/>
      <c r="L181" s="267"/>
      <c r="M181" s="267"/>
      <c r="N181" s="267"/>
      <c r="O181" s="267"/>
      <c r="P181" s="268"/>
    </row>
    <row r="182" spans="1:16" s="127" customFormat="1">
      <c r="A182" s="255"/>
      <c r="B182" s="256"/>
      <c r="C182" s="255"/>
      <c r="D182" s="257"/>
      <c r="E182" s="258"/>
      <c r="F182" s="255"/>
      <c r="G182" s="255"/>
      <c r="H182" s="255"/>
      <c r="I182" s="255"/>
      <c r="J182" s="267"/>
      <c r="K182" s="267"/>
      <c r="L182" s="267"/>
      <c r="M182" s="267"/>
      <c r="N182" s="267"/>
      <c r="O182" s="267"/>
      <c r="P182" s="268"/>
    </row>
    <row r="183" spans="1:16" s="127" customFormat="1">
      <c r="A183" s="255"/>
      <c r="B183" s="256"/>
      <c r="C183" s="255"/>
      <c r="D183" s="257"/>
      <c r="E183" s="259"/>
      <c r="F183" s="255"/>
      <c r="G183" s="255"/>
      <c r="H183" s="255"/>
      <c r="I183" s="255"/>
      <c r="J183" s="267"/>
      <c r="K183" s="267"/>
      <c r="L183" s="267"/>
      <c r="M183" s="267"/>
      <c r="N183" s="267"/>
      <c r="O183" s="267"/>
      <c r="P183" s="268"/>
    </row>
    <row r="184" spans="1:16" s="127" customFormat="1">
      <c r="A184" s="255"/>
      <c r="B184" s="256"/>
      <c r="C184" s="255"/>
      <c r="D184" s="257"/>
      <c r="E184" s="258"/>
      <c r="F184" s="255"/>
      <c r="G184" s="255"/>
      <c r="H184" s="255"/>
      <c r="I184" s="255"/>
      <c r="J184" s="267"/>
      <c r="K184" s="267"/>
      <c r="L184" s="267"/>
      <c r="M184" s="267"/>
      <c r="N184" s="267"/>
      <c r="O184" s="267"/>
      <c r="P184" s="268"/>
    </row>
    <row r="185" spans="1:16" s="127" customFormat="1">
      <c r="A185" s="255"/>
      <c r="B185" s="256"/>
      <c r="C185" s="255"/>
      <c r="D185" s="257"/>
      <c r="E185" s="258"/>
      <c r="F185" s="255"/>
      <c r="G185" s="255"/>
      <c r="H185" s="255"/>
      <c r="I185" s="255"/>
      <c r="J185" s="267"/>
      <c r="K185" s="267"/>
      <c r="L185" s="267"/>
      <c r="M185" s="267"/>
      <c r="N185" s="267"/>
      <c r="O185" s="267"/>
      <c r="P185" s="268"/>
    </row>
    <row r="186" spans="1:16" s="127" customFormat="1">
      <c r="A186" s="255"/>
      <c r="B186" s="256"/>
      <c r="C186" s="255"/>
      <c r="D186" s="257"/>
      <c r="E186" s="258"/>
      <c r="F186" s="255"/>
      <c r="G186" s="255"/>
      <c r="H186" s="255"/>
      <c r="I186" s="255"/>
      <c r="J186" s="267"/>
      <c r="K186" s="267"/>
      <c r="L186" s="267"/>
      <c r="M186" s="267"/>
      <c r="N186" s="267"/>
      <c r="O186" s="267"/>
      <c r="P186" s="268"/>
    </row>
    <row r="187" spans="1:16" s="127" customFormat="1">
      <c r="A187" s="255"/>
      <c r="B187" s="256"/>
      <c r="C187" s="255"/>
      <c r="D187" s="257"/>
      <c r="E187" s="258"/>
      <c r="F187" s="255"/>
      <c r="G187" s="255"/>
      <c r="H187" s="255"/>
      <c r="I187" s="255"/>
      <c r="J187" s="267"/>
      <c r="K187" s="267"/>
      <c r="L187" s="267"/>
      <c r="M187" s="267"/>
      <c r="N187" s="267"/>
      <c r="O187" s="267"/>
      <c r="P187" s="268"/>
    </row>
    <row r="188" spans="1:16" s="127" customFormat="1">
      <c r="A188" s="255"/>
      <c r="B188" s="256"/>
      <c r="C188" s="255"/>
      <c r="D188" s="257"/>
      <c r="E188" s="258"/>
      <c r="F188" s="255"/>
      <c r="G188" s="255"/>
      <c r="H188" s="255"/>
      <c r="I188" s="255"/>
      <c r="J188" s="267"/>
      <c r="K188" s="267"/>
      <c r="L188" s="267"/>
      <c r="M188" s="267"/>
      <c r="N188" s="267"/>
      <c r="O188" s="267"/>
      <c r="P188" s="268"/>
    </row>
    <row r="189" spans="1:16" s="127" customFormat="1">
      <c r="A189" s="255"/>
      <c r="B189" s="256"/>
      <c r="C189" s="255"/>
      <c r="D189" s="257"/>
      <c r="E189" s="258"/>
      <c r="F189" s="255"/>
      <c r="G189" s="255"/>
      <c r="H189" s="255"/>
      <c r="I189" s="255"/>
      <c r="J189" s="267"/>
      <c r="K189" s="267"/>
      <c r="L189" s="267"/>
      <c r="M189" s="267"/>
      <c r="N189" s="267"/>
      <c r="O189" s="267"/>
      <c r="P189" s="268"/>
    </row>
    <row r="190" spans="1:16">
      <c r="C190" s="269"/>
    </row>
    <row r="191" spans="1:16">
      <c r="C191" s="269"/>
    </row>
    <row r="192" spans="1:16">
      <c r="C192" s="269"/>
    </row>
    <row r="193" s="133" customFormat="1" ht="15"/>
    <row r="205" s="133" customFormat="1" ht="15"/>
    <row r="206" s="133" customFormat="1" ht="15"/>
    <row r="207" s="133" customFormat="1" ht="15"/>
    <row r="208" s="133" customFormat="1" ht="15"/>
    <row r="209" s="133" customFormat="1" ht="15"/>
    <row r="210" s="133" customFormat="1" ht="15"/>
  </sheetData>
  <protectedRanges>
    <protectedRange sqref="D5" name="Intervalo1_2_1_2_1"/>
    <protectedRange sqref="E55" name="Intervalo1_2_1_4_1"/>
    <protectedRange sqref="I5" name="Intervalo1_2_1_1_1_1_1"/>
  </protectedRanges>
  <autoFilter ref="A1:P136" xr:uid="{00000000-0009-0000-0000-000006000000}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5" orientation="landscape" horizontalDpi="4294967294" verticalDpi="4294967294" r:id="rId1"/>
  <rowBreaks count="1" manualBreakCount="1">
    <brk id="74" max="240" man="1"/>
  </rowBreaks>
  <colBreaks count="1" manualBreakCount="1">
    <brk id="16" max="13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E211"/>
  <sheetViews>
    <sheetView topLeftCell="X97" zoomScaleNormal="100" zoomScaleSheetLayoutView="82" workbookViewId="0">
      <selection activeCell="AE9" sqref="AE9"/>
    </sheetView>
  </sheetViews>
  <sheetFormatPr defaultColWidth="9.140625" defaultRowHeight="15.75"/>
  <cols>
    <col min="1" max="1" width="23.28515625" style="129" customWidth="1"/>
    <col min="2" max="2" width="55.7109375" style="129" customWidth="1"/>
    <col min="3" max="3" width="19.42578125" style="130" customWidth="1"/>
    <col min="4" max="4" width="46.5703125" style="130" customWidth="1"/>
    <col min="5" max="5" width="16.5703125" style="270" customWidth="1"/>
    <col min="6" max="6" width="16.28515625" style="270" customWidth="1"/>
    <col min="7" max="7" width="18.42578125" style="270" customWidth="1"/>
    <col min="8" max="8" width="12.5703125" style="270" customWidth="1"/>
    <col min="9" max="9" width="12.5703125" style="315" customWidth="1"/>
    <col min="10" max="10" width="10" style="315" customWidth="1"/>
    <col min="11" max="11" width="18.42578125" style="270" customWidth="1"/>
    <col min="12" max="12" width="22" style="315" customWidth="1"/>
    <col min="13" max="13" width="17.85546875" style="270" customWidth="1"/>
    <col min="14" max="14" width="19.7109375" style="315" customWidth="1"/>
    <col min="15" max="15" width="16.5703125" style="270" customWidth="1"/>
    <col min="16" max="16" width="21.28515625" style="270" customWidth="1"/>
    <col min="17" max="17" width="22" style="315" customWidth="1"/>
    <col min="18" max="18" width="18.7109375" style="316" customWidth="1"/>
    <col min="19" max="19" width="18.42578125" style="131" customWidth="1"/>
    <col min="20" max="20" width="14.85546875" style="316" customWidth="1"/>
    <col min="21" max="21" width="22" style="131" customWidth="1"/>
    <col min="22" max="22" width="22" style="316" customWidth="1"/>
    <col min="23" max="23" width="35" style="316" customWidth="1"/>
    <col min="24" max="26" width="22" style="131" customWidth="1"/>
    <col min="27" max="27" width="17.42578125" style="131" customWidth="1"/>
    <col min="28" max="28" width="20.42578125" style="132" customWidth="1"/>
    <col min="29" max="238" width="9.140625" style="133" customWidth="1"/>
    <col min="239" max="239" width="9.140625" style="133"/>
    <col min="240" max="240" width="6.5703125" style="133" customWidth="1"/>
    <col min="241" max="241" width="79.5703125" style="133" customWidth="1"/>
    <col min="242" max="242" width="23.5703125" style="133" customWidth="1"/>
    <col min="243" max="243" width="27.85546875" style="133" customWidth="1"/>
    <col min="244" max="244" width="22.28515625" style="133" customWidth="1"/>
    <col min="245" max="245" width="23.5703125" style="133" customWidth="1"/>
    <col min="246" max="246" width="39" style="133" customWidth="1"/>
    <col min="247" max="247" width="36.42578125" style="133" customWidth="1"/>
    <col min="248" max="248" width="8" style="133" customWidth="1"/>
    <col min="249" max="249" width="15.5703125" style="133" customWidth="1"/>
    <col min="250" max="250" width="17.28515625" style="133" customWidth="1"/>
    <col min="251" max="251" width="18.85546875" style="133" customWidth="1"/>
    <col min="252" max="252" width="81" style="133" customWidth="1"/>
    <col min="253" max="253" width="14.85546875" style="133" customWidth="1"/>
    <col min="254" max="254" width="15.7109375" style="133" customWidth="1"/>
    <col min="255" max="255" width="17.5703125" style="133" customWidth="1"/>
    <col min="256" max="256" width="18.42578125" style="133" customWidth="1"/>
    <col min="257" max="257" width="16.5703125" style="133" customWidth="1"/>
    <col min="258" max="258" width="17.7109375" style="133" customWidth="1"/>
    <col min="259" max="259" width="17.85546875" style="133" customWidth="1"/>
    <col min="260" max="260" width="18.42578125" style="133" customWidth="1"/>
    <col min="261" max="261" width="15.42578125" style="133" customWidth="1"/>
    <col min="262" max="262" width="14.5703125" style="133" customWidth="1"/>
    <col min="263" max="263" width="15" style="133" customWidth="1"/>
    <col min="264" max="264" width="6.7109375" style="133" customWidth="1"/>
    <col min="265" max="265" width="14.28515625" style="133" customWidth="1"/>
    <col min="266" max="266" width="17.5703125" style="133" customWidth="1"/>
    <col min="267" max="267" width="27.7109375" style="133" customWidth="1"/>
    <col min="268" max="270" width="9.140625" style="133" customWidth="1"/>
    <col min="271" max="271" width="14.85546875" style="133" customWidth="1"/>
    <col min="272" max="272" width="13.85546875" style="133" customWidth="1"/>
    <col min="273" max="494" width="9.140625" style="133" customWidth="1"/>
    <col min="495" max="495" width="9.140625" style="133"/>
    <col min="496" max="496" width="6.5703125" style="133" customWidth="1"/>
    <col min="497" max="497" width="79.5703125" style="133" customWidth="1"/>
    <col min="498" max="498" width="23.5703125" style="133" customWidth="1"/>
    <col min="499" max="499" width="27.85546875" style="133" customWidth="1"/>
    <col min="500" max="500" width="22.28515625" style="133" customWidth="1"/>
    <col min="501" max="501" width="23.5703125" style="133" customWidth="1"/>
    <col min="502" max="502" width="39" style="133" customWidth="1"/>
    <col min="503" max="503" width="36.42578125" style="133" customWidth="1"/>
    <col min="504" max="504" width="8" style="133" customWidth="1"/>
    <col min="505" max="505" width="15.5703125" style="133" customWidth="1"/>
    <col min="506" max="506" width="17.28515625" style="133" customWidth="1"/>
    <col min="507" max="507" width="18.85546875" style="133" customWidth="1"/>
    <col min="508" max="508" width="81" style="133" customWidth="1"/>
    <col min="509" max="509" width="14.85546875" style="133" customWidth="1"/>
    <col min="510" max="510" width="15.7109375" style="133" customWidth="1"/>
    <col min="511" max="511" width="17.5703125" style="133" customWidth="1"/>
    <col min="512" max="512" width="18.42578125" style="133" customWidth="1"/>
    <col min="513" max="513" width="16.5703125" style="133" customWidth="1"/>
    <col min="514" max="514" width="17.7109375" style="133" customWidth="1"/>
    <col min="515" max="515" width="17.85546875" style="133" customWidth="1"/>
    <col min="516" max="516" width="18.42578125" style="133" customWidth="1"/>
    <col min="517" max="517" width="15.42578125" style="133" customWidth="1"/>
    <col min="518" max="518" width="14.5703125" style="133" customWidth="1"/>
    <col min="519" max="519" width="15" style="133" customWidth="1"/>
    <col min="520" max="520" width="6.7109375" style="133" customWidth="1"/>
    <col min="521" max="521" width="14.28515625" style="133" customWidth="1"/>
    <col min="522" max="522" width="17.5703125" style="133" customWidth="1"/>
    <col min="523" max="523" width="27.7109375" style="133" customWidth="1"/>
    <col min="524" max="526" width="9.140625" style="133" customWidth="1"/>
    <col min="527" max="527" width="14.85546875" style="133" customWidth="1"/>
    <col min="528" max="528" width="13.85546875" style="133" customWidth="1"/>
    <col min="529" max="750" width="9.140625" style="133" customWidth="1"/>
    <col min="751" max="751" width="9.140625" style="133"/>
    <col min="752" max="752" width="6.5703125" style="133" customWidth="1"/>
    <col min="753" max="753" width="79.5703125" style="133" customWidth="1"/>
    <col min="754" max="754" width="23.5703125" style="133" customWidth="1"/>
    <col min="755" max="755" width="27.85546875" style="133" customWidth="1"/>
    <col min="756" max="756" width="22.28515625" style="133" customWidth="1"/>
    <col min="757" max="757" width="23.5703125" style="133" customWidth="1"/>
    <col min="758" max="758" width="39" style="133" customWidth="1"/>
    <col min="759" max="759" width="36.42578125" style="133" customWidth="1"/>
    <col min="760" max="760" width="8" style="133" customWidth="1"/>
    <col min="761" max="761" width="15.5703125" style="133" customWidth="1"/>
    <col min="762" max="762" width="17.28515625" style="133" customWidth="1"/>
    <col min="763" max="763" width="18.85546875" style="133" customWidth="1"/>
    <col min="764" max="764" width="81" style="133" customWidth="1"/>
    <col min="765" max="765" width="14.85546875" style="133" customWidth="1"/>
    <col min="766" max="766" width="15.7109375" style="133" customWidth="1"/>
    <col min="767" max="767" width="17.5703125" style="133" customWidth="1"/>
    <col min="768" max="768" width="18.42578125" style="133" customWidth="1"/>
    <col min="769" max="769" width="16.5703125" style="133" customWidth="1"/>
    <col min="770" max="770" width="17.7109375" style="133" customWidth="1"/>
    <col min="771" max="771" width="17.85546875" style="133" customWidth="1"/>
    <col min="772" max="772" width="18.42578125" style="133" customWidth="1"/>
    <col min="773" max="773" width="15.42578125" style="133" customWidth="1"/>
    <col min="774" max="774" width="14.5703125" style="133" customWidth="1"/>
    <col min="775" max="775" width="15" style="133" customWidth="1"/>
    <col min="776" max="776" width="6.7109375" style="133" customWidth="1"/>
    <col min="777" max="777" width="14.28515625" style="133" customWidth="1"/>
    <col min="778" max="778" width="17.5703125" style="133" customWidth="1"/>
    <col min="779" max="779" width="27.7109375" style="133" customWidth="1"/>
    <col min="780" max="782" width="9.140625" style="133" customWidth="1"/>
    <col min="783" max="783" width="14.85546875" style="133" customWidth="1"/>
    <col min="784" max="784" width="13.85546875" style="133" customWidth="1"/>
    <col min="785" max="1006" width="9.140625" style="133" customWidth="1"/>
    <col min="1007" max="1007" width="9.140625" style="133"/>
    <col min="1008" max="1008" width="6.5703125" style="133" customWidth="1"/>
    <col min="1009" max="1009" width="79.5703125" style="133" customWidth="1"/>
    <col min="1010" max="1010" width="23.5703125" style="133" customWidth="1"/>
    <col min="1011" max="1011" width="27.85546875" style="133" customWidth="1"/>
    <col min="1012" max="1012" width="22.28515625" style="133" customWidth="1"/>
    <col min="1013" max="1013" width="23.5703125" style="133" customWidth="1"/>
    <col min="1014" max="1014" width="39" style="133" customWidth="1"/>
    <col min="1015" max="1015" width="36.42578125" style="133" customWidth="1"/>
    <col min="1016" max="1016" width="8" style="133" customWidth="1"/>
    <col min="1017" max="1017" width="15.5703125" style="133" customWidth="1"/>
    <col min="1018" max="1018" width="17.28515625" style="133" customWidth="1"/>
    <col min="1019" max="1019" width="18.85546875" style="133" customWidth="1"/>
    <col min="1020" max="1020" width="81" style="133" customWidth="1"/>
    <col min="1021" max="1021" width="14.85546875" style="133" customWidth="1"/>
    <col min="1022" max="1022" width="15.7109375" style="133" customWidth="1"/>
    <col min="1023" max="1023" width="17.5703125" style="133" customWidth="1"/>
    <col min="1024" max="1024" width="18.42578125" style="133" customWidth="1"/>
    <col min="1025" max="1025" width="16.5703125" style="133" customWidth="1"/>
    <col min="1026" max="1026" width="17.7109375" style="133" customWidth="1"/>
    <col min="1027" max="1027" width="17.85546875" style="133" customWidth="1"/>
    <col min="1028" max="1028" width="18.42578125" style="133" customWidth="1"/>
    <col min="1029" max="1029" width="15.42578125" style="133" customWidth="1"/>
    <col min="1030" max="1030" width="14.5703125" style="133" customWidth="1"/>
    <col min="1031" max="1031" width="15" style="133" customWidth="1"/>
    <col min="1032" max="1032" width="6.7109375" style="133" customWidth="1"/>
    <col min="1033" max="1033" width="14.28515625" style="133" customWidth="1"/>
    <col min="1034" max="1034" width="17.5703125" style="133" customWidth="1"/>
    <col min="1035" max="1035" width="27.7109375" style="133" customWidth="1"/>
    <col min="1036" max="1038" width="9.140625" style="133" customWidth="1"/>
    <col min="1039" max="1039" width="14.85546875" style="133" customWidth="1"/>
    <col min="1040" max="1040" width="13.85546875" style="133" customWidth="1"/>
    <col min="1041" max="1262" width="9.140625" style="133" customWidth="1"/>
    <col min="1263" max="1263" width="9.140625" style="133"/>
    <col min="1264" max="1264" width="6.5703125" style="133" customWidth="1"/>
    <col min="1265" max="1265" width="79.5703125" style="133" customWidth="1"/>
    <col min="1266" max="1266" width="23.5703125" style="133" customWidth="1"/>
    <col min="1267" max="1267" width="27.85546875" style="133" customWidth="1"/>
    <col min="1268" max="1268" width="22.28515625" style="133" customWidth="1"/>
    <col min="1269" max="1269" width="23.5703125" style="133" customWidth="1"/>
    <col min="1270" max="1270" width="39" style="133" customWidth="1"/>
    <col min="1271" max="1271" width="36.42578125" style="133" customWidth="1"/>
    <col min="1272" max="1272" width="8" style="133" customWidth="1"/>
    <col min="1273" max="1273" width="15.5703125" style="133" customWidth="1"/>
    <col min="1274" max="1274" width="17.28515625" style="133" customWidth="1"/>
    <col min="1275" max="1275" width="18.85546875" style="133" customWidth="1"/>
    <col min="1276" max="1276" width="81" style="133" customWidth="1"/>
    <col min="1277" max="1277" width="14.85546875" style="133" customWidth="1"/>
    <col min="1278" max="1278" width="15.7109375" style="133" customWidth="1"/>
    <col min="1279" max="1279" width="17.5703125" style="133" customWidth="1"/>
    <col min="1280" max="1280" width="18.42578125" style="133" customWidth="1"/>
    <col min="1281" max="1281" width="16.5703125" style="133" customWidth="1"/>
    <col min="1282" max="1282" width="17.7109375" style="133" customWidth="1"/>
    <col min="1283" max="1283" width="17.85546875" style="133" customWidth="1"/>
    <col min="1284" max="1284" width="18.42578125" style="133" customWidth="1"/>
    <col min="1285" max="1285" width="15.42578125" style="133" customWidth="1"/>
    <col min="1286" max="1286" width="14.5703125" style="133" customWidth="1"/>
    <col min="1287" max="1287" width="15" style="133" customWidth="1"/>
    <col min="1288" max="1288" width="6.7109375" style="133" customWidth="1"/>
    <col min="1289" max="1289" width="14.28515625" style="133" customWidth="1"/>
    <col min="1290" max="1290" width="17.5703125" style="133" customWidth="1"/>
    <col min="1291" max="1291" width="27.7109375" style="133" customWidth="1"/>
    <col min="1292" max="1294" width="9.140625" style="133" customWidth="1"/>
    <col min="1295" max="1295" width="14.85546875" style="133" customWidth="1"/>
    <col min="1296" max="1296" width="13.85546875" style="133" customWidth="1"/>
    <col min="1297" max="1518" width="9.140625" style="133" customWidth="1"/>
    <col min="1519" max="1519" width="9.140625" style="133"/>
    <col min="1520" max="1520" width="6.5703125" style="133" customWidth="1"/>
    <col min="1521" max="1521" width="79.5703125" style="133" customWidth="1"/>
    <col min="1522" max="1522" width="23.5703125" style="133" customWidth="1"/>
    <col min="1523" max="1523" width="27.85546875" style="133" customWidth="1"/>
    <col min="1524" max="1524" width="22.28515625" style="133" customWidth="1"/>
    <col min="1525" max="1525" width="23.5703125" style="133" customWidth="1"/>
    <col min="1526" max="1526" width="39" style="133" customWidth="1"/>
    <col min="1527" max="1527" width="36.42578125" style="133" customWidth="1"/>
    <col min="1528" max="1528" width="8" style="133" customWidth="1"/>
    <col min="1529" max="1529" width="15.5703125" style="133" customWidth="1"/>
    <col min="1530" max="1530" width="17.28515625" style="133" customWidth="1"/>
    <col min="1531" max="1531" width="18.85546875" style="133" customWidth="1"/>
    <col min="1532" max="1532" width="81" style="133" customWidth="1"/>
    <col min="1533" max="1533" width="14.85546875" style="133" customWidth="1"/>
    <col min="1534" max="1534" width="15.7109375" style="133" customWidth="1"/>
    <col min="1535" max="1535" width="17.5703125" style="133" customWidth="1"/>
    <col min="1536" max="1536" width="18.42578125" style="133" customWidth="1"/>
    <col min="1537" max="1537" width="16.5703125" style="133" customWidth="1"/>
    <col min="1538" max="1538" width="17.7109375" style="133" customWidth="1"/>
    <col min="1539" max="1539" width="17.85546875" style="133" customWidth="1"/>
    <col min="1540" max="1540" width="18.42578125" style="133" customWidth="1"/>
    <col min="1541" max="1541" width="15.42578125" style="133" customWidth="1"/>
    <col min="1542" max="1542" width="14.5703125" style="133" customWidth="1"/>
    <col min="1543" max="1543" width="15" style="133" customWidth="1"/>
    <col min="1544" max="1544" width="6.7109375" style="133" customWidth="1"/>
    <col min="1545" max="1545" width="14.28515625" style="133" customWidth="1"/>
    <col min="1546" max="1546" width="17.5703125" style="133" customWidth="1"/>
    <col min="1547" max="1547" width="27.7109375" style="133" customWidth="1"/>
    <col min="1548" max="1550" width="9.140625" style="133" customWidth="1"/>
    <col min="1551" max="1551" width="14.85546875" style="133" customWidth="1"/>
    <col min="1552" max="1552" width="13.85546875" style="133" customWidth="1"/>
    <col min="1553" max="1774" width="9.140625" style="133" customWidth="1"/>
    <col min="1775" max="1775" width="9.140625" style="133"/>
    <col min="1776" max="1776" width="6.5703125" style="133" customWidth="1"/>
    <col min="1777" max="1777" width="79.5703125" style="133" customWidth="1"/>
    <col min="1778" max="1778" width="23.5703125" style="133" customWidth="1"/>
    <col min="1779" max="1779" width="27.85546875" style="133" customWidth="1"/>
    <col min="1780" max="1780" width="22.28515625" style="133" customWidth="1"/>
    <col min="1781" max="1781" width="23.5703125" style="133" customWidth="1"/>
    <col min="1782" max="1782" width="39" style="133" customWidth="1"/>
    <col min="1783" max="1783" width="36.42578125" style="133" customWidth="1"/>
    <col min="1784" max="1784" width="8" style="133" customWidth="1"/>
    <col min="1785" max="1785" width="15.5703125" style="133" customWidth="1"/>
    <col min="1786" max="1786" width="17.28515625" style="133" customWidth="1"/>
    <col min="1787" max="1787" width="18.85546875" style="133" customWidth="1"/>
    <col min="1788" max="1788" width="81" style="133" customWidth="1"/>
    <col min="1789" max="1789" width="14.85546875" style="133" customWidth="1"/>
    <col min="1790" max="1790" width="15.7109375" style="133" customWidth="1"/>
    <col min="1791" max="1791" width="17.5703125" style="133" customWidth="1"/>
    <col min="1792" max="1792" width="18.42578125" style="133" customWidth="1"/>
    <col min="1793" max="1793" width="16.5703125" style="133" customWidth="1"/>
    <col min="1794" max="1794" width="17.7109375" style="133" customWidth="1"/>
    <col min="1795" max="1795" width="17.85546875" style="133" customWidth="1"/>
    <col min="1796" max="1796" width="18.42578125" style="133" customWidth="1"/>
    <col min="1797" max="1797" width="15.42578125" style="133" customWidth="1"/>
    <col min="1798" max="1798" width="14.5703125" style="133" customWidth="1"/>
    <col min="1799" max="1799" width="15" style="133" customWidth="1"/>
    <col min="1800" max="1800" width="6.7109375" style="133" customWidth="1"/>
    <col min="1801" max="1801" width="14.28515625" style="133" customWidth="1"/>
    <col min="1802" max="1802" width="17.5703125" style="133" customWidth="1"/>
    <col min="1803" max="1803" width="27.7109375" style="133" customWidth="1"/>
    <col min="1804" max="1806" width="9.140625" style="133" customWidth="1"/>
    <col min="1807" max="1807" width="14.85546875" style="133" customWidth="1"/>
    <col min="1808" max="1808" width="13.85546875" style="133" customWidth="1"/>
    <col min="1809" max="2030" width="9.140625" style="133" customWidth="1"/>
    <col min="2031" max="2031" width="9.140625" style="133"/>
    <col min="2032" max="2032" width="6.5703125" style="133" customWidth="1"/>
    <col min="2033" max="2033" width="79.5703125" style="133" customWidth="1"/>
    <col min="2034" max="2034" width="23.5703125" style="133" customWidth="1"/>
    <col min="2035" max="2035" width="27.85546875" style="133" customWidth="1"/>
    <col min="2036" max="2036" width="22.28515625" style="133" customWidth="1"/>
    <col min="2037" max="2037" width="23.5703125" style="133" customWidth="1"/>
    <col min="2038" max="2038" width="39" style="133" customWidth="1"/>
    <col min="2039" max="2039" width="36.42578125" style="133" customWidth="1"/>
    <col min="2040" max="2040" width="8" style="133" customWidth="1"/>
    <col min="2041" max="2041" width="15.5703125" style="133" customWidth="1"/>
    <col min="2042" max="2042" width="17.28515625" style="133" customWidth="1"/>
    <col min="2043" max="2043" width="18.85546875" style="133" customWidth="1"/>
    <col min="2044" max="2044" width="81" style="133" customWidth="1"/>
    <col min="2045" max="2045" width="14.85546875" style="133" customWidth="1"/>
    <col min="2046" max="2046" width="15.7109375" style="133" customWidth="1"/>
    <col min="2047" max="2047" width="17.5703125" style="133" customWidth="1"/>
    <col min="2048" max="2048" width="18.42578125" style="133" customWidth="1"/>
    <col min="2049" max="2049" width="16.5703125" style="133" customWidth="1"/>
    <col min="2050" max="2050" width="17.7109375" style="133" customWidth="1"/>
    <col min="2051" max="2051" width="17.85546875" style="133" customWidth="1"/>
    <col min="2052" max="2052" width="18.42578125" style="133" customWidth="1"/>
    <col min="2053" max="2053" width="15.42578125" style="133" customWidth="1"/>
    <col min="2054" max="2054" width="14.5703125" style="133" customWidth="1"/>
    <col min="2055" max="2055" width="15" style="133" customWidth="1"/>
    <col min="2056" max="2056" width="6.7109375" style="133" customWidth="1"/>
    <col min="2057" max="2057" width="14.28515625" style="133" customWidth="1"/>
    <col min="2058" max="2058" width="17.5703125" style="133" customWidth="1"/>
    <col min="2059" max="2059" width="27.7109375" style="133" customWidth="1"/>
    <col min="2060" max="2062" width="9.140625" style="133" customWidth="1"/>
    <col min="2063" max="2063" width="14.85546875" style="133" customWidth="1"/>
    <col min="2064" max="2064" width="13.85546875" style="133" customWidth="1"/>
    <col min="2065" max="2286" width="9.140625" style="133" customWidth="1"/>
    <col min="2287" max="2287" width="9.140625" style="133"/>
    <col min="2288" max="2288" width="6.5703125" style="133" customWidth="1"/>
    <col min="2289" max="2289" width="79.5703125" style="133" customWidth="1"/>
    <col min="2290" max="2290" width="23.5703125" style="133" customWidth="1"/>
    <col min="2291" max="2291" width="27.85546875" style="133" customWidth="1"/>
    <col min="2292" max="2292" width="22.28515625" style="133" customWidth="1"/>
    <col min="2293" max="2293" width="23.5703125" style="133" customWidth="1"/>
    <col min="2294" max="2294" width="39" style="133" customWidth="1"/>
    <col min="2295" max="2295" width="36.42578125" style="133" customWidth="1"/>
    <col min="2296" max="2296" width="8" style="133" customWidth="1"/>
    <col min="2297" max="2297" width="15.5703125" style="133" customWidth="1"/>
    <col min="2298" max="2298" width="17.28515625" style="133" customWidth="1"/>
    <col min="2299" max="2299" width="18.85546875" style="133" customWidth="1"/>
    <col min="2300" max="2300" width="81" style="133" customWidth="1"/>
    <col min="2301" max="2301" width="14.85546875" style="133" customWidth="1"/>
    <col min="2302" max="2302" width="15.7109375" style="133" customWidth="1"/>
    <col min="2303" max="2303" width="17.5703125" style="133" customWidth="1"/>
    <col min="2304" max="2304" width="18.42578125" style="133" customWidth="1"/>
    <col min="2305" max="2305" width="16.5703125" style="133" customWidth="1"/>
    <col min="2306" max="2306" width="17.7109375" style="133" customWidth="1"/>
    <col min="2307" max="2307" width="17.85546875" style="133" customWidth="1"/>
    <col min="2308" max="2308" width="18.42578125" style="133" customWidth="1"/>
    <col min="2309" max="2309" width="15.42578125" style="133" customWidth="1"/>
    <col min="2310" max="2310" width="14.5703125" style="133" customWidth="1"/>
    <col min="2311" max="2311" width="15" style="133" customWidth="1"/>
    <col min="2312" max="2312" width="6.7109375" style="133" customWidth="1"/>
    <col min="2313" max="2313" width="14.28515625" style="133" customWidth="1"/>
    <col min="2314" max="2314" width="17.5703125" style="133" customWidth="1"/>
    <col min="2315" max="2315" width="27.7109375" style="133" customWidth="1"/>
    <col min="2316" max="2318" width="9.140625" style="133" customWidth="1"/>
    <col min="2319" max="2319" width="14.85546875" style="133" customWidth="1"/>
    <col min="2320" max="2320" width="13.85546875" style="133" customWidth="1"/>
    <col min="2321" max="2542" width="9.140625" style="133" customWidth="1"/>
    <col min="2543" max="2543" width="9.140625" style="133"/>
    <col min="2544" max="2544" width="6.5703125" style="133" customWidth="1"/>
    <col min="2545" max="2545" width="79.5703125" style="133" customWidth="1"/>
    <col min="2546" max="2546" width="23.5703125" style="133" customWidth="1"/>
    <col min="2547" max="2547" width="27.85546875" style="133" customWidth="1"/>
    <col min="2548" max="2548" width="22.28515625" style="133" customWidth="1"/>
    <col min="2549" max="2549" width="23.5703125" style="133" customWidth="1"/>
    <col min="2550" max="2550" width="39" style="133" customWidth="1"/>
    <col min="2551" max="2551" width="36.42578125" style="133" customWidth="1"/>
    <col min="2552" max="2552" width="8" style="133" customWidth="1"/>
    <col min="2553" max="2553" width="15.5703125" style="133" customWidth="1"/>
    <col min="2554" max="2554" width="17.28515625" style="133" customWidth="1"/>
    <col min="2555" max="2555" width="18.85546875" style="133" customWidth="1"/>
    <col min="2556" max="2556" width="81" style="133" customWidth="1"/>
    <col min="2557" max="2557" width="14.85546875" style="133" customWidth="1"/>
    <col min="2558" max="2558" width="15.7109375" style="133" customWidth="1"/>
    <col min="2559" max="2559" width="17.5703125" style="133" customWidth="1"/>
    <col min="2560" max="2560" width="18.42578125" style="133" customWidth="1"/>
    <col min="2561" max="2561" width="16.5703125" style="133" customWidth="1"/>
    <col min="2562" max="2562" width="17.7109375" style="133" customWidth="1"/>
    <col min="2563" max="2563" width="17.85546875" style="133" customWidth="1"/>
    <col min="2564" max="2564" width="18.42578125" style="133" customWidth="1"/>
    <col min="2565" max="2565" width="15.42578125" style="133" customWidth="1"/>
    <col min="2566" max="2566" width="14.5703125" style="133" customWidth="1"/>
    <col min="2567" max="2567" width="15" style="133" customWidth="1"/>
    <col min="2568" max="2568" width="6.7109375" style="133" customWidth="1"/>
    <col min="2569" max="2569" width="14.28515625" style="133" customWidth="1"/>
    <col min="2570" max="2570" width="17.5703125" style="133" customWidth="1"/>
    <col min="2571" max="2571" width="27.7109375" style="133" customWidth="1"/>
    <col min="2572" max="2574" width="9.140625" style="133" customWidth="1"/>
    <col min="2575" max="2575" width="14.85546875" style="133" customWidth="1"/>
    <col min="2576" max="2576" width="13.85546875" style="133" customWidth="1"/>
    <col min="2577" max="2798" width="9.140625" style="133" customWidth="1"/>
    <col min="2799" max="2799" width="9.140625" style="133"/>
    <col min="2800" max="2800" width="6.5703125" style="133" customWidth="1"/>
    <col min="2801" max="2801" width="79.5703125" style="133" customWidth="1"/>
    <col min="2802" max="2802" width="23.5703125" style="133" customWidth="1"/>
    <col min="2803" max="2803" width="27.85546875" style="133" customWidth="1"/>
    <col min="2804" max="2804" width="22.28515625" style="133" customWidth="1"/>
    <col min="2805" max="2805" width="23.5703125" style="133" customWidth="1"/>
    <col min="2806" max="2806" width="39" style="133" customWidth="1"/>
    <col min="2807" max="2807" width="36.42578125" style="133" customWidth="1"/>
    <col min="2808" max="2808" width="8" style="133" customWidth="1"/>
    <col min="2809" max="2809" width="15.5703125" style="133" customWidth="1"/>
    <col min="2810" max="2810" width="17.28515625" style="133" customWidth="1"/>
    <col min="2811" max="2811" width="18.85546875" style="133" customWidth="1"/>
    <col min="2812" max="2812" width="81" style="133" customWidth="1"/>
    <col min="2813" max="2813" width="14.85546875" style="133" customWidth="1"/>
    <col min="2814" max="2814" width="15.7109375" style="133" customWidth="1"/>
    <col min="2815" max="2815" width="17.5703125" style="133" customWidth="1"/>
    <col min="2816" max="2816" width="18.42578125" style="133" customWidth="1"/>
    <col min="2817" max="2817" width="16.5703125" style="133" customWidth="1"/>
    <col min="2818" max="2818" width="17.7109375" style="133" customWidth="1"/>
    <col min="2819" max="2819" width="17.85546875" style="133" customWidth="1"/>
    <col min="2820" max="2820" width="18.42578125" style="133" customWidth="1"/>
    <col min="2821" max="2821" width="15.42578125" style="133" customWidth="1"/>
    <col min="2822" max="2822" width="14.5703125" style="133" customWidth="1"/>
    <col min="2823" max="2823" width="15" style="133" customWidth="1"/>
    <col min="2824" max="2824" width="6.7109375" style="133" customWidth="1"/>
    <col min="2825" max="2825" width="14.28515625" style="133" customWidth="1"/>
    <col min="2826" max="2826" width="17.5703125" style="133" customWidth="1"/>
    <col min="2827" max="2827" width="27.7109375" style="133" customWidth="1"/>
    <col min="2828" max="2830" width="9.140625" style="133" customWidth="1"/>
    <col min="2831" max="2831" width="14.85546875" style="133" customWidth="1"/>
    <col min="2832" max="2832" width="13.85546875" style="133" customWidth="1"/>
    <col min="2833" max="3054" width="9.140625" style="133" customWidth="1"/>
    <col min="3055" max="3055" width="9.140625" style="133"/>
    <col min="3056" max="3056" width="6.5703125" style="133" customWidth="1"/>
    <col min="3057" max="3057" width="79.5703125" style="133" customWidth="1"/>
    <col min="3058" max="3058" width="23.5703125" style="133" customWidth="1"/>
    <col min="3059" max="3059" width="27.85546875" style="133" customWidth="1"/>
    <col min="3060" max="3060" width="22.28515625" style="133" customWidth="1"/>
    <col min="3061" max="3061" width="23.5703125" style="133" customWidth="1"/>
    <col min="3062" max="3062" width="39" style="133" customWidth="1"/>
    <col min="3063" max="3063" width="36.42578125" style="133" customWidth="1"/>
    <col min="3064" max="3064" width="8" style="133" customWidth="1"/>
    <col min="3065" max="3065" width="15.5703125" style="133" customWidth="1"/>
    <col min="3066" max="3066" width="17.28515625" style="133" customWidth="1"/>
    <col min="3067" max="3067" width="18.85546875" style="133" customWidth="1"/>
    <col min="3068" max="3068" width="81" style="133" customWidth="1"/>
    <col min="3069" max="3069" width="14.85546875" style="133" customWidth="1"/>
    <col min="3070" max="3070" width="15.7109375" style="133" customWidth="1"/>
    <col min="3071" max="3071" width="17.5703125" style="133" customWidth="1"/>
    <col min="3072" max="3072" width="18.42578125" style="133" customWidth="1"/>
    <col min="3073" max="3073" width="16.5703125" style="133" customWidth="1"/>
    <col min="3074" max="3074" width="17.7109375" style="133" customWidth="1"/>
    <col min="3075" max="3075" width="17.85546875" style="133" customWidth="1"/>
    <col min="3076" max="3076" width="18.42578125" style="133" customWidth="1"/>
    <col min="3077" max="3077" width="15.42578125" style="133" customWidth="1"/>
    <col min="3078" max="3078" width="14.5703125" style="133" customWidth="1"/>
    <col min="3079" max="3079" width="15" style="133" customWidth="1"/>
    <col min="3080" max="3080" width="6.7109375" style="133" customWidth="1"/>
    <col min="3081" max="3081" width="14.28515625" style="133" customWidth="1"/>
    <col min="3082" max="3082" width="17.5703125" style="133" customWidth="1"/>
    <col min="3083" max="3083" width="27.7109375" style="133" customWidth="1"/>
    <col min="3084" max="3086" width="9.140625" style="133" customWidth="1"/>
    <col min="3087" max="3087" width="14.85546875" style="133" customWidth="1"/>
    <col min="3088" max="3088" width="13.85546875" style="133" customWidth="1"/>
    <col min="3089" max="3310" width="9.140625" style="133" customWidth="1"/>
    <col min="3311" max="3311" width="9.140625" style="133"/>
    <col min="3312" max="3312" width="6.5703125" style="133" customWidth="1"/>
    <col min="3313" max="3313" width="79.5703125" style="133" customWidth="1"/>
    <col min="3314" max="3314" width="23.5703125" style="133" customWidth="1"/>
    <col min="3315" max="3315" width="27.85546875" style="133" customWidth="1"/>
    <col min="3316" max="3316" width="22.28515625" style="133" customWidth="1"/>
    <col min="3317" max="3317" width="23.5703125" style="133" customWidth="1"/>
    <col min="3318" max="3318" width="39" style="133" customWidth="1"/>
    <col min="3319" max="3319" width="36.42578125" style="133" customWidth="1"/>
    <col min="3320" max="3320" width="8" style="133" customWidth="1"/>
    <col min="3321" max="3321" width="15.5703125" style="133" customWidth="1"/>
    <col min="3322" max="3322" width="17.28515625" style="133" customWidth="1"/>
    <col min="3323" max="3323" width="18.85546875" style="133" customWidth="1"/>
    <col min="3324" max="3324" width="81" style="133" customWidth="1"/>
    <col min="3325" max="3325" width="14.85546875" style="133" customWidth="1"/>
    <col min="3326" max="3326" width="15.7109375" style="133" customWidth="1"/>
    <col min="3327" max="3327" width="17.5703125" style="133" customWidth="1"/>
    <col min="3328" max="3328" width="18.42578125" style="133" customWidth="1"/>
    <col min="3329" max="3329" width="16.5703125" style="133" customWidth="1"/>
    <col min="3330" max="3330" width="17.7109375" style="133" customWidth="1"/>
    <col min="3331" max="3331" width="17.85546875" style="133" customWidth="1"/>
    <col min="3332" max="3332" width="18.42578125" style="133" customWidth="1"/>
    <col min="3333" max="3333" width="15.42578125" style="133" customWidth="1"/>
    <col min="3334" max="3334" width="14.5703125" style="133" customWidth="1"/>
    <col min="3335" max="3335" width="15" style="133" customWidth="1"/>
    <col min="3336" max="3336" width="6.7109375" style="133" customWidth="1"/>
    <col min="3337" max="3337" width="14.28515625" style="133" customWidth="1"/>
    <col min="3338" max="3338" width="17.5703125" style="133" customWidth="1"/>
    <col min="3339" max="3339" width="27.7109375" style="133" customWidth="1"/>
    <col min="3340" max="3342" width="9.140625" style="133" customWidth="1"/>
    <col min="3343" max="3343" width="14.85546875" style="133" customWidth="1"/>
    <col min="3344" max="3344" width="13.85546875" style="133" customWidth="1"/>
    <col min="3345" max="3566" width="9.140625" style="133" customWidth="1"/>
    <col min="3567" max="3567" width="9.140625" style="133"/>
    <col min="3568" max="3568" width="6.5703125" style="133" customWidth="1"/>
    <col min="3569" max="3569" width="79.5703125" style="133" customWidth="1"/>
    <col min="3570" max="3570" width="23.5703125" style="133" customWidth="1"/>
    <col min="3571" max="3571" width="27.85546875" style="133" customWidth="1"/>
    <col min="3572" max="3572" width="22.28515625" style="133" customWidth="1"/>
    <col min="3573" max="3573" width="23.5703125" style="133" customWidth="1"/>
    <col min="3574" max="3574" width="39" style="133" customWidth="1"/>
    <col min="3575" max="3575" width="36.42578125" style="133" customWidth="1"/>
    <col min="3576" max="3576" width="8" style="133" customWidth="1"/>
    <col min="3577" max="3577" width="15.5703125" style="133" customWidth="1"/>
    <col min="3578" max="3578" width="17.28515625" style="133" customWidth="1"/>
    <col min="3579" max="3579" width="18.85546875" style="133" customWidth="1"/>
    <col min="3580" max="3580" width="81" style="133" customWidth="1"/>
    <col min="3581" max="3581" width="14.85546875" style="133" customWidth="1"/>
    <col min="3582" max="3582" width="15.7109375" style="133" customWidth="1"/>
    <col min="3583" max="3583" width="17.5703125" style="133" customWidth="1"/>
    <col min="3584" max="3584" width="18.42578125" style="133" customWidth="1"/>
    <col min="3585" max="3585" width="16.5703125" style="133" customWidth="1"/>
    <col min="3586" max="3586" width="17.7109375" style="133" customWidth="1"/>
    <col min="3587" max="3587" width="17.85546875" style="133" customWidth="1"/>
    <col min="3588" max="3588" width="18.42578125" style="133" customWidth="1"/>
    <col min="3589" max="3589" width="15.42578125" style="133" customWidth="1"/>
    <col min="3590" max="3590" width="14.5703125" style="133" customWidth="1"/>
    <col min="3591" max="3591" width="15" style="133" customWidth="1"/>
    <col min="3592" max="3592" width="6.7109375" style="133" customWidth="1"/>
    <col min="3593" max="3593" width="14.28515625" style="133" customWidth="1"/>
    <col min="3594" max="3594" width="17.5703125" style="133" customWidth="1"/>
    <col min="3595" max="3595" width="27.7109375" style="133" customWidth="1"/>
    <col min="3596" max="3598" width="9.140625" style="133" customWidth="1"/>
    <col min="3599" max="3599" width="14.85546875" style="133" customWidth="1"/>
    <col min="3600" max="3600" width="13.85546875" style="133" customWidth="1"/>
    <col min="3601" max="3822" width="9.140625" style="133" customWidth="1"/>
    <col min="3823" max="3823" width="9.140625" style="133"/>
    <col min="3824" max="3824" width="6.5703125" style="133" customWidth="1"/>
    <col min="3825" max="3825" width="79.5703125" style="133" customWidth="1"/>
    <col min="3826" max="3826" width="23.5703125" style="133" customWidth="1"/>
    <col min="3827" max="3827" width="27.85546875" style="133" customWidth="1"/>
    <col min="3828" max="3828" width="22.28515625" style="133" customWidth="1"/>
    <col min="3829" max="3829" width="23.5703125" style="133" customWidth="1"/>
    <col min="3830" max="3830" width="39" style="133" customWidth="1"/>
    <col min="3831" max="3831" width="36.42578125" style="133" customWidth="1"/>
    <col min="3832" max="3832" width="8" style="133" customWidth="1"/>
    <col min="3833" max="3833" width="15.5703125" style="133" customWidth="1"/>
    <col min="3834" max="3834" width="17.28515625" style="133" customWidth="1"/>
    <col min="3835" max="3835" width="18.85546875" style="133" customWidth="1"/>
    <col min="3836" max="3836" width="81" style="133" customWidth="1"/>
    <col min="3837" max="3837" width="14.85546875" style="133" customWidth="1"/>
    <col min="3838" max="3838" width="15.7109375" style="133" customWidth="1"/>
    <col min="3839" max="3839" width="17.5703125" style="133" customWidth="1"/>
    <col min="3840" max="3840" width="18.42578125" style="133" customWidth="1"/>
    <col min="3841" max="3841" width="16.5703125" style="133" customWidth="1"/>
    <col min="3842" max="3842" width="17.7109375" style="133" customWidth="1"/>
    <col min="3843" max="3843" width="17.85546875" style="133" customWidth="1"/>
    <col min="3844" max="3844" width="18.42578125" style="133" customWidth="1"/>
    <col min="3845" max="3845" width="15.42578125" style="133" customWidth="1"/>
    <col min="3846" max="3846" width="14.5703125" style="133" customWidth="1"/>
    <col min="3847" max="3847" width="15" style="133" customWidth="1"/>
    <col min="3848" max="3848" width="6.7109375" style="133" customWidth="1"/>
    <col min="3849" max="3849" width="14.28515625" style="133" customWidth="1"/>
    <col min="3850" max="3850" width="17.5703125" style="133" customWidth="1"/>
    <col min="3851" max="3851" width="27.7109375" style="133" customWidth="1"/>
    <col min="3852" max="3854" width="9.140625" style="133" customWidth="1"/>
    <col min="3855" max="3855" width="14.85546875" style="133" customWidth="1"/>
    <col min="3856" max="3856" width="13.85546875" style="133" customWidth="1"/>
    <col min="3857" max="4078" width="9.140625" style="133" customWidth="1"/>
    <col min="4079" max="4079" width="9.140625" style="133"/>
    <col min="4080" max="4080" width="6.5703125" style="133" customWidth="1"/>
    <col min="4081" max="4081" width="79.5703125" style="133" customWidth="1"/>
    <col min="4082" max="4082" width="23.5703125" style="133" customWidth="1"/>
    <col min="4083" max="4083" width="27.85546875" style="133" customWidth="1"/>
    <col min="4084" max="4084" width="22.28515625" style="133" customWidth="1"/>
    <col min="4085" max="4085" width="23.5703125" style="133" customWidth="1"/>
    <col min="4086" max="4086" width="39" style="133" customWidth="1"/>
    <col min="4087" max="4087" width="36.42578125" style="133" customWidth="1"/>
    <col min="4088" max="4088" width="8" style="133" customWidth="1"/>
    <col min="4089" max="4089" width="15.5703125" style="133" customWidth="1"/>
    <col min="4090" max="4090" width="17.28515625" style="133" customWidth="1"/>
    <col min="4091" max="4091" width="18.85546875" style="133" customWidth="1"/>
    <col min="4092" max="4092" width="81" style="133" customWidth="1"/>
    <col min="4093" max="4093" width="14.85546875" style="133" customWidth="1"/>
    <col min="4094" max="4094" width="15.7109375" style="133" customWidth="1"/>
    <col min="4095" max="4095" width="17.5703125" style="133" customWidth="1"/>
    <col min="4096" max="4096" width="18.42578125" style="133" customWidth="1"/>
    <col min="4097" max="4097" width="16.5703125" style="133" customWidth="1"/>
    <col min="4098" max="4098" width="17.7109375" style="133" customWidth="1"/>
    <col min="4099" max="4099" width="17.85546875" style="133" customWidth="1"/>
    <col min="4100" max="4100" width="18.42578125" style="133" customWidth="1"/>
    <col min="4101" max="4101" width="15.42578125" style="133" customWidth="1"/>
    <col min="4102" max="4102" width="14.5703125" style="133" customWidth="1"/>
    <col min="4103" max="4103" width="15" style="133" customWidth="1"/>
    <col min="4104" max="4104" width="6.7109375" style="133" customWidth="1"/>
    <col min="4105" max="4105" width="14.28515625" style="133" customWidth="1"/>
    <col min="4106" max="4106" width="17.5703125" style="133" customWidth="1"/>
    <col min="4107" max="4107" width="27.7109375" style="133" customWidth="1"/>
    <col min="4108" max="4110" width="9.140625" style="133" customWidth="1"/>
    <col min="4111" max="4111" width="14.85546875" style="133" customWidth="1"/>
    <col min="4112" max="4112" width="13.85546875" style="133" customWidth="1"/>
    <col min="4113" max="4334" width="9.140625" style="133" customWidth="1"/>
    <col min="4335" max="4335" width="9.140625" style="133"/>
    <col min="4336" max="4336" width="6.5703125" style="133" customWidth="1"/>
    <col min="4337" max="4337" width="79.5703125" style="133" customWidth="1"/>
    <col min="4338" max="4338" width="23.5703125" style="133" customWidth="1"/>
    <col min="4339" max="4339" width="27.85546875" style="133" customWidth="1"/>
    <col min="4340" max="4340" width="22.28515625" style="133" customWidth="1"/>
    <col min="4341" max="4341" width="23.5703125" style="133" customWidth="1"/>
    <col min="4342" max="4342" width="39" style="133" customWidth="1"/>
    <col min="4343" max="4343" width="36.42578125" style="133" customWidth="1"/>
    <col min="4344" max="4344" width="8" style="133" customWidth="1"/>
    <col min="4345" max="4345" width="15.5703125" style="133" customWidth="1"/>
    <col min="4346" max="4346" width="17.28515625" style="133" customWidth="1"/>
    <col min="4347" max="4347" width="18.85546875" style="133" customWidth="1"/>
    <col min="4348" max="4348" width="81" style="133" customWidth="1"/>
    <col min="4349" max="4349" width="14.85546875" style="133" customWidth="1"/>
    <col min="4350" max="4350" width="15.7109375" style="133" customWidth="1"/>
    <col min="4351" max="4351" width="17.5703125" style="133" customWidth="1"/>
    <col min="4352" max="4352" width="18.42578125" style="133" customWidth="1"/>
    <col min="4353" max="4353" width="16.5703125" style="133" customWidth="1"/>
    <col min="4354" max="4354" width="17.7109375" style="133" customWidth="1"/>
    <col min="4355" max="4355" width="17.85546875" style="133" customWidth="1"/>
    <col min="4356" max="4356" width="18.42578125" style="133" customWidth="1"/>
    <col min="4357" max="4357" width="15.42578125" style="133" customWidth="1"/>
    <col min="4358" max="4358" width="14.5703125" style="133" customWidth="1"/>
    <col min="4359" max="4359" width="15" style="133" customWidth="1"/>
    <col min="4360" max="4360" width="6.7109375" style="133" customWidth="1"/>
    <col min="4361" max="4361" width="14.28515625" style="133" customWidth="1"/>
    <col min="4362" max="4362" width="17.5703125" style="133" customWidth="1"/>
    <col min="4363" max="4363" width="27.7109375" style="133" customWidth="1"/>
    <col min="4364" max="4366" width="9.140625" style="133" customWidth="1"/>
    <col min="4367" max="4367" width="14.85546875" style="133" customWidth="1"/>
    <col min="4368" max="4368" width="13.85546875" style="133" customWidth="1"/>
    <col min="4369" max="4590" width="9.140625" style="133" customWidth="1"/>
    <col min="4591" max="4591" width="9.140625" style="133"/>
    <col min="4592" max="4592" width="6.5703125" style="133" customWidth="1"/>
    <col min="4593" max="4593" width="79.5703125" style="133" customWidth="1"/>
    <col min="4594" max="4594" width="23.5703125" style="133" customWidth="1"/>
    <col min="4595" max="4595" width="27.85546875" style="133" customWidth="1"/>
    <col min="4596" max="4596" width="22.28515625" style="133" customWidth="1"/>
    <col min="4597" max="4597" width="23.5703125" style="133" customWidth="1"/>
    <col min="4598" max="4598" width="39" style="133" customWidth="1"/>
    <col min="4599" max="4599" width="36.42578125" style="133" customWidth="1"/>
    <col min="4600" max="4600" width="8" style="133" customWidth="1"/>
    <col min="4601" max="4601" width="15.5703125" style="133" customWidth="1"/>
    <col min="4602" max="4602" width="17.28515625" style="133" customWidth="1"/>
    <col min="4603" max="4603" width="18.85546875" style="133" customWidth="1"/>
    <col min="4604" max="4604" width="81" style="133" customWidth="1"/>
    <col min="4605" max="4605" width="14.85546875" style="133" customWidth="1"/>
    <col min="4606" max="4606" width="15.7109375" style="133" customWidth="1"/>
    <col min="4607" max="4607" width="17.5703125" style="133" customWidth="1"/>
    <col min="4608" max="4608" width="18.42578125" style="133" customWidth="1"/>
    <col min="4609" max="4609" width="16.5703125" style="133" customWidth="1"/>
    <col min="4610" max="4610" width="17.7109375" style="133" customWidth="1"/>
    <col min="4611" max="4611" width="17.85546875" style="133" customWidth="1"/>
    <col min="4612" max="4612" width="18.42578125" style="133" customWidth="1"/>
    <col min="4613" max="4613" width="15.42578125" style="133" customWidth="1"/>
    <col min="4614" max="4614" width="14.5703125" style="133" customWidth="1"/>
    <col min="4615" max="4615" width="15" style="133" customWidth="1"/>
    <col min="4616" max="4616" width="6.7109375" style="133" customWidth="1"/>
    <col min="4617" max="4617" width="14.28515625" style="133" customWidth="1"/>
    <col min="4618" max="4618" width="17.5703125" style="133" customWidth="1"/>
    <col min="4619" max="4619" width="27.7109375" style="133" customWidth="1"/>
    <col min="4620" max="4622" width="9.140625" style="133" customWidth="1"/>
    <col min="4623" max="4623" width="14.85546875" style="133" customWidth="1"/>
    <col min="4624" max="4624" width="13.85546875" style="133" customWidth="1"/>
    <col min="4625" max="4846" width="9.140625" style="133" customWidth="1"/>
    <col min="4847" max="4847" width="9.140625" style="133"/>
    <col min="4848" max="4848" width="6.5703125" style="133" customWidth="1"/>
    <col min="4849" max="4849" width="79.5703125" style="133" customWidth="1"/>
    <col min="4850" max="4850" width="23.5703125" style="133" customWidth="1"/>
    <col min="4851" max="4851" width="27.85546875" style="133" customWidth="1"/>
    <col min="4852" max="4852" width="22.28515625" style="133" customWidth="1"/>
    <col min="4853" max="4853" width="23.5703125" style="133" customWidth="1"/>
    <col min="4854" max="4854" width="39" style="133" customWidth="1"/>
    <col min="4855" max="4855" width="36.42578125" style="133" customWidth="1"/>
    <col min="4856" max="4856" width="8" style="133" customWidth="1"/>
    <col min="4857" max="4857" width="15.5703125" style="133" customWidth="1"/>
    <col min="4858" max="4858" width="17.28515625" style="133" customWidth="1"/>
    <col min="4859" max="4859" width="18.85546875" style="133" customWidth="1"/>
    <col min="4860" max="4860" width="81" style="133" customWidth="1"/>
    <col min="4861" max="4861" width="14.85546875" style="133" customWidth="1"/>
    <col min="4862" max="4862" width="15.7109375" style="133" customWidth="1"/>
    <col min="4863" max="4863" width="17.5703125" style="133" customWidth="1"/>
    <col min="4864" max="4864" width="18.42578125" style="133" customWidth="1"/>
    <col min="4865" max="4865" width="16.5703125" style="133" customWidth="1"/>
    <col min="4866" max="4866" width="17.7109375" style="133" customWidth="1"/>
    <col min="4867" max="4867" width="17.85546875" style="133" customWidth="1"/>
    <col min="4868" max="4868" width="18.42578125" style="133" customWidth="1"/>
    <col min="4869" max="4869" width="15.42578125" style="133" customWidth="1"/>
    <col min="4870" max="4870" width="14.5703125" style="133" customWidth="1"/>
    <col min="4871" max="4871" width="15" style="133" customWidth="1"/>
    <col min="4872" max="4872" width="6.7109375" style="133" customWidth="1"/>
    <col min="4873" max="4873" width="14.28515625" style="133" customWidth="1"/>
    <col min="4874" max="4874" width="17.5703125" style="133" customWidth="1"/>
    <col min="4875" max="4875" width="27.7109375" style="133" customWidth="1"/>
    <col min="4876" max="4878" width="9.140625" style="133" customWidth="1"/>
    <col min="4879" max="4879" width="14.85546875" style="133" customWidth="1"/>
    <col min="4880" max="4880" width="13.85546875" style="133" customWidth="1"/>
    <col min="4881" max="5102" width="9.140625" style="133" customWidth="1"/>
    <col min="5103" max="5103" width="9.140625" style="133"/>
    <col min="5104" max="5104" width="6.5703125" style="133" customWidth="1"/>
    <col min="5105" max="5105" width="79.5703125" style="133" customWidth="1"/>
    <col min="5106" max="5106" width="23.5703125" style="133" customWidth="1"/>
    <col min="5107" max="5107" width="27.85546875" style="133" customWidth="1"/>
    <col min="5108" max="5108" width="22.28515625" style="133" customWidth="1"/>
    <col min="5109" max="5109" width="23.5703125" style="133" customWidth="1"/>
    <col min="5110" max="5110" width="39" style="133" customWidth="1"/>
    <col min="5111" max="5111" width="36.42578125" style="133" customWidth="1"/>
    <col min="5112" max="5112" width="8" style="133" customWidth="1"/>
    <col min="5113" max="5113" width="15.5703125" style="133" customWidth="1"/>
    <col min="5114" max="5114" width="17.28515625" style="133" customWidth="1"/>
    <col min="5115" max="5115" width="18.85546875" style="133" customWidth="1"/>
    <col min="5116" max="5116" width="81" style="133" customWidth="1"/>
    <col min="5117" max="5117" width="14.85546875" style="133" customWidth="1"/>
    <col min="5118" max="5118" width="15.7109375" style="133" customWidth="1"/>
    <col min="5119" max="5119" width="17.5703125" style="133" customWidth="1"/>
    <col min="5120" max="5120" width="18.42578125" style="133" customWidth="1"/>
    <col min="5121" max="5121" width="16.5703125" style="133" customWidth="1"/>
    <col min="5122" max="5122" width="17.7109375" style="133" customWidth="1"/>
    <col min="5123" max="5123" width="17.85546875" style="133" customWidth="1"/>
    <col min="5124" max="5124" width="18.42578125" style="133" customWidth="1"/>
    <col min="5125" max="5125" width="15.42578125" style="133" customWidth="1"/>
    <col min="5126" max="5126" width="14.5703125" style="133" customWidth="1"/>
    <col min="5127" max="5127" width="15" style="133" customWidth="1"/>
    <col min="5128" max="5128" width="6.7109375" style="133" customWidth="1"/>
    <col min="5129" max="5129" width="14.28515625" style="133" customWidth="1"/>
    <col min="5130" max="5130" width="17.5703125" style="133" customWidth="1"/>
    <col min="5131" max="5131" width="27.7109375" style="133" customWidth="1"/>
    <col min="5132" max="5134" width="9.140625" style="133" customWidth="1"/>
    <col min="5135" max="5135" width="14.85546875" style="133" customWidth="1"/>
    <col min="5136" max="5136" width="13.85546875" style="133" customWidth="1"/>
    <col min="5137" max="5358" width="9.140625" style="133" customWidth="1"/>
    <col min="5359" max="5359" width="9.140625" style="133"/>
    <col min="5360" max="5360" width="6.5703125" style="133" customWidth="1"/>
    <col min="5361" max="5361" width="79.5703125" style="133" customWidth="1"/>
    <col min="5362" max="5362" width="23.5703125" style="133" customWidth="1"/>
    <col min="5363" max="5363" width="27.85546875" style="133" customWidth="1"/>
    <col min="5364" max="5364" width="22.28515625" style="133" customWidth="1"/>
    <col min="5365" max="5365" width="23.5703125" style="133" customWidth="1"/>
    <col min="5366" max="5366" width="39" style="133" customWidth="1"/>
    <col min="5367" max="5367" width="36.42578125" style="133" customWidth="1"/>
    <col min="5368" max="5368" width="8" style="133" customWidth="1"/>
    <col min="5369" max="5369" width="15.5703125" style="133" customWidth="1"/>
    <col min="5370" max="5370" width="17.28515625" style="133" customWidth="1"/>
    <col min="5371" max="5371" width="18.85546875" style="133" customWidth="1"/>
    <col min="5372" max="5372" width="81" style="133" customWidth="1"/>
    <col min="5373" max="5373" width="14.85546875" style="133" customWidth="1"/>
    <col min="5374" max="5374" width="15.7109375" style="133" customWidth="1"/>
    <col min="5375" max="5375" width="17.5703125" style="133" customWidth="1"/>
    <col min="5376" max="5376" width="18.42578125" style="133" customWidth="1"/>
    <col min="5377" max="5377" width="16.5703125" style="133" customWidth="1"/>
    <col min="5378" max="5378" width="17.7109375" style="133" customWidth="1"/>
    <col min="5379" max="5379" width="17.85546875" style="133" customWidth="1"/>
    <col min="5380" max="5380" width="18.42578125" style="133" customWidth="1"/>
    <col min="5381" max="5381" width="15.42578125" style="133" customWidth="1"/>
    <col min="5382" max="5382" width="14.5703125" style="133" customWidth="1"/>
    <col min="5383" max="5383" width="15" style="133" customWidth="1"/>
    <col min="5384" max="5384" width="6.7109375" style="133" customWidth="1"/>
    <col min="5385" max="5385" width="14.28515625" style="133" customWidth="1"/>
    <col min="5386" max="5386" width="17.5703125" style="133" customWidth="1"/>
    <col min="5387" max="5387" width="27.7109375" style="133" customWidth="1"/>
    <col min="5388" max="5390" width="9.140625" style="133" customWidth="1"/>
    <col min="5391" max="5391" width="14.85546875" style="133" customWidth="1"/>
    <col min="5392" max="5392" width="13.85546875" style="133" customWidth="1"/>
    <col min="5393" max="5614" width="9.140625" style="133" customWidth="1"/>
    <col min="5615" max="5615" width="9.140625" style="133"/>
    <col min="5616" max="5616" width="6.5703125" style="133" customWidth="1"/>
    <col min="5617" max="5617" width="79.5703125" style="133" customWidth="1"/>
    <col min="5618" max="5618" width="23.5703125" style="133" customWidth="1"/>
    <col min="5619" max="5619" width="27.85546875" style="133" customWidth="1"/>
    <col min="5620" max="5620" width="22.28515625" style="133" customWidth="1"/>
    <col min="5621" max="5621" width="23.5703125" style="133" customWidth="1"/>
    <col min="5622" max="5622" width="39" style="133" customWidth="1"/>
    <col min="5623" max="5623" width="36.42578125" style="133" customWidth="1"/>
    <col min="5624" max="5624" width="8" style="133" customWidth="1"/>
    <col min="5625" max="5625" width="15.5703125" style="133" customWidth="1"/>
    <col min="5626" max="5626" width="17.28515625" style="133" customWidth="1"/>
    <col min="5627" max="5627" width="18.85546875" style="133" customWidth="1"/>
    <col min="5628" max="5628" width="81" style="133" customWidth="1"/>
    <col min="5629" max="5629" width="14.85546875" style="133" customWidth="1"/>
    <col min="5630" max="5630" width="15.7109375" style="133" customWidth="1"/>
    <col min="5631" max="5631" width="17.5703125" style="133" customWidth="1"/>
    <col min="5632" max="5632" width="18.42578125" style="133" customWidth="1"/>
    <col min="5633" max="5633" width="16.5703125" style="133" customWidth="1"/>
    <col min="5634" max="5634" width="17.7109375" style="133" customWidth="1"/>
    <col min="5635" max="5635" width="17.85546875" style="133" customWidth="1"/>
    <col min="5636" max="5636" width="18.42578125" style="133" customWidth="1"/>
    <col min="5637" max="5637" width="15.42578125" style="133" customWidth="1"/>
    <col min="5638" max="5638" width="14.5703125" style="133" customWidth="1"/>
    <col min="5639" max="5639" width="15" style="133" customWidth="1"/>
    <col min="5640" max="5640" width="6.7109375" style="133" customWidth="1"/>
    <col min="5641" max="5641" width="14.28515625" style="133" customWidth="1"/>
    <col min="5642" max="5642" width="17.5703125" style="133" customWidth="1"/>
    <col min="5643" max="5643" width="27.7109375" style="133" customWidth="1"/>
    <col min="5644" max="5646" width="9.140625" style="133" customWidth="1"/>
    <col min="5647" max="5647" width="14.85546875" style="133" customWidth="1"/>
    <col min="5648" max="5648" width="13.85546875" style="133" customWidth="1"/>
    <col min="5649" max="5870" width="9.140625" style="133" customWidth="1"/>
    <col min="5871" max="5871" width="9.140625" style="133"/>
    <col min="5872" max="5872" width="6.5703125" style="133" customWidth="1"/>
    <col min="5873" max="5873" width="79.5703125" style="133" customWidth="1"/>
    <col min="5874" max="5874" width="23.5703125" style="133" customWidth="1"/>
    <col min="5875" max="5875" width="27.85546875" style="133" customWidth="1"/>
    <col min="5876" max="5876" width="22.28515625" style="133" customWidth="1"/>
    <col min="5877" max="5877" width="23.5703125" style="133" customWidth="1"/>
    <col min="5878" max="5878" width="39" style="133" customWidth="1"/>
    <col min="5879" max="5879" width="36.42578125" style="133" customWidth="1"/>
    <col min="5880" max="5880" width="8" style="133" customWidth="1"/>
    <col min="5881" max="5881" width="15.5703125" style="133" customWidth="1"/>
    <col min="5882" max="5882" width="17.28515625" style="133" customWidth="1"/>
    <col min="5883" max="5883" width="18.85546875" style="133" customWidth="1"/>
    <col min="5884" max="5884" width="81" style="133" customWidth="1"/>
    <col min="5885" max="5885" width="14.85546875" style="133" customWidth="1"/>
    <col min="5886" max="5886" width="15.7109375" style="133" customWidth="1"/>
    <col min="5887" max="5887" width="17.5703125" style="133" customWidth="1"/>
    <col min="5888" max="5888" width="18.42578125" style="133" customWidth="1"/>
    <col min="5889" max="5889" width="16.5703125" style="133" customWidth="1"/>
    <col min="5890" max="5890" width="17.7109375" style="133" customWidth="1"/>
    <col min="5891" max="5891" width="17.85546875" style="133" customWidth="1"/>
    <col min="5892" max="5892" width="18.42578125" style="133" customWidth="1"/>
    <col min="5893" max="5893" width="15.42578125" style="133" customWidth="1"/>
    <col min="5894" max="5894" width="14.5703125" style="133" customWidth="1"/>
    <col min="5895" max="5895" width="15" style="133" customWidth="1"/>
    <col min="5896" max="5896" width="6.7109375" style="133" customWidth="1"/>
    <col min="5897" max="5897" width="14.28515625" style="133" customWidth="1"/>
    <col min="5898" max="5898" width="17.5703125" style="133" customWidth="1"/>
    <col min="5899" max="5899" width="27.7109375" style="133" customWidth="1"/>
    <col min="5900" max="5902" width="9.140625" style="133" customWidth="1"/>
    <col min="5903" max="5903" width="14.85546875" style="133" customWidth="1"/>
    <col min="5904" max="5904" width="13.85546875" style="133" customWidth="1"/>
    <col min="5905" max="6126" width="9.140625" style="133" customWidth="1"/>
    <col min="6127" max="6127" width="9.140625" style="133"/>
    <col min="6128" max="6128" width="6.5703125" style="133" customWidth="1"/>
    <col min="6129" max="6129" width="79.5703125" style="133" customWidth="1"/>
    <col min="6130" max="6130" width="23.5703125" style="133" customWidth="1"/>
    <col min="6131" max="6131" width="27.85546875" style="133" customWidth="1"/>
    <col min="6132" max="6132" width="22.28515625" style="133" customWidth="1"/>
    <col min="6133" max="6133" width="23.5703125" style="133" customWidth="1"/>
    <col min="6134" max="6134" width="39" style="133" customWidth="1"/>
    <col min="6135" max="6135" width="36.42578125" style="133" customWidth="1"/>
    <col min="6136" max="6136" width="8" style="133" customWidth="1"/>
    <col min="6137" max="6137" width="15.5703125" style="133" customWidth="1"/>
    <col min="6138" max="6138" width="17.28515625" style="133" customWidth="1"/>
    <col min="6139" max="6139" width="18.85546875" style="133" customWidth="1"/>
    <col min="6140" max="6140" width="81" style="133" customWidth="1"/>
    <col min="6141" max="6141" width="14.85546875" style="133" customWidth="1"/>
    <col min="6142" max="6142" width="15.7109375" style="133" customWidth="1"/>
    <col min="6143" max="6143" width="17.5703125" style="133" customWidth="1"/>
    <col min="6144" max="6144" width="18.42578125" style="133" customWidth="1"/>
    <col min="6145" max="6145" width="16.5703125" style="133" customWidth="1"/>
    <col min="6146" max="6146" width="17.7109375" style="133" customWidth="1"/>
    <col min="6147" max="6147" width="17.85546875" style="133" customWidth="1"/>
    <col min="6148" max="6148" width="18.42578125" style="133" customWidth="1"/>
    <col min="6149" max="6149" width="15.42578125" style="133" customWidth="1"/>
    <col min="6150" max="6150" width="14.5703125" style="133" customWidth="1"/>
    <col min="6151" max="6151" width="15" style="133" customWidth="1"/>
    <col min="6152" max="6152" width="6.7109375" style="133" customWidth="1"/>
    <col min="6153" max="6153" width="14.28515625" style="133" customWidth="1"/>
    <col min="6154" max="6154" width="17.5703125" style="133" customWidth="1"/>
    <col min="6155" max="6155" width="27.7109375" style="133" customWidth="1"/>
    <col min="6156" max="6158" width="9.140625" style="133" customWidth="1"/>
    <col min="6159" max="6159" width="14.85546875" style="133" customWidth="1"/>
    <col min="6160" max="6160" width="13.85546875" style="133" customWidth="1"/>
    <col min="6161" max="6382" width="9.140625" style="133" customWidth="1"/>
    <col min="6383" max="6383" width="9.140625" style="133"/>
    <col min="6384" max="6384" width="6.5703125" style="133" customWidth="1"/>
    <col min="6385" max="6385" width="79.5703125" style="133" customWidth="1"/>
    <col min="6386" max="6386" width="23.5703125" style="133" customWidth="1"/>
    <col min="6387" max="6387" width="27.85546875" style="133" customWidth="1"/>
    <col min="6388" max="6388" width="22.28515625" style="133" customWidth="1"/>
    <col min="6389" max="6389" width="23.5703125" style="133" customWidth="1"/>
    <col min="6390" max="6390" width="39" style="133" customWidth="1"/>
    <col min="6391" max="6391" width="36.42578125" style="133" customWidth="1"/>
    <col min="6392" max="6392" width="8" style="133" customWidth="1"/>
    <col min="6393" max="6393" width="15.5703125" style="133" customWidth="1"/>
    <col min="6394" max="6394" width="17.28515625" style="133" customWidth="1"/>
    <col min="6395" max="6395" width="18.85546875" style="133" customWidth="1"/>
    <col min="6396" max="6396" width="81" style="133" customWidth="1"/>
    <col min="6397" max="6397" width="14.85546875" style="133" customWidth="1"/>
    <col min="6398" max="6398" width="15.7109375" style="133" customWidth="1"/>
    <col min="6399" max="6399" width="17.5703125" style="133" customWidth="1"/>
    <col min="6400" max="6400" width="18.42578125" style="133" customWidth="1"/>
    <col min="6401" max="6401" width="16.5703125" style="133" customWidth="1"/>
    <col min="6402" max="6402" width="17.7109375" style="133" customWidth="1"/>
    <col min="6403" max="6403" width="17.85546875" style="133" customWidth="1"/>
    <col min="6404" max="6404" width="18.42578125" style="133" customWidth="1"/>
    <col min="6405" max="6405" width="15.42578125" style="133" customWidth="1"/>
    <col min="6406" max="6406" width="14.5703125" style="133" customWidth="1"/>
    <col min="6407" max="6407" width="15" style="133" customWidth="1"/>
    <col min="6408" max="6408" width="6.7109375" style="133" customWidth="1"/>
    <col min="6409" max="6409" width="14.28515625" style="133" customWidth="1"/>
    <col min="6410" max="6410" width="17.5703125" style="133" customWidth="1"/>
    <col min="6411" max="6411" width="27.7109375" style="133" customWidth="1"/>
    <col min="6412" max="6414" width="9.140625" style="133" customWidth="1"/>
    <col min="6415" max="6415" width="14.85546875" style="133" customWidth="1"/>
    <col min="6416" max="6416" width="13.85546875" style="133" customWidth="1"/>
    <col min="6417" max="6638" width="9.140625" style="133" customWidth="1"/>
    <col min="6639" max="6639" width="9.140625" style="133"/>
    <col min="6640" max="6640" width="6.5703125" style="133" customWidth="1"/>
    <col min="6641" max="6641" width="79.5703125" style="133" customWidth="1"/>
    <col min="6642" max="6642" width="23.5703125" style="133" customWidth="1"/>
    <col min="6643" max="6643" width="27.85546875" style="133" customWidth="1"/>
    <col min="6644" max="6644" width="22.28515625" style="133" customWidth="1"/>
    <col min="6645" max="6645" width="23.5703125" style="133" customWidth="1"/>
    <col min="6646" max="6646" width="39" style="133" customWidth="1"/>
    <col min="6647" max="6647" width="36.42578125" style="133" customWidth="1"/>
    <col min="6648" max="6648" width="8" style="133" customWidth="1"/>
    <col min="6649" max="6649" width="15.5703125" style="133" customWidth="1"/>
    <col min="6650" max="6650" width="17.28515625" style="133" customWidth="1"/>
    <col min="6651" max="6651" width="18.85546875" style="133" customWidth="1"/>
    <col min="6652" max="6652" width="81" style="133" customWidth="1"/>
    <col min="6653" max="6653" width="14.85546875" style="133" customWidth="1"/>
    <col min="6654" max="6654" width="15.7109375" style="133" customWidth="1"/>
    <col min="6655" max="6655" width="17.5703125" style="133" customWidth="1"/>
    <col min="6656" max="6656" width="18.42578125" style="133" customWidth="1"/>
    <col min="6657" max="6657" width="16.5703125" style="133" customWidth="1"/>
    <col min="6658" max="6658" width="17.7109375" style="133" customWidth="1"/>
    <col min="6659" max="6659" width="17.85546875" style="133" customWidth="1"/>
    <col min="6660" max="6660" width="18.42578125" style="133" customWidth="1"/>
    <col min="6661" max="6661" width="15.42578125" style="133" customWidth="1"/>
    <col min="6662" max="6662" width="14.5703125" style="133" customWidth="1"/>
    <col min="6663" max="6663" width="15" style="133" customWidth="1"/>
    <col min="6664" max="6664" width="6.7109375" style="133" customWidth="1"/>
    <col min="6665" max="6665" width="14.28515625" style="133" customWidth="1"/>
    <col min="6666" max="6666" width="17.5703125" style="133" customWidth="1"/>
    <col min="6667" max="6667" width="27.7109375" style="133" customWidth="1"/>
    <col min="6668" max="6670" width="9.140625" style="133" customWidth="1"/>
    <col min="6671" max="6671" width="14.85546875" style="133" customWidth="1"/>
    <col min="6672" max="6672" width="13.85546875" style="133" customWidth="1"/>
    <col min="6673" max="6894" width="9.140625" style="133" customWidth="1"/>
    <col min="6895" max="6895" width="9.140625" style="133"/>
    <col min="6896" max="6896" width="6.5703125" style="133" customWidth="1"/>
    <col min="6897" max="6897" width="79.5703125" style="133" customWidth="1"/>
    <col min="6898" max="6898" width="23.5703125" style="133" customWidth="1"/>
    <col min="6899" max="6899" width="27.85546875" style="133" customWidth="1"/>
    <col min="6900" max="6900" width="22.28515625" style="133" customWidth="1"/>
    <col min="6901" max="6901" width="23.5703125" style="133" customWidth="1"/>
    <col min="6902" max="6902" width="39" style="133" customWidth="1"/>
    <col min="6903" max="6903" width="36.42578125" style="133" customWidth="1"/>
    <col min="6904" max="6904" width="8" style="133" customWidth="1"/>
    <col min="6905" max="6905" width="15.5703125" style="133" customWidth="1"/>
    <col min="6906" max="6906" width="17.28515625" style="133" customWidth="1"/>
    <col min="6907" max="6907" width="18.85546875" style="133" customWidth="1"/>
    <col min="6908" max="6908" width="81" style="133" customWidth="1"/>
    <col min="6909" max="6909" width="14.85546875" style="133" customWidth="1"/>
    <col min="6910" max="6910" width="15.7109375" style="133" customWidth="1"/>
    <col min="6911" max="6911" width="17.5703125" style="133" customWidth="1"/>
    <col min="6912" max="6912" width="18.42578125" style="133" customWidth="1"/>
    <col min="6913" max="6913" width="16.5703125" style="133" customWidth="1"/>
    <col min="6914" max="6914" width="17.7109375" style="133" customWidth="1"/>
    <col min="6915" max="6915" width="17.85546875" style="133" customWidth="1"/>
    <col min="6916" max="6916" width="18.42578125" style="133" customWidth="1"/>
    <col min="6917" max="6917" width="15.42578125" style="133" customWidth="1"/>
    <col min="6918" max="6918" width="14.5703125" style="133" customWidth="1"/>
    <col min="6919" max="6919" width="15" style="133" customWidth="1"/>
    <col min="6920" max="6920" width="6.7109375" style="133" customWidth="1"/>
    <col min="6921" max="6921" width="14.28515625" style="133" customWidth="1"/>
    <col min="6922" max="6922" width="17.5703125" style="133" customWidth="1"/>
    <col min="6923" max="6923" width="27.7109375" style="133" customWidth="1"/>
    <col min="6924" max="6926" width="9.140625" style="133" customWidth="1"/>
    <col min="6927" max="6927" width="14.85546875" style="133" customWidth="1"/>
    <col min="6928" max="6928" width="13.85546875" style="133" customWidth="1"/>
    <col min="6929" max="7150" width="9.140625" style="133" customWidth="1"/>
    <col min="7151" max="7151" width="9.140625" style="133"/>
    <col min="7152" max="7152" width="6.5703125" style="133" customWidth="1"/>
    <col min="7153" max="7153" width="79.5703125" style="133" customWidth="1"/>
    <col min="7154" max="7154" width="23.5703125" style="133" customWidth="1"/>
    <col min="7155" max="7155" width="27.85546875" style="133" customWidth="1"/>
    <col min="7156" max="7156" width="22.28515625" style="133" customWidth="1"/>
    <col min="7157" max="7157" width="23.5703125" style="133" customWidth="1"/>
    <col min="7158" max="7158" width="39" style="133" customWidth="1"/>
    <col min="7159" max="7159" width="36.42578125" style="133" customWidth="1"/>
    <col min="7160" max="7160" width="8" style="133" customWidth="1"/>
    <col min="7161" max="7161" width="15.5703125" style="133" customWidth="1"/>
    <col min="7162" max="7162" width="17.28515625" style="133" customWidth="1"/>
    <col min="7163" max="7163" width="18.85546875" style="133" customWidth="1"/>
    <col min="7164" max="7164" width="81" style="133" customWidth="1"/>
    <col min="7165" max="7165" width="14.85546875" style="133" customWidth="1"/>
    <col min="7166" max="7166" width="15.7109375" style="133" customWidth="1"/>
    <col min="7167" max="7167" width="17.5703125" style="133" customWidth="1"/>
    <col min="7168" max="7168" width="18.42578125" style="133" customWidth="1"/>
    <col min="7169" max="7169" width="16.5703125" style="133" customWidth="1"/>
    <col min="7170" max="7170" width="17.7109375" style="133" customWidth="1"/>
    <col min="7171" max="7171" width="17.85546875" style="133" customWidth="1"/>
    <col min="7172" max="7172" width="18.42578125" style="133" customWidth="1"/>
    <col min="7173" max="7173" width="15.42578125" style="133" customWidth="1"/>
    <col min="7174" max="7174" width="14.5703125" style="133" customWidth="1"/>
    <col min="7175" max="7175" width="15" style="133" customWidth="1"/>
    <col min="7176" max="7176" width="6.7109375" style="133" customWidth="1"/>
    <col min="7177" max="7177" width="14.28515625" style="133" customWidth="1"/>
    <col min="7178" max="7178" width="17.5703125" style="133" customWidth="1"/>
    <col min="7179" max="7179" width="27.7109375" style="133" customWidth="1"/>
    <col min="7180" max="7182" width="9.140625" style="133" customWidth="1"/>
    <col min="7183" max="7183" width="14.85546875" style="133" customWidth="1"/>
    <col min="7184" max="7184" width="13.85546875" style="133" customWidth="1"/>
    <col min="7185" max="7406" width="9.140625" style="133" customWidth="1"/>
    <col min="7407" max="7407" width="9.140625" style="133"/>
    <col min="7408" max="7408" width="6.5703125" style="133" customWidth="1"/>
    <col min="7409" max="7409" width="79.5703125" style="133" customWidth="1"/>
    <col min="7410" max="7410" width="23.5703125" style="133" customWidth="1"/>
    <col min="7411" max="7411" width="27.85546875" style="133" customWidth="1"/>
    <col min="7412" max="7412" width="22.28515625" style="133" customWidth="1"/>
    <col min="7413" max="7413" width="23.5703125" style="133" customWidth="1"/>
    <col min="7414" max="7414" width="39" style="133" customWidth="1"/>
    <col min="7415" max="7415" width="36.42578125" style="133" customWidth="1"/>
    <col min="7416" max="7416" width="8" style="133" customWidth="1"/>
    <col min="7417" max="7417" width="15.5703125" style="133" customWidth="1"/>
    <col min="7418" max="7418" width="17.28515625" style="133" customWidth="1"/>
    <col min="7419" max="7419" width="18.85546875" style="133" customWidth="1"/>
    <col min="7420" max="7420" width="81" style="133" customWidth="1"/>
    <col min="7421" max="7421" width="14.85546875" style="133" customWidth="1"/>
    <col min="7422" max="7422" width="15.7109375" style="133" customWidth="1"/>
    <col min="7423" max="7423" width="17.5703125" style="133" customWidth="1"/>
    <col min="7424" max="7424" width="18.42578125" style="133" customWidth="1"/>
    <col min="7425" max="7425" width="16.5703125" style="133" customWidth="1"/>
    <col min="7426" max="7426" width="17.7109375" style="133" customWidth="1"/>
    <col min="7427" max="7427" width="17.85546875" style="133" customWidth="1"/>
    <col min="7428" max="7428" width="18.42578125" style="133" customWidth="1"/>
    <col min="7429" max="7429" width="15.42578125" style="133" customWidth="1"/>
    <col min="7430" max="7430" width="14.5703125" style="133" customWidth="1"/>
    <col min="7431" max="7431" width="15" style="133" customWidth="1"/>
    <col min="7432" max="7432" width="6.7109375" style="133" customWidth="1"/>
    <col min="7433" max="7433" width="14.28515625" style="133" customWidth="1"/>
    <col min="7434" max="7434" width="17.5703125" style="133" customWidth="1"/>
    <col min="7435" max="7435" width="27.7109375" style="133" customWidth="1"/>
    <col min="7436" max="7438" width="9.140625" style="133" customWidth="1"/>
    <col min="7439" max="7439" width="14.85546875" style="133" customWidth="1"/>
    <col min="7440" max="7440" width="13.85546875" style="133" customWidth="1"/>
    <col min="7441" max="7662" width="9.140625" style="133" customWidth="1"/>
    <col min="7663" max="7663" width="9.140625" style="133"/>
    <col min="7664" max="7664" width="6.5703125" style="133" customWidth="1"/>
    <col min="7665" max="7665" width="79.5703125" style="133" customWidth="1"/>
    <col min="7666" max="7666" width="23.5703125" style="133" customWidth="1"/>
    <col min="7667" max="7667" width="27.85546875" style="133" customWidth="1"/>
    <col min="7668" max="7668" width="22.28515625" style="133" customWidth="1"/>
    <col min="7669" max="7669" width="23.5703125" style="133" customWidth="1"/>
    <col min="7670" max="7670" width="39" style="133" customWidth="1"/>
    <col min="7671" max="7671" width="36.42578125" style="133" customWidth="1"/>
    <col min="7672" max="7672" width="8" style="133" customWidth="1"/>
    <col min="7673" max="7673" width="15.5703125" style="133" customWidth="1"/>
    <col min="7674" max="7674" width="17.28515625" style="133" customWidth="1"/>
    <col min="7675" max="7675" width="18.85546875" style="133" customWidth="1"/>
    <col min="7676" max="7676" width="81" style="133" customWidth="1"/>
    <col min="7677" max="7677" width="14.85546875" style="133" customWidth="1"/>
    <col min="7678" max="7678" width="15.7109375" style="133" customWidth="1"/>
    <col min="7679" max="7679" width="17.5703125" style="133" customWidth="1"/>
    <col min="7680" max="7680" width="18.42578125" style="133" customWidth="1"/>
    <col min="7681" max="7681" width="16.5703125" style="133" customWidth="1"/>
    <col min="7682" max="7682" width="17.7109375" style="133" customWidth="1"/>
    <col min="7683" max="7683" width="17.85546875" style="133" customWidth="1"/>
    <col min="7684" max="7684" width="18.42578125" style="133" customWidth="1"/>
    <col min="7685" max="7685" width="15.42578125" style="133" customWidth="1"/>
    <col min="7686" max="7686" width="14.5703125" style="133" customWidth="1"/>
    <col min="7687" max="7687" width="15" style="133" customWidth="1"/>
    <col min="7688" max="7688" width="6.7109375" style="133" customWidth="1"/>
    <col min="7689" max="7689" width="14.28515625" style="133" customWidth="1"/>
    <col min="7690" max="7690" width="17.5703125" style="133" customWidth="1"/>
    <col min="7691" max="7691" width="27.7109375" style="133" customWidth="1"/>
    <col min="7692" max="7694" width="9.140625" style="133" customWidth="1"/>
    <col min="7695" max="7695" width="14.85546875" style="133" customWidth="1"/>
    <col min="7696" max="7696" width="13.85546875" style="133" customWidth="1"/>
    <col min="7697" max="7918" width="9.140625" style="133" customWidth="1"/>
    <col min="7919" max="7919" width="9.140625" style="133"/>
    <col min="7920" max="7920" width="6.5703125" style="133" customWidth="1"/>
    <col min="7921" max="7921" width="79.5703125" style="133" customWidth="1"/>
    <col min="7922" max="7922" width="23.5703125" style="133" customWidth="1"/>
    <col min="7923" max="7923" width="27.85546875" style="133" customWidth="1"/>
    <col min="7924" max="7924" width="22.28515625" style="133" customWidth="1"/>
    <col min="7925" max="7925" width="23.5703125" style="133" customWidth="1"/>
    <col min="7926" max="7926" width="39" style="133" customWidth="1"/>
    <col min="7927" max="7927" width="36.42578125" style="133" customWidth="1"/>
    <col min="7928" max="7928" width="8" style="133" customWidth="1"/>
    <col min="7929" max="7929" width="15.5703125" style="133" customWidth="1"/>
    <col min="7930" max="7930" width="17.28515625" style="133" customWidth="1"/>
    <col min="7931" max="7931" width="18.85546875" style="133" customWidth="1"/>
    <col min="7932" max="7932" width="81" style="133" customWidth="1"/>
    <col min="7933" max="7933" width="14.85546875" style="133" customWidth="1"/>
    <col min="7934" max="7934" width="15.7109375" style="133" customWidth="1"/>
    <col min="7935" max="7935" width="17.5703125" style="133" customWidth="1"/>
    <col min="7936" max="7936" width="18.42578125" style="133" customWidth="1"/>
    <col min="7937" max="7937" width="16.5703125" style="133" customWidth="1"/>
    <col min="7938" max="7938" width="17.7109375" style="133" customWidth="1"/>
    <col min="7939" max="7939" width="17.85546875" style="133" customWidth="1"/>
    <col min="7940" max="7940" width="18.42578125" style="133" customWidth="1"/>
    <col min="7941" max="7941" width="15.42578125" style="133" customWidth="1"/>
    <col min="7942" max="7942" width="14.5703125" style="133" customWidth="1"/>
    <col min="7943" max="7943" width="15" style="133" customWidth="1"/>
    <col min="7944" max="7944" width="6.7109375" style="133" customWidth="1"/>
    <col min="7945" max="7945" width="14.28515625" style="133" customWidth="1"/>
    <col min="7946" max="7946" width="17.5703125" style="133" customWidth="1"/>
    <col min="7947" max="7947" width="27.7109375" style="133" customWidth="1"/>
    <col min="7948" max="7950" width="9.140625" style="133" customWidth="1"/>
    <col min="7951" max="7951" width="14.85546875" style="133" customWidth="1"/>
    <col min="7952" max="7952" width="13.85546875" style="133" customWidth="1"/>
    <col min="7953" max="8174" width="9.140625" style="133" customWidth="1"/>
    <col min="8175" max="8175" width="9.140625" style="133"/>
    <col min="8176" max="8176" width="6.5703125" style="133" customWidth="1"/>
    <col min="8177" max="8177" width="79.5703125" style="133" customWidth="1"/>
    <col min="8178" max="8178" width="23.5703125" style="133" customWidth="1"/>
    <col min="8179" max="8179" width="27.85546875" style="133" customWidth="1"/>
    <col min="8180" max="8180" width="22.28515625" style="133" customWidth="1"/>
    <col min="8181" max="8181" width="23.5703125" style="133" customWidth="1"/>
    <col min="8182" max="8182" width="39" style="133" customWidth="1"/>
    <col min="8183" max="8183" width="36.42578125" style="133" customWidth="1"/>
    <col min="8184" max="8184" width="8" style="133" customWidth="1"/>
    <col min="8185" max="8185" width="15.5703125" style="133" customWidth="1"/>
    <col min="8186" max="8186" width="17.28515625" style="133" customWidth="1"/>
    <col min="8187" max="8187" width="18.85546875" style="133" customWidth="1"/>
    <col min="8188" max="8188" width="81" style="133" customWidth="1"/>
    <col min="8189" max="8189" width="14.85546875" style="133" customWidth="1"/>
    <col min="8190" max="8190" width="15.7109375" style="133" customWidth="1"/>
    <col min="8191" max="8191" width="17.5703125" style="133" customWidth="1"/>
    <col min="8192" max="8192" width="18.42578125" style="133" customWidth="1"/>
    <col min="8193" max="8193" width="16.5703125" style="133" customWidth="1"/>
    <col min="8194" max="8194" width="17.7109375" style="133" customWidth="1"/>
    <col min="8195" max="8195" width="17.85546875" style="133" customWidth="1"/>
    <col min="8196" max="8196" width="18.42578125" style="133" customWidth="1"/>
    <col min="8197" max="8197" width="15.42578125" style="133" customWidth="1"/>
    <col min="8198" max="8198" width="14.5703125" style="133" customWidth="1"/>
    <col min="8199" max="8199" width="15" style="133" customWidth="1"/>
    <col min="8200" max="8200" width="6.7109375" style="133" customWidth="1"/>
    <col min="8201" max="8201" width="14.28515625" style="133" customWidth="1"/>
    <col min="8202" max="8202" width="17.5703125" style="133" customWidth="1"/>
    <col min="8203" max="8203" width="27.7109375" style="133" customWidth="1"/>
    <col min="8204" max="8206" width="9.140625" style="133" customWidth="1"/>
    <col min="8207" max="8207" width="14.85546875" style="133" customWidth="1"/>
    <col min="8208" max="8208" width="13.85546875" style="133" customWidth="1"/>
    <col min="8209" max="8430" width="9.140625" style="133" customWidth="1"/>
    <col min="8431" max="8431" width="9.140625" style="133"/>
    <col min="8432" max="8432" width="6.5703125" style="133" customWidth="1"/>
    <col min="8433" max="8433" width="79.5703125" style="133" customWidth="1"/>
    <col min="8434" max="8434" width="23.5703125" style="133" customWidth="1"/>
    <col min="8435" max="8435" width="27.85546875" style="133" customWidth="1"/>
    <col min="8436" max="8436" width="22.28515625" style="133" customWidth="1"/>
    <col min="8437" max="8437" width="23.5703125" style="133" customWidth="1"/>
    <col min="8438" max="8438" width="39" style="133" customWidth="1"/>
    <col min="8439" max="8439" width="36.42578125" style="133" customWidth="1"/>
    <col min="8440" max="8440" width="8" style="133" customWidth="1"/>
    <col min="8441" max="8441" width="15.5703125" style="133" customWidth="1"/>
    <col min="8442" max="8442" width="17.28515625" style="133" customWidth="1"/>
    <col min="8443" max="8443" width="18.85546875" style="133" customWidth="1"/>
    <col min="8444" max="8444" width="81" style="133" customWidth="1"/>
    <col min="8445" max="8445" width="14.85546875" style="133" customWidth="1"/>
    <col min="8446" max="8446" width="15.7109375" style="133" customWidth="1"/>
    <col min="8447" max="8447" width="17.5703125" style="133" customWidth="1"/>
    <col min="8448" max="8448" width="18.42578125" style="133" customWidth="1"/>
    <col min="8449" max="8449" width="16.5703125" style="133" customWidth="1"/>
    <col min="8450" max="8450" width="17.7109375" style="133" customWidth="1"/>
    <col min="8451" max="8451" width="17.85546875" style="133" customWidth="1"/>
    <col min="8452" max="8452" width="18.42578125" style="133" customWidth="1"/>
    <col min="8453" max="8453" width="15.42578125" style="133" customWidth="1"/>
    <col min="8454" max="8454" width="14.5703125" style="133" customWidth="1"/>
    <col min="8455" max="8455" width="15" style="133" customWidth="1"/>
    <col min="8456" max="8456" width="6.7109375" style="133" customWidth="1"/>
    <col min="8457" max="8457" width="14.28515625" style="133" customWidth="1"/>
    <col min="8458" max="8458" width="17.5703125" style="133" customWidth="1"/>
    <col min="8459" max="8459" width="27.7109375" style="133" customWidth="1"/>
    <col min="8460" max="8462" width="9.140625" style="133" customWidth="1"/>
    <col min="8463" max="8463" width="14.85546875" style="133" customWidth="1"/>
    <col min="8464" max="8464" width="13.85546875" style="133" customWidth="1"/>
    <col min="8465" max="8686" width="9.140625" style="133" customWidth="1"/>
    <col min="8687" max="8687" width="9.140625" style="133"/>
    <col min="8688" max="8688" width="6.5703125" style="133" customWidth="1"/>
    <col min="8689" max="8689" width="79.5703125" style="133" customWidth="1"/>
    <col min="8690" max="8690" width="23.5703125" style="133" customWidth="1"/>
    <col min="8691" max="8691" width="27.85546875" style="133" customWidth="1"/>
    <col min="8692" max="8692" width="22.28515625" style="133" customWidth="1"/>
    <col min="8693" max="8693" width="23.5703125" style="133" customWidth="1"/>
    <col min="8694" max="8694" width="39" style="133" customWidth="1"/>
    <col min="8695" max="8695" width="36.42578125" style="133" customWidth="1"/>
    <col min="8696" max="8696" width="8" style="133" customWidth="1"/>
    <col min="8697" max="8697" width="15.5703125" style="133" customWidth="1"/>
    <col min="8698" max="8698" width="17.28515625" style="133" customWidth="1"/>
    <col min="8699" max="8699" width="18.85546875" style="133" customWidth="1"/>
    <col min="8700" max="8700" width="81" style="133" customWidth="1"/>
    <col min="8701" max="8701" width="14.85546875" style="133" customWidth="1"/>
    <col min="8702" max="8702" width="15.7109375" style="133" customWidth="1"/>
    <col min="8703" max="8703" width="17.5703125" style="133" customWidth="1"/>
    <col min="8704" max="8704" width="18.42578125" style="133" customWidth="1"/>
    <col min="8705" max="8705" width="16.5703125" style="133" customWidth="1"/>
    <col min="8706" max="8706" width="17.7109375" style="133" customWidth="1"/>
    <col min="8707" max="8707" width="17.85546875" style="133" customWidth="1"/>
    <col min="8708" max="8708" width="18.42578125" style="133" customWidth="1"/>
    <col min="8709" max="8709" width="15.42578125" style="133" customWidth="1"/>
    <col min="8710" max="8710" width="14.5703125" style="133" customWidth="1"/>
    <col min="8711" max="8711" width="15" style="133" customWidth="1"/>
    <col min="8712" max="8712" width="6.7109375" style="133" customWidth="1"/>
    <col min="8713" max="8713" width="14.28515625" style="133" customWidth="1"/>
    <col min="8714" max="8714" width="17.5703125" style="133" customWidth="1"/>
    <col min="8715" max="8715" width="27.7109375" style="133" customWidth="1"/>
    <col min="8716" max="8718" width="9.140625" style="133" customWidth="1"/>
    <col min="8719" max="8719" width="14.85546875" style="133" customWidth="1"/>
    <col min="8720" max="8720" width="13.85546875" style="133" customWidth="1"/>
    <col min="8721" max="8942" width="9.140625" style="133" customWidth="1"/>
    <col min="8943" max="8943" width="9.140625" style="133"/>
    <col min="8944" max="8944" width="6.5703125" style="133" customWidth="1"/>
    <col min="8945" max="8945" width="79.5703125" style="133" customWidth="1"/>
    <col min="8946" max="8946" width="23.5703125" style="133" customWidth="1"/>
    <col min="8947" max="8947" width="27.85546875" style="133" customWidth="1"/>
    <col min="8948" max="8948" width="22.28515625" style="133" customWidth="1"/>
    <col min="8949" max="8949" width="23.5703125" style="133" customWidth="1"/>
    <col min="8950" max="8950" width="39" style="133" customWidth="1"/>
    <col min="8951" max="8951" width="36.42578125" style="133" customWidth="1"/>
    <col min="8952" max="8952" width="8" style="133" customWidth="1"/>
    <col min="8953" max="8953" width="15.5703125" style="133" customWidth="1"/>
    <col min="8954" max="8954" width="17.28515625" style="133" customWidth="1"/>
    <col min="8955" max="8955" width="18.85546875" style="133" customWidth="1"/>
    <col min="8956" max="8956" width="81" style="133" customWidth="1"/>
    <col min="8957" max="8957" width="14.85546875" style="133" customWidth="1"/>
    <col min="8958" max="8958" width="15.7109375" style="133" customWidth="1"/>
    <col min="8959" max="8959" width="17.5703125" style="133" customWidth="1"/>
    <col min="8960" max="8960" width="18.42578125" style="133" customWidth="1"/>
    <col min="8961" max="8961" width="16.5703125" style="133" customWidth="1"/>
    <col min="8962" max="8962" width="17.7109375" style="133" customWidth="1"/>
    <col min="8963" max="8963" width="17.85546875" style="133" customWidth="1"/>
    <col min="8964" max="8964" width="18.42578125" style="133" customWidth="1"/>
    <col min="8965" max="8965" width="15.42578125" style="133" customWidth="1"/>
    <col min="8966" max="8966" width="14.5703125" style="133" customWidth="1"/>
    <col min="8967" max="8967" width="15" style="133" customWidth="1"/>
    <col min="8968" max="8968" width="6.7109375" style="133" customWidth="1"/>
    <col min="8969" max="8969" width="14.28515625" style="133" customWidth="1"/>
    <col min="8970" max="8970" width="17.5703125" style="133" customWidth="1"/>
    <col min="8971" max="8971" width="27.7109375" style="133" customWidth="1"/>
    <col min="8972" max="8974" width="9.140625" style="133" customWidth="1"/>
    <col min="8975" max="8975" width="14.85546875" style="133" customWidth="1"/>
    <col min="8976" max="8976" width="13.85546875" style="133" customWidth="1"/>
    <col min="8977" max="9198" width="9.140625" style="133" customWidth="1"/>
    <col min="9199" max="9199" width="9.140625" style="133"/>
    <col min="9200" max="9200" width="6.5703125" style="133" customWidth="1"/>
    <col min="9201" max="9201" width="79.5703125" style="133" customWidth="1"/>
    <col min="9202" max="9202" width="23.5703125" style="133" customWidth="1"/>
    <col min="9203" max="9203" width="27.85546875" style="133" customWidth="1"/>
    <col min="9204" max="9204" width="22.28515625" style="133" customWidth="1"/>
    <col min="9205" max="9205" width="23.5703125" style="133" customWidth="1"/>
    <col min="9206" max="9206" width="39" style="133" customWidth="1"/>
    <col min="9207" max="9207" width="36.42578125" style="133" customWidth="1"/>
    <col min="9208" max="9208" width="8" style="133" customWidth="1"/>
    <col min="9209" max="9209" width="15.5703125" style="133" customWidth="1"/>
    <col min="9210" max="9210" width="17.28515625" style="133" customWidth="1"/>
    <col min="9211" max="9211" width="18.85546875" style="133" customWidth="1"/>
    <col min="9212" max="9212" width="81" style="133" customWidth="1"/>
    <col min="9213" max="9213" width="14.85546875" style="133" customWidth="1"/>
    <col min="9214" max="9214" width="15.7109375" style="133" customWidth="1"/>
    <col min="9215" max="9215" width="17.5703125" style="133" customWidth="1"/>
    <col min="9216" max="9216" width="18.42578125" style="133" customWidth="1"/>
    <col min="9217" max="9217" width="16.5703125" style="133" customWidth="1"/>
    <col min="9218" max="9218" width="17.7109375" style="133" customWidth="1"/>
    <col min="9219" max="9219" width="17.85546875" style="133" customWidth="1"/>
    <col min="9220" max="9220" width="18.42578125" style="133" customWidth="1"/>
    <col min="9221" max="9221" width="15.42578125" style="133" customWidth="1"/>
    <col min="9222" max="9222" width="14.5703125" style="133" customWidth="1"/>
    <col min="9223" max="9223" width="15" style="133" customWidth="1"/>
    <col min="9224" max="9224" width="6.7109375" style="133" customWidth="1"/>
    <col min="9225" max="9225" width="14.28515625" style="133" customWidth="1"/>
    <col min="9226" max="9226" width="17.5703125" style="133" customWidth="1"/>
    <col min="9227" max="9227" width="27.7109375" style="133" customWidth="1"/>
    <col min="9228" max="9230" width="9.140625" style="133" customWidth="1"/>
    <col min="9231" max="9231" width="14.85546875" style="133" customWidth="1"/>
    <col min="9232" max="9232" width="13.85546875" style="133" customWidth="1"/>
    <col min="9233" max="9454" width="9.140625" style="133" customWidth="1"/>
    <col min="9455" max="9455" width="9.140625" style="133"/>
    <col min="9456" max="9456" width="6.5703125" style="133" customWidth="1"/>
    <col min="9457" max="9457" width="79.5703125" style="133" customWidth="1"/>
    <col min="9458" max="9458" width="23.5703125" style="133" customWidth="1"/>
    <col min="9459" max="9459" width="27.85546875" style="133" customWidth="1"/>
    <col min="9460" max="9460" width="22.28515625" style="133" customWidth="1"/>
    <col min="9461" max="9461" width="23.5703125" style="133" customWidth="1"/>
    <col min="9462" max="9462" width="39" style="133" customWidth="1"/>
    <col min="9463" max="9463" width="36.42578125" style="133" customWidth="1"/>
    <col min="9464" max="9464" width="8" style="133" customWidth="1"/>
    <col min="9465" max="9465" width="15.5703125" style="133" customWidth="1"/>
    <col min="9466" max="9466" width="17.28515625" style="133" customWidth="1"/>
    <col min="9467" max="9467" width="18.85546875" style="133" customWidth="1"/>
    <col min="9468" max="9468" width="81" style="133" customWidth="1"/>
    <col min="9469" max="9469" width="14.85546875" style="133" customWidth="1"/>
    <col min="9470" max="9470" width="15.7109375" style="133" customWidth="1"/>
    <col min="9471" max="9471" width="17.5703125" style="133" customWidth="1"/>
    <col min="9472" max="9472" width="18.42578125" style="133" customWidth="1"/>
    <col min="9473" max="9473" width="16.5703125" style="133" customWidth="1"/>
    <col min="9474" max="9474" width="17.7109375" style="133" customWidth="1"/>
    <col min="9475" max="9475" width="17.85546875" style="133" customWidth="1"/>
    <col min="9476" max="9476" width="18.42578125" style="133" customWidth="1"/>
    <col min="9477" max="9477" width="15.42578125" style="133" customWidth="1"/>
    <col min="9478" max="9478" width="14.5703125" style="133" customWidth="1"/>
    <col min="9479" max="9479" width="15" style="133" customWidth="1"/>
    <col min="9480" max="9480" width="6.7109375" style="133" customWidth="1"/>
    <col min="9481" max="9481" width="14.28515625" style="133" customWidth="1"/>
    <col min="9482" max="9482" width="17.5703125" style="133" customWidth="1"/>
    <col min="9483" max="9483" width="27.7109375" style="133" customWidth="1"/>
    <col min="9484" max="9486" width="9.140625" style="133" customWidth="1"/>
    <col min="9487" max="9487" width="14.85546875" style="133" customWidth="1"/>
    <col min="9488" max="9488" width="13.85546875" style="133" customWidth="1"/>
    <col min="9489" max="9710" width="9.140625" style="133" customWidth="1"/>
    <col min="9711" max="9711" width="9.140625" style="133"/>
    <col min="9712" max="9712" width="6.5703125" style="133" customWidth="1"/>
    <col min="9713" max="9713" width="79.5703125" style="133" customWidth="1"/>
    <col min="9714" max="9714" width="23.5703125" style="133" customWidth="1"/>
    <col min="9715" max="9715" width="27.85546875" style="133" customWidth="1"/>
    <col min="9716" max="9716" width="22.28515625" style="133" customWidth="1"/>
    <col min="9717" max="9717" width="23.5703125" style="133" customWidth="1"/>
    <col min="9718" max="9718" width="39" style="133" customWidth="1"/>
    <col min="9719" max="9719" width="36.42578125" style="133" customWidth="1"/>
    <col min="9720" max="9720" width="8" style="133" customWidth="1"/>
    <col min="9721" max="9721" width="15.5703125" style="133" customWidth="1"/>
    <col min="9722" max="9722" width="17.28515625" style="133" customWidth="1"/>
    <col min="9723" max="9723" width="18.85546875" style="133" customWidth="1"/>
    <col min="9724" max="9724" width="81" style="133" customWidth="1"/>
    <col min="9725" max="9725" width="14.85546875" style="133" customWidth="1"/>
    <col min="9726" max="9726" width="15.7109375" style="133" customWidth="1"/>
    <col min="9727" max="9727" width="17.5703125" style="133" customWidth="1"/>
    <col min="9728" max="9728" width="18.42578125" style="133" customWidth="1"/>
    <col min="9729" max="9729" width="16.5703125" style="133" customWidth="1"/>
    <col min="9730" max="9730" width="17.7109375" style="133" customWidth="1"/>
    <col min="9731" max="9731" width="17.85546875" style="133" customWidth="1"/>
    <col min="9732" max="9732" width="18.42578125" style="133" customWidth="1"/>
    <col min="9733" max="9733" width="15.42578125" style="133" customWidth="1"/>
    <col min="9734" max="9734" width="14.5703125" style="133" customWidth="1"/>
    <col min="9735" max="9735" width="15" style="133" customWidth="1"/>
    <col min="9736" max="9736" width="6.7109375" style="133" customWidth="1"/>
    <col min="9737" max="9737" width="14.28515625" style="133" customWidth="1"/>
    <col min="9738" max="9738" width="17.5703125" style="133" customWidth="1"/>
    <col min="9739" max="9739" width="27.7109375" style="133" customWidth="1"/>
    <col min="9740" max="9742" width="9.140625" style="133" customWidth="1"/>
    <col min="9743" max="9743" width="14.85546875" style="133" customWidth="1"/>
    <col min="9744" max="9744" width="13.85546875" style="133" customWidth="1"/>
    <col min="9745" max="9966" width="9.140625" style="133" customWidth="1"/>
    <col min="9967" max="9967" width="9.140625" style="133"/>
    <col min="9968" max="9968" width="6.5703125" style="133" customWidth="1"/>
    <col min="9969" max="9969" width="79.5703125" style="133" customWidth="1"/>
    <col min="9970" max="9970" width="23.5703125" style="133" customWidth="1"/>
    <col min="9971" max="9971" width="27.85546875" style="133" customWidth="1"/>
    <col min="9972" max="9972" width="22.28515625" style="133" customWidth="1"/>
    <col min="9973" max="9973" width="23.5703125" style="133" customWidth="1"/>
    <col min="9974" max="9974" width="39" style="133" customWidth="1"/>
    <col min="9975" max="9975" width="36.42578125" style="133" customWidth="1"/>
    <col min="9976" max="9976" width="8" style="133" customWidth="1"/>
    <col min="9977" max="9977" width="15.5703125" style="133" customWidth="1"/>
    <col min="9978" max="9978" width="17.28515625" style="133" customWidth="1"/>
    <col min="9979" max="9979" width="18.85546875" style="133" customWidth="1"/>
    <col min="9980" max="9980" width="81" style="133" customWidth="1"/>
    <col min="9981" max="9981" width="14.85546875" style="133" customWidth="1"/>
    <col min="9982" max="9982" width="15.7109375" style="133" customWidth="1"/>
    <col min="9983" max="9983" width="17.5703125" style="133" customWidth="1"/>
    <col min="9984" max="9984" width="18.42578125" style="133" customWidth="1"/>
    <col min="9985" max="9985" width="16.5703125" style="133" customWidth="1"/>
    <col min="9986" max="9986" width="17.7109375" style="133" customWidth="1"/>
    <col min="9987" max="9987" width="17.85546875" style="133" customWidth="1"/>
    <col min="9988" max="9988" width="18.42578125" style="133" customWidth="1"/>
    <col min="9989" max="9989" width="15.42578125" style="133" customWidth="1"/>
    <col min="9990" max="9990" width="14.5703125" style="133" customWidth="1"/>
    <col min="9991" max="9991" width="15" style="133" customWidth="1"/>
    <col min="9992" max="9992" width="6.7109375" style="133" customWidth="1"/>
    <col min="9993" max="9993" width="14.28515625" style="133" customWidth="1"/>
    <col min="9994" max="9994" width="17.5703125" style="133" customWidth="1"/>
    <col min="9995" max="9995" width="27.7109375" style="133" customWidth="1"/>
    <col min="9996" max="9998" width="9.140625" style="133" customWidth="1"/>
    <col min="9999" max="9999" width="14.85546875" style="133" customWidth="1"/>
    <col min="10000" max="10000" width="13.85546875" style="133" customWidth="1"/>
    <col min="10001" max="10222" width="9.140625" style="133" customWidth="1"/>
    <col min="10223" max="10223" width="9.140625" style="133"/>
    <col min="10224" max="10224" width="6.5703125" style="133" customWidth="1"/>
    <col min="10225" max="10225" width="79.5703125" style="133" customWidth="1"/>
    <col min="10226" max="10226" width="23.5703125" style="133" customWidth="1"/>
    <col min="10227" max="10227" width="27.85546875" style="133" customWidth="1"/>
    <col min="10228" max="10228" width="22.28515625" style="133" customWidth="1"/>
    <col min="10229" max="10229" width="23.5703125" style="133" customWidth="1"/>
    <col min="10230" max="10230" width="39" style="133" customWidth="1"/>
    <col min="10231" max="10231" width="36.42578125" style="133" customWidth="1"/>
    <col min="10232" max="10232" width="8" style="133" customWidth="1"/>
    <col min="10233" max="10233" width="15.5703125" style="133" customWidth="1"/>
    <col min="10234" max="10234" width="17.28515625" style="133" customWidth="1"/>
    <col min="10235" max="10235" width="18.85546875" style="133" customWidth="1"/>
    <col min="10236" max="10236" width="81" style="133" customWidth="1"/>
    <col min="10237" max="10237" width="14.85546875" style="133" customWidth="1"/>
    <col min="10238" max="10238" width="15.7109375" style="133" customWidth="1"/>
    <col min="10239" max="10239" width="17.5703125" style="133" customWidth="1"/>
    <col min="10240" max="10240" width="18.42578125" style="133" customWidth="1"/>
    <col min="10241" max="10241" width="16.5703125" style="133" customWidth="1"/>
    <col min="10242" max="10242" width="17.7109375" style="133" customWidth="1"/>
    <col min="10243" max="10243" width="17.85546875" style="133" customWidth="1"/>
    <col min="10244" max="10244" width="18.42578125" style="133" customWidth="1"/>
    <col min="10245" max="10245" width="15.42578125" style="133" customWidth="1"/>
    <col min="10246" max="10246" width="14.5703125" style="133" customWidth="1"/>
    <col min="10247" max="10247" width="15" style="133" customWidth="1"/>
    <col min="10248" max="10248" width="6.7109375" style="133" customWidth="1"/>
    <col min="10249" max="10249" width="14.28515625" style="133" customWidth="1"/>
    <col min="10250" max="10250" width="17.5703125" style="133" customWidth="1"/>
    <col min="10251" max="10251" width="27.7109375" style="133" customWidth="1"/>
    <col min="10252" max="10254" width="9.140625" style="133" customWidth="1"/>
    <col min="10255" max="10255" width="14.85546875" style="133" customWidth="1"/>
    <col min="10256" max="10256" width="13.85546875" style="133" customWidth="1"/>
    <col min="10257" max="10478" width="9.140625" style="133" customWidth="1"/>
    <col min="10479" max="10479" width="9.140625" style="133"/>
    <col min="10480" max="10480" width="6.5703125" style="133" customWidth="1"/>
    <col min="10481" max="10481" width="79.5703125" style="133" customWidth="1"/>
    <col min="10482" max="10482" width="23.5703125" style="133" customWidth="1"/>
    <col min="10483" max="10483" width="27.85546875" style="133" customWidth="1"/>
    <col min="10484" max="10484" width="22.28515625" style="133" customWidth="1"/>
    <col min="10485" max="10485" width="23.5703125" style="133" customWidth="1"/>
    <col min="10486" max="10486" width="39" style="133" customWidth="1"/>
    <col min="10487" max="10487" width="36.42578125" style="133" customWidth="1"/>
    <col min="10488" max="10488" width="8" style="133" customWidth="1"/>
    <col min="10489" max="10489" width="15.5703125" style="133" customWidth="1"/>
    <col min="10490" max="10490" width="17.28515625" style="133" customWidth="1"/>
    <col min="10491" max="10491" width="18.85546875" style="133" customWidth="1"/>
    <col min="10492" max="10492" width="81" style="133" customWidth="1"/>
    <col min="10493" max="10493" width="14.85546875" style="133" customWidth="1"/>
    <col min="10494" max="10494" width="15.7109375" style="133" customWidth="1"/>
    <col min="10495" max="10495" width="17.5703125" style="133" customWidth="1"/>
    <col min="10496" max="10496" width="18.42578125" style="133" customWidth="1"/>
    <col min="10497" max="10497" width="16.5703125" style="133" customWidth="1"/>
    <col min="10498" max="10498" width="17.7109375" style="133" customWidth="1"/>
    <col min="10499" max="10499" width="17.85546875" style="133" customWidth="1"/>
    <col min="10500" max="10500" width="18.42578125" style="133" customWidth="1"/>
    <col min="10501" max="10501" width="15.42578125" style="133" customWidth="1"/>
    <col min="10502" max="10502" width="14.5703125" style="133" customWidth="1"/>
    <col min="10503" max="10503" width="15" style="133" customWidth="1"/>
    <col min="10504" max="10504" width="6.7109375" style="133" customWidth="1"/>
    <col min="10505" max="10505" width="14.28515625" style="133" customWidth="1"/>
    <col min="10506" max="10506" width="17.5703125" style="133" customWidth="1"/>
    <col min="10507" max="10507" width="27.7109375" style="133" customWidth="1"/>
    <col min="10508" max="10510" width="9.140625" style="133" customWidth="1"/>
    <col min="10511" max="10511" width="14.85546875" style="133" customWidth="1"/>
    <col min="10512" max="10512" width="13.85546875" style="133" customWidth="1"/>
    <col min="10513" max="10734" width="9.140625" style="133" customWidth="1"/>
    <col min="10735" max="10735" width="9.140625" style="133"/>
    <col min="10736" max="10736" width="6.5703125" style="133" customWidth="1"/>
    <col min="10737" max="10737" width="79.5703125" style="133" customWidth="1"/>
    <col min="10738" max="10738" width="23.5703125" style="133" customWidth="1"/>
    <col min="10739" max="10739" width="27.85546875" style="133" customWidth="1"/>
    <col min="10740" max="10740" width="22.28515625" style="133" customWidth="1"/>
    <col min="10741" max="10741" width="23.5703125" style="133" customWidth="1"/>
    <col min="10742" max="10742" width="39" style="133" customWidth="1"/>
    <col min="10743" max="10743" width="36.42578125" style="133" customWidth="1"/>
    <col min="10744" max="10744" width="8" style="133" customWidth="1"/>
    <col min="10745" max="10745" width="15.5703125" style="133" customWidth="1"/>
    <col min="10746" max="10746" width="17.28515625" style="133" customWidth="1"/>
    <col min="10747" max="10747" width="18.85546875" style="133" customWidth="1"/>
    <col min="10748" max="10748" width="81" style="133" customWidth="1"/>
    <col min="10749" max="10749" width="14.85546875" style="133" customWidth="1"/>
    <col min="10750" max="10750" width="15.7109375" style="133" customWidth="1"/>
    <col min="10751" max="10751" width="17.5703125" style="133" customWidth="1"/>
    <col min="10752" max="10752" width="18.42578125" style="133" customWidth="1"/>
    <col min="10753" max="10753" width="16.5703125" style="133" customWidth="1"/>
    <col min="10754" max="10754" width="17.7109375" style="133" customWidth="1"/>
    <col min="10755" max="10755" width="17.85546875" style="133" customWidth="1"/>
    <col min="10756" max="10756" width="18.42578125" style="133" customWidth="1"/>
    <col min="10757" max="10757" width="15.42578125" style="133" customWidth="1"/>
    <col min="10758" max="10758" width="14.5703125" style="133" customWidth="1"/>
    <col min="10759" max="10759" width="15" style="133" customWidth="1"/>
    <col min="10760" max="10760" width="6.7109375" style="133" customWidth="1"/>
    <col min="10761" max="10761" width="14.28515625" style="133" customWidth="1"/>
    <col min="10762" max="10762" width="17.5703125" style="133" customWidth="1"/>
    <col min="10763" max="10763" width="27.7109375" style="133" customWidth="1"/>
    <col min="10764" max="10766" width="9.140625" style="133" customWidth="1"/>
    <col min="10767" max="10767" width="14.85546875" style="133" customWidth="1"/>
    <col min="10768" max="10768" width="13.85546875" style="133" customWidth="1"/>
    <col min="10769" max="10990" width="9.140625" style="133" customWidth="1"/>
    <col min="10991" max="10991" width="9.140625" style="133"/>
    <col min="10992" max="10992" width="6.5703125" style="133" customWidth="1"/>
    <col min="10993" max="10993" width="79.5703125" style="133" customWidth="1"/>
    <col min="10994" max="10994" width="23.5703125" style="133" customWidth="1"/>
    <col min="10995" max="10995" width="27.85546875" style="133" customWidth="1"/>
    <col min="10996" max="10996" width="22.28515625" style="133" customWidth="1"/>
    <col min="10997" max="10997" width="23.5703125" style="133" customWidth="1"/>
    <col min="10998" max="10998" width="39" style="133" customWidth="1"/>
    <col min="10999" max="10999" width="36.42578125" style="133" customWidth="1"/>
    <col min="11000" max="11000" width="8" style="133" customWidth="1"/>
    <col min="11001" max="11001" width="15.5703125" style="133" customWidth="1"/>
    <col min="11002" max="11002" width="17.28515625" style="133" customWidth="1"/>
    <col min="11003" max="11003" width="18.85546875" style="133" customWidth="1"/>
    <col min="11004" max="11004" width="81" style="133" customWidth="1"/>
    <col min="11005" max="11005" width="14.85546875" style="133" customWidth="1"/>
    <col min="11006" max="11006" width="15.7109375" style="133" customWidth="1"/>
    <col min="11007" max="11007" width="17.5703125" style="133" customWidth="1"/>
    <col min="11008" max="11008" width="18.42578125" style="133" customWidth="1"/>
    <col min="11009" max="11009" width="16.5703125" style="133" customWidth="1"/>
    <col min="11010" max="11010" width="17.7109375" style="133" customWidth="1"/>
    <col min="11011" max="11011" width="17.85546875" style="133" customWidth="1"/>
    <col min="11012" max="11012" width="18.42578125" style="133" customWidth="1"/>
    <col min="11013" max="11013" width="15.42578125" style="133" customWidth="1"/>
    <col min="11014" max="11014" width="14.5703125" style="133" customWidth="1"/>
    <col min="11015" max="11015" width="15" style="133" customWidth="1"/>
    <col min="11016" max="11016" width="6.7109375" style="133" customWidth="1"/>
    <col min="11017" max="11017" width="14.28515625" style="133" customWidth="1"/>
    <col min="11018" max="11018" width="17.5703125" style="133" customWidth="1"/>
    <col min="11019" max="11019" width="27.7109375" style="133" customWidth="1"/>
    <col min="11020" max="11022" width="9.140625" style="133" customWidth="1"/>
    <col min="11023" max="11023" width="14.85546875" style="133" customWidth="1"/>
    <col min="11024" max="11024" width="13.85546875" style="133" customWidth="1"/>
    <col min="11025" max="11246" width="9.140625" style="133" customWidth="1"/>
    <col min="11247" max="11247" width="9.140625" style="133"/>
    <col min="11248" max="11248" width="6.5703125" style="133" customWidth="1"/>
    <col min="11249" max="11249" width="79.5703125" style="133" customWidth="1"/>
    <col min="11250" max="11250" width="23.5703125" style="133" customWidth="1"/>
    <col min="11251" max="11251" width="27.85546875" style="133" customWidth="1"/>
    <col min="11252" max="11252" width="22.28515625" style="133" customWidth="1"/>
    <col min="11253" max="11253" width="23.5703125" style="133" customWidth="1"/>
    <col min="11254" max="11254" width="39" style="133" customWidth="1"/>
    <col min="11255" max="11255" width="36.42578125" style="133" customWidth="1"/>
    <col min="11256" max="11256" width="8" style="133" customWidth="1"/>
    <col min="11257" max="11257" width="15.5703125" style="133" customWidth="1"/>
    <col min="11258" max="11258" width="17.28515625" style="133" customWidth="1"/>
    <col min="11259" max="11259" width="18.85546875" style="133" customWidth="1"/>
    <col min="11260" max="11260" width="81" style="133" customWidth="1"/>
    <col min="11261" max="11261" width="14.85546875" style="133" customWidth="1"/>
    <col min="11262" max="11262" width="15.7109375" style="133" customWidth="1"/>
    <col min="11263" max="11263" width="17.5703125" style="133" customWidth="1"/>
    <col min="11264" max="11264" width="18.42578125" style="133" customWidth="1"/>
    <col min="11265" max="11265" width="16.5703125" style="133" customWidth="1"/>
    <col min="11266" max="11266" width="17.7109375" style="133" customWidth="1"/>
    <col min="11267" max="11267" width="17.85546875" style="133" customWidth="1"/>
    <col min="11268" max="11268" width="18.42578125" style="133" customWidth="1"/>
    <col min="11269" max="11269" width="15.42578125" style="133" customWidth="1"/>
    <col min="11270" max="11270" width="14.5703125" style="133" customWidth="1"/>
    <col min="11271" max="11271" width="15" style="133" customWidth="1"/>
    <col min="11272" max="11272" width="6.7109375" style="133" customWidth="1"/>
    <col min="11273" max="11273" width="14.28515625" style="133" customWidth="1"/>
    <col min="11274" max="11274" width="17.5703125" style="133" customWidth="1"/>
    <col min="11275" max="11275" width="27.7109375" style="133" customWidth="1"/>
    <col min="11276" max="11278" width="9.140625" style="133" customWidth="1"/>
    <col min="11279" max="11279" width="14.85546875" style="133" customWidth="1"/>
    <col min="11280" max="11280" width="13.85546875" style="133" customWidth="1"/>
    <col min="11281" max="11502" width="9.140625" style="133" customWidth="1"/>
    <col min="11503" max="11503" width="9.140625" style="133"/>
    <col min="11504" max="11504" width="6.5703125" style="133" customWidth="1"/>
    <col min="11505" max="11505" width="79.5703125" style="133" customWidth="1"/>
    <col min="11506" max="11506" width="23.5703125" style="133" customWidth="1"/>
    <col min="11507" max="11507" width="27.85546875" style="133" customWidth="1"/>
    <col min="11508" max="11508" width="22.28515625" style="133" customWidth="1"/>
    <col min="11509" max="11509" width="23.5703125" style="133" customWidth="1"/>
    <col min="11510" max="11510" width="39" style="133" customWidth="1"/>
    <col min="11511" max="11511" width="36.42578125" style="133" customWidth="1"/>
    <col min="11512" max="11512" width="8" style="133" customWidth="1"/>
    <col min="11513" max="11513" width="15.5703125" style="133" customWidth="1"/>
    <col min="11514" max="11514" width="17.28515625" style="133" customWidth="1"/>
    <col min="11515" max="11515" width="18.85546875" style="133" customWidth="1"/>
    <col min="11516" max="11516" width="81" style="133" customWidth="1"/>
    <col min="11517" max="11517" width="14.85546875" style="133" customWidth="1"/>
    <col min="11518" max="11518" width="15.7109375" style="133" customWidth="1"/>
    <col min="11519" max="11519" width="17.5703125" style="133" customWidth="1"/>
    <col min="11520" max="11520" width="18.42578125" style="133" customWidth="1"/>
    <col min="11521" max="11521" width="16.5703125" style="133" customWidth="1"/>
    <col min="11522" max="11522" width="17.7109375" style="133" customWidth="1"/>
    <col min="11523" max="11523" width="17.85546875" style="133" customWidth="1"/>
    <col min="11524" max="11524" width="18.42578125" style="133" customWidth="1"/>
    <col min="11525" max="11525" width="15.42578125" style="133" customWidth="1"/>
    <col min="11526" max="11526" width="14.5703125" style="133" customWidth="1"/>
    <col min="11527" max="11527" width="15" style="133" customWidth="1"/>
    <col min="11528" max="11528" width="6.7109375" style="133" customWidth="1"/>
    <col min="11529" max="11529" width="14.28515625" style="133" customWidth="1"/>
    <col min="11530" max="11530" width="17.5703125" style="133" customWidth="1"/>
    <col min="11531" max="11531" width="27.7109375" style="133" customWidth="1"/>
    <col min="11532" max="11534" width="9.140625" style="133" customWidth="1"/>
    <col min="11535" max="11535" width="14.85546875" style="133" customWidth="1"/>
    <col min="11536" max="11536" width="13.85546875" style="133" customWidth="1"/>
    <col min="11537" max="11758" width="9.140625" style="133" customWidth="1"/>
    <col min="11759" max="11759" width="9.140625" style="133"/>
    <col min="11760" max="11760" width="6.5703125" style="133" customWidth="1"/>
    <col min="11761" max="11761" width="79.5703125" style="133" customWidth="1"/>
    <col min="11762" max="11762" width="23.5703125" style="133" customWidth="1"/>
    <col min="11763" max="11763" width="27.85546875" style="133" customWidth="1"/>
    <col min="11764" max="11764" width="22.28515625" style="133" customWidth="1"/>
    <col min="11765" max="11765" width="23.5703125" style="133" customWidth="1"/>
    <col min="11766" max="11766" width="39" style="133" customWidth="1"/>
    <col min="11767" max="11767" width="36.42578125" style="133" customWidth="1"/>
    <col min="11768" max="11768" width="8" style="133" customWidth="1"/>
    <col min="11769" max="11769" width="15.5703125" style="133" customWidth="1"/>
    <col min="11770" max="11770" width="17.28515625" style="133" customWidth="1"/>
    <col min="11771" max="11771" width="18.85546875" style="133" customWidth="1"/>
    <col min="11772" max="11772" width="81" style="133" customWidth="1"/>
    <col min="11773" max="11773" width="14.85546875" style="133" customWidth="1"/>
    <col min="11774" max="11774" width="15.7109375" style="133" customWidth="1"/>
    <col min="11775" max="11775" width="17.5703125" style="133" customWidth="1"/>
    <col min="11776" max="11776" width="18.42578125" style="133" customWidth="1"/>
    <col min="11777" max="11777" width="16.5703125" style="133" customWidth="1"/>
    <col min="11778" max="11778" width="17.7109375" style="133" customWidth="1"/>
    <col min="11779" max="11779" width="17.85546875" style="133" customWidth="1"/>
    <col min="11780" max="11780" width="18.42578125" style="133" customWidth="1"/>
    <col min="11781" max="11781" width="15.42578125" style="133" customWidth="1"/>
    <col min="11782" max="11782" width="14.5703125" style="133" customWidth="1"/>
    <col min="11783" max="11783" width="15" style="133" customWidth="1"/>
    <col min="11784" max="11784" width="6.7109375" style="133" customWidth="1"/>
    <col min="11785" max="11785" width="14.28515625" style="133" customWidth="1"/>
    <col min="11786" max="11786" width="17.5703125" style="133" customWidth="1"/>
    <col min="11787" max="11787" width="27.7109375" style="133" customWidth="1"/>
    <col min="11788" max="11790" width="9.140625" style="133" customWidth="1"/>
    <col min="11791" max="11791" width="14.85546875" style="133" customWidth="1"/>
    <col min="11792" max="11792" width="13.85546875" style="133" customWidth="1"/>
    <col min="11793" max="12014" width="9.140625" style="133" customWidth="1"/>
    <col min="12015" max="12015" width="9.140625" style="133"/>
    <col min="12016" max="12016" width="6.5703125" style="133" customWidth="1"/>
    <col min="12017" max="12017" width="79.5703125" style="133" customWidth="1"/>
    <col min="12018" max="12018" width="23.5703125" style="133" customWidth="1"/>
    <col min="12019" max="12019" width="27.85546875" style="133" customWidth="1"/>
    <col min="12020" max="12020" width="22.28515625" style="133" customWidth="1"/>
    <col min="12021" max="12021" width="23.5703125" style="133" customWidth="1"/>
    <col min="12022" max="12022" width="39" style="133" customWidth="1"/>
    <col min="12023" max="12023" width="36.42578125" style="133" customWidth="1"/>
    <col min="12024" max="12024" width="8" style="133" customWidth="1"/>
    <col min="12025" max="12025" width="15.5703125" style="133" customWidth="1"/>
    <col min="12026" max="12026" width="17.28515625" style="133" customWidth="1"/>
    <col min="12027" max="12027" width="18.85546875" style="133" customWidth="1"/>
    <col min="12028" max="12028" width="81" style="133" customWidth="1"/>
    <col min="12029" max="12029" width="14.85546875" style="133" customWidth="1"/>
    <col min="12030" max="12030" width="15.7109375" style="133" customWidth="1"/>
    <col min="12031" max="12031" width="17.5703125" style="133" customWidth="1"/>
    <col min="12032" max="12032" width="18.42578125" style="133" customWidth="1"/>
    <col min="12033" max="12033" width="16.5703125" style="133" customWidth="1"/>
    <col min="12034" max="12034" width="17.7109375" style="133" customWidth="1"/>
    <col min="12035" max="12035" width="17.85546875" style="133" customWidth="1"/>
    <col min="12036" max="12036" width="18.42578125" style="133" customWidth="1"/>
    <col min="12037" max="12037" width="15.42578125" style="133" customWidth="1"/>
    <col min="12038" max="12038" width="14.5703125" style="133" customWidth="1"/>
    <col min="12039" max="12039" width="15" style="133" customWidth="1"/>
    <col min="12040" max="12040" width="6.7109375" style="133" customWidth="1"/>
    <col min="12041" max="12041" width="14.28515625" style="133" customWidth="1"/>
    <col min="12042" max="12042" width="17.5703125" style="133" customWidth="1"/>
    <col min="12043" max="12043" width="27.7109375" style="133" customWidth="1"/>
    <col min="12044" max="12046" width="9.140625" style="133" customWidth="1"/>
    <col min="12047" max="12047" width="14.85546875" style="133" customWidth="1"/>
    <col min="12048" max="12048" width="13.85546875" style="133" customWidth="1"/>
    <col min="12049" max="12270" width="9.140625" style="133" customWidth="1"/>
    <col min="12271" max="12271" width="9.140625" style="133"/>
    <col min="12272" max="12272" width="6.5703125" style="133" customWidth="1"/>
    <col min="12273" max="12273" width="79.5703125" style="133" customWidth="1"/>
    <col min="12274" max="12274" width="23.5703125" style="133" customWidth="1"/>
    <col min="12275" max="12275" width="27.85546875" style="133" customWidth="1"/>
    <col min="12276" max="12276" width="22.28515625" style="133" customWidth="1"/>
    <col min="12277" max="12277" width="23.5703125" style="133" customWidth="1"/>
    <col min="12278" max="12278" width="39" style="133" customWidth="1"/>
    <col min="12279" max="12279" width="36.42578125" style="133" customWidth="1"/>
    <col min="12280" max="12280" width="8" style="133" customWidth="1"/>
    <col min="12281" max="12281" width="15.5703125" style="133" customWidth="1"/>
    <col min="12282" max="12282" width="17.28515625" style="133" customWidth="1"/>
    <col min="12283" max="12283" width="18.85546875" style="133" customWidth="1"/>
    <col min="12284" max="12284" width="81" style="133" customWidth="1"/>
    <col min="12285" max="12285" width="14.85546875" style="133" customWidth="1"/>
    <col min="12286" max="12286" width="15.7109375" style="133" customWidth="1"/>
    <col min="12287" max="12287" width="17.5703125" style="133" customWidth="1"/>
    <col min="12288" max="12288" width="18.42578125" style="133" customWidth="1"/>
    <col min="12289" max="12289" width="16.5703125" style="133" customWidth="1"/>
    <col min="12290" max="12290" width="17.7109375" style="133" customWidth="1"/>
    <col min="12291" max="12291" width="17.85546875" style="133" customWidth="1"/>
    <col min="12292" max="12292" width="18.42578125" style="133" customWidth="1"/>
    <col min="12293" max="12293" width="15.42578125" style="133" customWidth="1"/>
    <col min="12294" max="12294" width="14.5703125" style="133" customWidth="1"/>
    <col min="12295" max="12295" width="15" style="133" customWidth="1"/>
    <col min="12296" max="12296" width="6.7109375" style="133" customWidth="1"/>
    <col min="12297" max="12297" width="14.28515625" style="133" customWidth="1"/>
    <col min="12298" max="12298" width="17.5703125" style="133" customWidth="1"/>
    <col min="12299" max="12299" width="27.7109375" style="133" customWidth="1"/>
    <col min="12300" max="12302" width="9.140625" style="133" customWidth="1"/>
    <col min="12303" max="12303" width="14.85546875" style="133" customWidth="1"/>
    <col min="12304" max="12304" width="13.85546875" style="133" customWidth="1"/>
    <col min="12305" max="12526" width="9.140625" style="133" customWidth="1"/>
    <col min="12527" max="12527" width="9.140625" style="133"/>
    <col min="12528" max="12528" width="6.5703125" style="133" customWidth="1"/>
    <col min="12529" max="12529" width="79.5703125" style="133" customWidth="1"/>
    <col min="12530" max="12530" width="23.5703125" style="133" customWidth="1"/>
    <col min="12531" max="12531" width="27.85546875" style="133" customWidth="1"/>
    <col min="12532" max="12532" width="22.28515625" style="133" customWidth="1"/>
    <col min="12533" max="12533" width="23.5703125" style="133" customWidth="1"/>
    <col min="12534" max="12534" width="39" style="133" customWidth="1"/>
    <col min="12535" max="12535" width="36.42578125" style="133" customWidth="1"/>
    <col min="12536" max="12536" width="8" style="133" customWidth="1"/>
    <col min="12537" max="12537" width="15.5703125" style="133" customWidth="1"/>
    <col min="12538" max="12538" width="17.28515625" style="133" customWidth="1"/>
    <col min="12539" max="12539" width="18.85546875" style="133" customWidth="1"/>
    <col min="12540" max="12540" width="81" style="133" customWidth="1"/>
    <col min="12541" max="12541" width="14.85546875" style="133" customWidth="1"/>
    <col min="12542" max="12542" width="15.7109375" style="133" customWidth="1"/>
    <col min="12543" max="12543" width="17.5703125" style="133" customWidth="1"/>
    <col min="12544" max="12544" width="18.42578125" style="133" customWidth="1"/>
    <col min="12545" max="12545" width="16.5703125" style="133" customWidth="1"/>
    <col min="12546" max="12546" width="17.7109375" style="133" customWidth="1"/>
    <col min="12547" max="12547" width="17.85546875" style="133" customWidth="1"/>
    <col min="12548" max="12548" width="18.42578125" style="133" customWidth="1"/>
    <col min="12549" max="12549" width="15.42578125" style="133" customWidth="1"/>
    <col min="12550" max="12550" width="14.5703125" style="133" customWidth="1"/>
    <col min="12551" max="12551" width="15" style="133" customWidth="1"/>
    <col min="12552" max="12552" width="6.7109375" style="133" customWidth="1"/>
    <col min="12553" max="12553" width="14.28515625" style="133" customWidth="1"/>
    <col min="12554" max="12554" width="17.5703125" style="133" customWidth="1"/>
    <col min="12555" max="12555" width="27.7109375" style="133" customWidth="1"/>
    <col min="12556" max="12558" width="9.140625" style="133" customWidth="1"/>
    <col min="12559" max="12559" width="14.85546875" style="133" customWidth="1"/>
    <col min="12560" max="12560" width="13.85546875" style="133" customWidth="1"/>
    <col min="12561" max="12782" width="9.140625" style="133" customWidth="1"/>
    <col min="12783" max="12783" width="9.140625" style="133"/>
    <col min="12784" max="12784" width="6.5703125" style="133" customWidth="1"/>
    <col min="12785" max="12785" width="79.5703125" style="133" customWidth="1"/>
    <col min="12786" max="12786" width="23.5703125" style="133" customWidth="1"/>
    <col min="12787" max="12787" width="27.85546875" style="133" customWidth="1"/>
    <col min="12788" max="12788" width="22.28515625" style="133" customWidth="1"/>
    <col min="12789" max="12789" width="23.5703125" style="133" customWidth="1"/>
    <col min="12790" max="12790" width="39" style="133" customWidth="1"/>
    <col min="12791" max="12791" width="36.42578125" style="133" customWidth="1"/>
    <col min="12792" max="12792" width="8" style="133" customWidth="1"/>
    <col min="12793" max="12793" width="15.5703125" style="133" customWidth="1"/>
    <col min="12794" max="12794" width="17.28515625" style="133" customWidth="1"/>
    <col min="12795" max="12795" width="18.85546875" style="133" customWidth="1"/>
    <col min="12796" max="12796" width="81" style="133" customWidth="1"/>
    <col min="12797" max="12797" width="14.85546875" style="133" customWidth="1"/>
    <col min="12798" max="12798" width="15.7109375" style="133" customWidth="1"/>
    <col min="12799" max="12799" width="17.5703125" style="133" customWidth="1"/>
    <col min="12800" max="12800" width="18.42578125" style="133" customWidth="1"/>
    <col min="12801" max="12801" width="16.5703125" style="133" customWidth="1"/>
    <col min="12802" max="12802" width="17.7109375" style="133" customWidth="1"/>
    <col min="12803" max="12803" width="17.85546875" style="133" customWidth="1"/>
    <col min="12804" max="12804" width="18.42578125" style="133" customWidth="1"/>
    <col min="12805" max="12805" width="15.42578125" style="133" customWidth="1"/>
    <col min="12806" max="12806" width="14.5703125" style="133" customWidth="1"/>
    <col min="12807" max="12807" width="15" style="133" customWidth="1"/>
    <col min="12808" max="12808" width="6.7109375" style="133" customWidth="1"/>
    <col min="12809" max="12809" width="14.28515625" style="133" customWidth="1"/>
    <col min="12810" max="12810" width="17.5703125" style="133" customWidth="1"/>
    <col min="12811" max="12811" width="27.7109375" style="133" customWidth="1"/>
    <col min="12812" max="12814" width="9.140625" style="133" customWidth="1"/>
    <col min="12815" max="12815" width="14.85546875" style="133" customWidth="1"/>
    <col min="12816" max="12816" width="13.85546875" style="133" customWidth="1"/>
    <col min="12817" max="13038" width="9.140625" style="133" customWidth="1"/>
    <col min="13039" max="13039" width="9.140625" style="133"/>
    <col min="13040" max="13040" width="6.5703125" style="133" customWidth="1"/>
    <col min="13041" max="13041" width="79.5703125" style="133" customWidth="1"/>
    <col min="13042" max="13042" width="23.5703125" style="133" customWidth="1"/>
    <col min="13043" max="13043" width="27.85546875" style="133" customWidth="1"/>
    <col min="13044" max="13044" width="22.28515625" style="133" customWidth="1"/>
    <col min="13045" max="13045" width="23.5703125" style="133" customWidth="1"/>
    <col min="13046" max="13046" width="39" style="133" customWidth="1"/>
    <col min="13047" max="13047" width="36.42578125" style="133" customWidth="1"/>
    <col min="13048" max="13048" width="8" style="133" customWidth="1"/>
    <col min="13049" max="13049" width="15.5703125" style="133" customWidth="1"/>
    <col min="13050" max="13050" width="17.28515625" style="133" customWidth="1"/>
    <col min="13051" max="13051" width="18.85546875" style="133" customWidth="1"/>
    <col min="13052" max="13052" width="81" style="133" customWidth="1"/>
    <col min="13053" max="13053" width="14.85546875" style="133" customWidth="1"/>
    <col min="13054" max="13054" width="15.7109375" style="133" customWidth="1"/>
    <col min="13055" max="13055" width="17.5703125" style="133" customWidth="1"/>
    <col min="13056" max="13056" width="18.42578125" style="133" customWidth="1"/>
    <col min="13057" max="13057" width="16.5703125" style="133" customWidth="1"/>
    <col min="13058" max="13058" width="17.7109375" style="133" customWidth="1"/>
    <col min="13059" max="13059" width="17.85546875" style="133" customWidth="1"/>
    <col min="13060" max="13060" width="18.42578125" style="133" customWidth="1"/>
    <col min="13061" max="13061" width="15.42578125" style="133" customWidth="1"/>
    <col min="13062" max="13062" width="14.5703125" style="133" customWidth="1"/>
    <col min="13063" max="13063" width="15" style="133" customWidth="1"/>
    <col min="13064" max="13064" width="6.7109375" style="133" customWidth="1"/>
    <col min="13065" max="13065" width="14.28515625" style="133" customWidth="1"/>
    <col min="13066" max="13066" width="17.5703125" style="133" customWidth="1"/>
    <col min="13067" max="13067" width="27.7109375" style="133" customWidth="1"/>
    <col min="13068" max="13070" width="9.140625" style="133" customWidth="1"/>
    <col min="13071" max="13071" width="14.85546875" style="133" customWidth="1"/>
    <col min="13072" max="13072" width="13.85546875" style="133" customWidth="1"/>
    <col min="13073" max="13294" width="9.140625" style="133" customWidth="1"/>
    <col min="13295" max="13295" width="9.140625" style="133"/>
    <col min="13296" max="13296" width="6.5703125" style="133" customWidth="1"/>
    <col min="13297" max="13297" width="79.5703125" style="133" customWidth="1"/>
    <col min="13298" max="13298" width="23.5703125" style="133" customWidth="1"/>
    <col min="13299" max="13299" width="27.85546875" style="133" customWidth="1"/>
    <col min="13300" max="13300" width="22.28515625" style="133" customWidth="1"/>
    <col min="13301" max="13301" width="23.5703125" style="133" customWidth="1"/>
    <col min="13302" max="13302" width="39" style="133" customWidth="1"/>
    <col min="13303" max="13303" width="36.42578125" style="133" customWidth="1"/>
    <col min="13304" max="13304" width="8" style="133" customWidth="1"/>
    <col min="13305" max="13305" width="15.5703125" style="133" customWidth="1"/>
    <col min="13306" max="13306" width="17.28515625" style="133" customWidth="1"/>
    <col min="13307" max="13307" width="18.85546875" style="133" customWidth="1"/>
    <col min="13308" max="13308" width="81" style="133" customWidth="1"/>
    <col min="13309" max="13309" width="14.85546875" style="133" customWidth="1"/>
    <col min="13310" max="13310" width="15.7109375" style="133" customWidth="1"/>
    <col min="13311" max="13311" width="17.5703125" style="133" customWidth="1"/>
    <col min="13312" max="13312" width="18.42578125" style="133" customWidth="1"/>
    <col min="13313" max="13313" width="16.5703125" style="133" customWidth="1"/>
    <col min="13314" max="13314" width="17.7109375" style="133" customWidth="1"/>
    <col min="13315" max="13315" width="17.85546875" style="133" customWidth="1"/>
    <col min="13316" max="13316" width="18.42578125" style="133" customWidth="1"/>
    <col min="13317" max="13317" width="15.42578125" style="133" customWidth="1"/>
    <col min="13318" max="13318" width="14.5703125" style="133" customWidth="1"/>
    <col min="13319" max="13319" width="15" style="133" customWidth="1"/>
    <col min="13320" max="13320" width="6.7109375" style="133" customWidth="1"/>
    <col min="13321" max="13321" width="14.28515625" style="133" customWidth="1"/>
    <col min="13322" max="13322" width="17.5703125" style="133" customWidth="1"/>
    <col min="13323" max="13323" width="27.7109375" style="133" customWidth="1"/>
    <col min="13324" max="13326" width="9.140625" style="133" customWidth="1"/>
    <col min="13327" max="13327" width="14.85546875" style="133" customWidth="1"/>
    <col min="13328" max="13328" width="13.85546875" style="133" customWidth="1"/>
    <col min="13329" max="13550" width="9.140625" style="133" customWidth="1"/>
    <col min="13551" max="13551" width="9.140625" style="133"/>
    <col min="13552" max="13552" width="6.5703125" style="133" customWidth="1"/>
    <col min="13553" max="13553" width="79.5703125" style="133" customWidth="1"/>
    <col min="13554" max="13554" width="23.5703125" style="133" customWidth="1"/>
    <col min="13555" max="13555" width="27.85546875" style="133" customWidth="1"/>
    <col min="13556" max="13556" width="22.28515625" style="133" customWidth="1"/>
    <col min="13557" max="13557" width="23.5703125" style="133" customWidth="1"/>
    <col min="13558" max="13558" width="39" style="133" customWidth="1"/>
    <col min="13559" max="13559" width="36.42578125" style="133" customWidth="1"/>
    <col min="13560" max="13560" width="8" style="133" customWidth="1"/>
    <col min="13561" max="13561" width="15.5703125" style="133" customWidth="1"/>
    <col min="13562" max="13562" width="17.28515625" style="133" customWidth="1"/>
    <col min="13563" max="13563" width="18.85546875" style="133" customWidth="1"/>
    <col min="13564" max="13564" width="81" style="133" customWidth="1"/>
    <col min="13565" max="13565" width="14.85546875" style="133" customWidth="1"/>
    <col min="13566" max="13566" width="15.7109375" style="133" customWidth="1"/>
    <col min="13567" max="13567" width="17.5703125" style="133" customWidth="1"/>
    <col min="13568" max="13568" width="18.42578125" style="133" customWidth="1"/>
    <col min="13569" max="13569" width="16.5703125" style="133" customWidth="1"/>
    <col min="13570" max="13570" width="17.7109375" style="133" customWidth="1"/>
    <col min="13571" max="13571" width="17.85546875" style="133" customWidth="1"/>
    <col min="13572" max="13572" width="18.42578125" style="133" customWidth="1"/>
    <col min="13573" max="13573" width="15.42578125" style="133" customWidth="1"/>
    <col min="13574" max="13574" width="14.5703125" style="133" customWidth="1"/>
    <col min="13575" max="13575" width="15" style="133" customWidth="1"/>
    <col min="13576" max="13576" width="6.7109375" style="133" customWidth="1"/>
    <col min="13577" max="13577" width="14.28515625" style="133" customWidth="1"/>
    <col min="13578" max="13578" width="17.5703125" style="133" customWidth="1"/>
    <col min="13579" max="13579" width="27.7109375" style="133" customWidth="1"/>
    <col min="13580" max="13582" width="9.140625" style="133" customWidth="1"/>
    <col min="13583" max="13583" width="14.85546875" style="133" customWidth="1"/>
    <col min="13584" max="13584" width="13.85546875" style="133" customWidth="1"/>
    <col min="13585" max="13806" width="9.140625" style="133" customWidth="1"/>
    <col min="13807" max="13807" width="9.140625" style="133"/>
    <col min="13808" max="13808" width="6.5703125" style="133" customWidth="1"/>
    <col min="13809" max="13809" width="79.5703125" style="133" customWidth="1"/>
    <col min="13810" max="13810" width="23.5703125" style="133" customWidth="1"/>
    <col min="13811" max="13811" width="27.85546875" style="133" customWidth="1"/>
    <col min="13812" max="13812" width="22.28515625" style="133" customWidth="1"/>
    <col min="13813" max="13813" width="23.5703125" style="133" customWidth="1"/>
    <col min="13814" max="13814" width="39" style="133" customWidth="1"/>
    <col min="13815" max="13815" width="36.42578125" style="133" customWidth="1"/>
    <col min="13816" max="13816" width="8" style="133" customWidth="1"/>
    <col min="13817" max="13817" width="15.5703125" style="133" customWidth="1"/>
    <col min="13818" max="13818" width="17.28515625" style="133" customWidth="1"/>
    <col min="13819" max="13819" width="18.85546875" style="133" customWidth="1"/>
    <col min="13820" max="13820" width="81" style="133" customWidth="1"/>
    <col min="13821" max="13821" width="14.85546875" style="133" customWidth="1"/>
    <col min="13822" max="13822" width="15.7109375" style="133" customWidth="1"/>
    <col min="13823" max="13823" width="17.5703125" style="133" customWidth="1"/>
    <col min="13824" max="13824" width="18.42578125" style="133" customWidth="1"/>
    <col min="13825" max="13825" width="16.5703125" style="133" customWidth="1"/>
    <col min="13826" max="13826" width="17.7109375" style="133" customWidth="1"/>
    <col min="13827" max="13827" width="17.85546875" style="133" customWidth="1"/>
    <col min="13828" max="13828" width="18.42578125" style="133" customWidth="1"/>
    <col min="13829" max="13829" width="15.42578125" style="133" customWidth="1"/>
    <col min="13830" max="13830" width="14.5703125" style="133" customWidth="1"/>
    <col min="13831" max="13831" width="15" style="133" customWidth="1"/>
    <col min="13832" max="13832" width="6.7109375" style="133" customWidth="1"/>
    <col min="13833" max="13833" width="14.28515625" style="133" customWidth="1"/>
    <col min="13834" max="13834" width="17.5703125" style="133" customWidth="1"/>
    <col min="13835" max="13835" width="27.7109375" style="133" customWidth="1"/>
    <col min="13836" max="13838" width="9.140625" style="133" customWidth="1"/>
    <col min="13839" max="13839" width="14.85546875" style="133" customWidth="1"/>
    <col min="13840" max="13840" width="13.85546875" style="133" customWidth="1"/>
    <col min="13841" max="14062" width="9.140625" style="133" customWidth="1"/>
    <col min="14063" max="14063" width="9.140625" style="133"/>
    <col min="14064" max="14064" width="6.5703125" style="133" customWidth="1"/>
    <col min="14065" max="14065" width="79.5703125" style="133" customWidth="1"/>
    <col min="14066" max="14066" width="23.5703125" style="133" customWidth="1"/>
    <col min="14067" max="14067" width="27.85546875" style="133" customWidth="1"/>
    <col min="14068" max="14068" width="22.28515625" style="133" customWidth="1"/>
    <col min="14069" max="14069" width="23.5703125" style="133" customWidth="1"/>
    <col min="14070" max="14070" width="39" style="133" customWidth="1"/>
    <col min="14071" max="14071" width="36.42578125" style="133" customWidth="1"/>
    <col min="14072" max="14072" width="8" style="133" customWidth="1"/>
    <col min="14073" max="14073" width="15.5703125" style="133" customWidth="1"/>
    <col min="14074" max="14074" width="17.28515625" style="133" customWidth="1"/>
    <col min="14075" max="14075" width="18.85546875" style="133" customWidth="1"/>
    <col min="14076" max="14076" width="81" style="133" customWidth="1"/>
    <col min="14077" max="14077" width="14.85546875" style="133" customWidth="1"/>
    <col min="14078" max="14078" width="15.7109375" style="133" customWidth="1"/>
    <col min="14079" max="14079" width="17.5703125" style="133" customWidth="1"/>
    <col min="14080" max="14080" width="18.42578125" style="133" customWidth="1"/>
    <col min="14081" max="14081" width="16.5703125" style="133" customWidth="1"/>
    <col min="14082" max="14082" width="17.7109375" style="133" customWidth="1"/>
    <col min="14083" max="14083" width="17.85546875" style="133" customWidth="1"/>
    <col min="14084" max="14084" width="18.42578125" style="133" customWidth="1"/>
    <col min="14085" max="14085" width="15.42578125" style="133" customWidth="1"/>
    <col min="14086" max="14086" width="14.5703125" style="133" customWidth="1"/>
    <col min="14087" max="14087" width="15" style="133" customWidth="1"/>
    <col min="14088" max="14088" width="6.7109375" style="133" customWidth="1"/>
    <col min="14089" max="14089" width="14.28515625" style="133" customWidth="1"/>
    <col min="14090" max="14090" width="17.5703125" style="133" customWidth="1"/>
    <col min="14091" max="14091" width="27.7109375" style="133" customWidth="1"/>
    <col min="14092" max="14094" width="9.140625" style="133" customWidth="1"/>
    <col min="14095" max="14095" width="14.85546875" style="133" customWidth="1"/>
    <col min="14096" max="14096" width="13.85546875" style="133" customWidth="1"/>
    <col min="14097" max="14318" width="9.140625" style="133" customWidth="1"/>
    <col min="14319" max="14319" width="9.140625" style="133"/>
    <col min="14320" max="14320" width="6.5703125" style="133" customWidth="1"/>
    <col min="14321" max="14321" width="79.5703125" style="133" customWidth="1"/>
    <col min="14322" max="14322" width="23.5703125" style="133" customWidth="1"/>
    <col min="14323" max="14323" width="27.85546875" style="133" customWidth="1"/>
    <col min="14324" max="14324" width="22.28515625" style="133" customWidth="1"/>
    <col min="14325" max="14325" width="23.5703125" style="133" customWidth="1"/>
    <col min="14326" max="14326" width="39" style="133" customWidth="1"/>
    <col min="14327" max="14327" width="36.42578125" style="133" customWidth="1"/>
    <col min="14328" max="14328" width="8" style="133" customWidth="1"/>
    <col min="14329" max="14329" width="15.5703125" style="133" customWidth="1"/>
    <col min="14330" max="14330" width="17.28515625" style="133" customWidth="1"/>
    <col min="14331" max="14331" width="18.85546875" style="133" customWidth="1"/>
    <col min="14332" max="14332" width="81" style="133" customWidth="1"/>
    <col min="14333" max="14333" width="14.85546875" style="133" customWidth="1"/>
    <col min="14334" max="14334" width="15.7109375" style="133" customWidth="1"/>
    <col min="14335" max="14335" width="17.5703125" style="133" customWidth="1"/>
    <col min="14336" max="14336" width="18.42578125" style="133" customWidth="1"/>
    <col min="14337" max="14337" width="16.5703125" style="133" customWidth="1"/>
    <col min="14338" max="14338" width="17.7109375" style="133" customWidth="1"/>
    <col min="14339" max="14339" width="17.85546875" style="133" customWidth="1"/>
    <col min="14340" max="14340" width="18.42578125" style="133" customWidth="1"/>
    <col min="14341" max="14341" width="15.42578125" style="133" customWidth="1"/>
    <col min="14342" max="14342" width="14.5703125" style="133" customWidth="1"/>
    <col min="14343" max="14343" width="15" style="133" customWidth="1"/>
    <col min="14344" max="14344" width="6.7109375" style="133" customWidth="1"/>
    <col min="14345" max="14345" width="14.28515625" style="133" customWidth="1"/>
    <col min="14346" max="14346" width="17.5703125" style="133" customWidth="1"/>
    <col min="14347" max="14347" width="27.7109375" style="133" customWidth="1"/>
    <col min="14348" max="14350" width="9.140625" style="133" customWidth="1"/>
    <col min="14351" max="14351" width="14.85546875" style="133" customWidth="1"/>
    <col min="14352" max="14352" width="13.85546875" style="133" customWidth="1"/>
    <col min="14353" max="14574" width="9.140625" style="133" customWidth="1"/>
    <col min="14575" max="14575" width="9.140625" style="133"/>
    <col min="14576" max="14576" width="6.5703125" style="133" customWidth="1"/>
    <col min="14577" max="14577" width="79.5703125" style="133" customWidth="1"/>
    <col min="14578" max="14578" width="23.5703125" style="133" customWidth="1"/>
    <col min="14579" max="14579" width="27.85546875" style="133" customWidth="1"/>
    <col min="14580" max="14580" width="22.28515625" style="133" customWidth="1"/>
    <col min="14581" max="14581" width="23.5703125" style="133" customWidth="1"/>
    <col min="14582" max="14582" width="39" style="133" customWidth="1"/>
    <col min="14583" max="14583" width="36.42578125" style="133" customWidth="1"/>
    <col min="14584" max="14584" width="8" style="133" customWidth="1"/>
    <col min="14585" max="14585" width="15.5703125" style="133" customWidth="1"/>
    <col min="14586" max="14586" width="17.28515625" style="133" customWidth="1"/>
    <col min="14587" max="14587" width="18.85546875" style="133" customWidth="1"/>
    <col min="14588" max="14588" width="81" style="133" customWidth="1"/>
    <col min="14589" max="14589" width="14.85546875" style="133" customWidth="1"/>
    <col min="14590" max="14590" width="15.7109375" style="133" customWidth="1"/>
    <col min="14591" max="14591" width="17.5703125" style="133" customWidth="1"/>
    <col min="14592" max="14592" width="18.42578125" style="133" customWidth="1"/>
    <col min="14593" max="14593" width="16.5703125" style="133" customWidth="1"/>
    <col min="14594" max="14594" width="17.7109375" style="133" customWidth="1"/>
    <col min="14595" max="14595" width="17.85546875" style="133" customWidth="1"/>
    <col min="14596" max="14596" width="18.42578125" style="133" customWidth="1"/>
    <col min="14597" max="14597" width="15.42578125" style="133" customWidth="1"/>
    <col min="14598" max="14598" width="14.5703125" style="133" customWidth="1"/>
    <col min="14599" max="14599" width="15" style="133" customWidth="1"/>
    <col min="14600" max="14600" width="6.7109375" style="133" customWidth="1"/>
    <col min="14601" max="14601" width="14.28515625" style="133" customWidth="1"/>
    <col min="14602" max="14602" width="17.5703125" style="133" customWidth="1"/>
    <col min="14603" max="14603" width="27.7109375" style="133" customWidth="1"/>
    <col min="14604" max="14606" width="9.140625" style="133" customWidth="1"/>
    <col min="14607" max="14607" width="14.85546875" style="133" customWidth="1"/>
    <col min="14608" max="14608" width="13.85546875" style="133" customWidth="1"/>
    <col min="14609" max="14830" width="9.140625" style="133" customWidth="1"/>
    <col min="14831" max="14831" width="9.140625" style="133"/>
    <col min="14832" max="14832" width="6.5703125" style="133" customWidth="1"/>
    <col min="14833" max="14833" width="79.5703125" style="133" customWidth="1"/>
    <col min="14834" max="14834" width="23.5703125" style="133" customWidth="1"/>
    <col min="14835" max="14835" width="27.85546875" style="133" customWidth="1"/>
    <col min="14836" max="14836" width="22.28515625" style="133" customWidth="1"/>
    <col min="14837" max="14837" width="23.5703125" style="133" customWidth="1"/>
    <col min="14838" max="14838" width="39" style="133" customWidth="1"/>
    <col min="14839" max="14839" width="36.42578125" style="133" customWidth="1"/>
    <col min="14840" max="14840" width="8" style="133" customWidth="1"/>
    <col min="14841" max="14841" width="15.5703125" style="133" customWidth="1"/>
    <col min="14842" max="14842" width="17.28515625" style="133" customWidth="1"/>
    <col min="14843" max="14843" width="18.85546875" style="133" customWidth="1"/>
    <col min="14844" max="14844" width="81" style="133" customWidth="1"/>
    <col min="14845" max="14845" width="14.85546875" style="133" customWidth="1"/>
    <col min="14846" max="14846" width="15.7109375" style="133" customWidth="1"/>
    <col min="14847" max="14847" width="17.5703125" style="133" customWidth="1"/>
    <col min="14848" max="14848" width="18.42578125" style="133" customWidth="1"/>
    <col min="14849" max="14849" width="16.5703125" style="133" customWidth="1"/>
    <col min="14850" max="14850" width="17.7109375" style="133" customWidth="1"/>
    <col min="14851" max="14851" width="17.85546875" style="133" customWidth="1"/>
    <col min="14852" max="14852" width="18.42578125" style="133" customWidth="1"/>
    <col min="14853" max="14853" width="15.42578125" style="133" customWidth="1"/>
    <col min="14854" max="14854" width="14.5703125" style="133" customWidth="1"/>
    <col min="14855" max="14855" width="15" style="133" customWidth="1"/>
    <col min="14856" max="14856" width="6.7109375" style="133" customWidth="1"/>
    <col min="14857" max="14857" width="14.28515625" style="133" customWidth="1"/>
    <col min="14858" max="14858" width="17.5703125" style="133" customWidth="1"/>
    <col min="14859" max="14859" width="27.7109375" style="133" customWidth="1"/>
    <col min="14860" max="14862" width="9.140625" style="133" customWidth="1"/>
    <col min="14863" max="14863" width="14.85546875" style="133" customWidth="1"/>
    <col min="14864" max="14864" width="13.85546875" style="133" customWidth="1"/>
    <col min="14865" max="15086" width="9.140625" style="133" customWidth="1"/>
    <col min="15087" max="15087" width="9.140625" style="133"/>
    <col min="15088" max="15088" width="6.5703125" style="133" customWidth="1"/>
    <col min="15089" max="15089" width="79.5703125" style="133" customWidth="1"/>
    <col min="15090" max="15090" width="23.5703125" style="133" customWidth="1"/>
    <col min="15091" max="15091" width="27.85546875" style="133" customWidth="1"/>
    <col min="15092" max="15092" width="22.28515625" style="133" customWidth="1"/>
    <col min="15093" max="15093" width="23.5703125" style="133" customWidth="1"/>
    <col min="15094" max="15094" width="39" style="133" customWidth="1"/>
    <col min="15095" max="15095" width="36.42578125" style="133" customWidth="1"/>
    <col min="15096" max="15096" width="8" style="133" customWidth="1"/>
    <col min="15097" max="15097" width="15.5703125" style="133" customWidth="1"/>
    <col min="15098" max="15098" width="17.28515625" style="133" customWidth="1"/>
    <col min="15099" max="15099" width="18.85546875" style="133" customWidth="1"/>
    <col min="15100" max="15100" width="81" style="133" customWidth="1"/>
    <col min="15101" max="15101" width="14.85546875" style="133" customWidth="1"/>
    <col min="15102" max="15102" width="15.7109375" style="133" customWidth="1"/>
    <col min="15103" max="15103" width="17.5703125" style="133" customWidth="1"/>
    <col min="15104" max="15104" width="18.42578125" style="133" customWidth="1"/>
    <col min="15105" max="15105" width="16.5703125" style="133" customWidth="1"/>
    <col min="15106" max="15106" width="17.7109375" style="133" customWidth="1"/>
    <col min="15107" max="15107" width="17.85546875" style="133" customWidth="1"/>
    <col min="15108" max="15108" width="18.42578125" style="133" customWidth="1"/>
    <col min="15109" max="15109" width="15.42578125" style="133" customWidth="1"/>
    <col min="15110" max="15110" width="14.5703125" style="133" customWidth="1"/>
    <col min="15111" max="15111" width="15" style="133" customWidth="1"/>
    <col min="15112" max="15112" width="6.7109375" style="133" customWidth="1"/>
    <col min="15113" max="15113" width="14.28515625" style="133" customWidth="1"/>
    <col min="15114" max="15114" width="17.5703125" style="133" customWidth="1"/>
    <col min="15115" max="15115" width="27.7109375" style="133" customWidth="1"/>
    <col min="15116" max="15118" width="9.140625" style="133" customWidth="1"/>
    <col min="15119" max="15119" width="14.85546875" style="133" customWidth="1"/>
    <col min="15120" max="15120" width="13.85546875" style="133" customWidth="1"/>
    <col min="15121" max="15342" width="9.140625" style="133" customWidth="1"/>
    <col min="15343" max="15343" width="9.140625" style="133"/>
    <col min="15344" max="15344" width="6.5703125" style="133" customWidth="1"/>
    <col min="15345" max="15345" width="79.5703125" style="133" customWidth="1"/>
    <col min="15346" max="15346" width="23.5703125" style="133" customWidth="1"/>
    <col min="15347" max="15347" width="27.85546875" style="133" customWidth="1"/>
    <col min="15348" max="15348" width="22.28515625" style="133" customWidth="1"/>
    <col min="15349" max="15349" width="23.5703125" style="133" customWidth="1"/>
    <col min="15350" max="15350" width="39" style="133" customWidth="1"/>
    <col min="15351" max="15351" width="36.42578125" style="133" customWidth="1"/>
    <col min="15352" max="15352" width="8" style="133" customWidth="1"/>
    <col min="15353" max="15353" width="15.5703125" style="133" customWidth="1"/>
    <col min="15354" max="15354" width="17.28515625" style="133" customWidth="1"/>
    <col min="15355" max="15355" width="18.85546875" style="133" customWidth="1"/>
    <col min="15356" max="15356" width="81" style="133" customWidth="1"/>
    <col min="15357" max="15357" width="14.85546875" style="133" customWidth="1"/>
    <col min="15358" max="15358" width="15.7109375" style="133" customWidth="1"/>
    <col min="15359" max="15359" width="17.5703125" style="133" customWidth="1"/>
    <col min="15360" max="15360" width="18.42578125" style="133" customWidth="1"/>
    <col min="15361" max="15361" width="16.5703125" style="133" customWidth="1"/>
    <col min="15362" max="15362" width="17.7109375" style="133" customWidth="1"/>
    <col min="15363" max="15363" width="17.85546875" style="133" customWidth="1"/>
    <col min="15364" max="15364" width="18.42578125" style="133" customWidth="1"/>
    <col min="15365" max="15365" width="15.42578125" style="133" customWidth="1"/>
    <col min="15366" max="15366" width="14.5703125" style="133" customWidth="1"/>
    <col min="15367" max="15367" width="15" style="133" customWidth="1"/>
    <col min="15368" max="15368" width="6.7109375" style="133" customWidth="1"/>
    <col min="15369" max="15369" width="14.28515625" style="133" customWidth="1"/>
    <col min="15370" max="15370" width="17.5703125" style="133" customWidth="1"/>
    <col min="15371" max="15371" width="27.7109375" style="133" customWidth="1"/>
    <col min="15372" max="15374" width="9.140625" style="133" customWidth="1"/>
    <col min="15375" max="15375" width="14.85546875" style="133" customWidth="1"/>
    <col min="15376" max="15376" width="13.85546875" style="133" customWidth="1"/>
    <col min="15377" max="15598" width="9.140625" style="133" customWidth="1"/>
    <col min="15599" max="15599" width="9.140625" style="133"/>
    <col min="15600" max="15600" width="6.5703125" style="133" customWidth="1"/>
    <col min="15601" max="15601" width="79.5703125" style="133" customWidth="1"/>
    <col min="15602" max="15602" width="23.5703125" style="133" customWidth="1"/>
    <col min="15603" max="15603" width="27.85546875" style="133" customWidth="1"/>
    <col min="15604" max="15604" width="22.28515625" style="133" customWidth="1"/>
    <col min="15605" max="15605" width="23.5703125" style="133" customWidth="1"/>
    <col min="15606" max="15606" width="39" style="133" customWidth="1"/>
    <col min="15607" max="15607" width="36.42578125" style="133" customWidth="1"/>
    <col min="15608" max="15608" width="8" style="133" customWidth="1"/>
    <col min="15609" max="15609" width="15.5703125" style="133" customWidth="1"/>
    <col min="15610" max="15610" width="17.28515625" style="133" customWidth="1"/>
    <col min="15611" max="15611" width="18.85546875" style="133" customWidth="1"/>
    <col min="15612" max="15612" width="81" style="133" customWidth="1"/>
    <col min="15613" max="15613" width="14.85546875" style="133" customWidth="1"/>
    <col min="15614" max="15614" width="15.7109375" style="133" customWidth="1"/>
    <col min="15615" max="15615" width="17.5703125" style="133" customWidth="1"/>
    <col min="15616" max="15616" width="18.42578125" style="133" customWidth="1"/>
    <col min="15617" max="15617" width="16.5703125" style="133" customWidth="1"/>
    <col min="15618" max="15618" width="17.7109375" style="133" customWidth="1"/>
    <col min="15619" max="15619" width="17.85546875" style="133" customWidth="1"/>
    <col min="15620" max="15620" width="18.42578125" style="133" customWidth="1"/>
    <col min="15621" max="15621" width="15.42578125" style="133" customWidth="1"/>
    <col min="15622" max="15622" width="14.5703125" style="133" customWidth="1"/>
    <col min="15623" max="15623" width="15" style="133" customWidth="1"/>
    <col min="15624" max="15624" width="6.7109375" style="133" customWidth="1"/>
    <col min="15625" max="15625" width="14.28515625" style="133" customWidth="1"/>
    <col min="15626" max="15626" width="17.5703125" style="133" customWidth="1"/>
    <col min="15627" max="15627" width="27.7109375" style="133" customWidth="1"/>
    <col min="15628" max="15630" width="9.140625" style="133" customWidth="1"/>
    <col min="15631" max="15631" width="14.85546875" style="133" customWidth="1"/>
    <col min="15632" max="15632" width="13.85546875" style="133" customWidth="1"/>
    <col min="15633" max="15854" width="9.140625" style="133" customWidth="1"/>
    <col min="15855" max="15855" width="9.140625" style="133"/>
    <col min="15856" max="15856" width="6.5703125" style="133" customWidth="1"/>
    <col min="15857" max="15857" width="79.5703125" style="133" customWidth="1"/>
    <col min="15858" max="15858" width="23.5703125" style="133" customWidth="1"/>
    <col min="15859" max="15859" width="27.85546875" style="133" customWidth="1"/>
    <col min="15860" max="15860" width="22.28515625" style="133" customWidth="1"/>
    <col min="15861" max="15861" width="23.5703125" style="133" customWidth="1"/>
    <col min="15862" max="15862" width="39" style="133" customWidth="1"/>
    <col min="15863" max="15863" width="36.42578125" style="133" customWidth="1"/>
    <col min="15864" max="15864" width="8" style="133" customWidth="1"/>
    <col min="15865" max="15865" width="15.5703125" style="133" customWidth="1"/>
    <col min="15866" max="15866" width="17.28515625" style="133" customWidth="1"/>
    <col min="15867" max="15867" width="18.85546875" style="133" customWidth="1"/>
    <col min="15868" max="15868" width="81" style="133" customWidth="1"/>
    <col min="15869" max="15869" width="14.85546875" style="133" customWidth="1"/>
    <col min="15870" max="15870" width="15.7109375" style="133" customWidth="1"/>
    <col min="15871" max="15871" width="17.5703125" style="133" customWidth="1"/>
    <col min="15872" max="15872" width="18.42578125" style="133" customWidth="1"/>
    <col min="15873" max="15873" width="16.5703125" style="133" customWidth="1"/>
    <col min="15874" max="15874" width="17.7109375" style="133" customWidth="1"/>
    <col min="15875" max="15875" width="17.85546875" style="133" customWidth="1"/>
    <col min="15876" max="15876" width="18.42578125" style="133" customWidth="1"/>
    <col min="15877" max="15877" width="15.42578125" style="133" customWidth="1"/>
    <col min="15878" max="15878" width="14.5703125" style="133" customWidth="1"/>
    <col min="15879" max="15879" width="15" style="133" customWidth="1"/>
    <col min="15880" max="15880" width="6.7109375" style="133" customWidth="1"/>
    <col min="15881" max="15881" width="14.28515625" style="133" customWidth="1"/>
    <col min="15882" max="15882" width="17.5703125" style="133" customWidth="1"/>
    <col min="15883" max="15883" width="27.7109375" style="133" customWidth="1"/>
    <col min="15884" max="15886" width="9.140625" style="133" customWidth="1"/>
    <col min="15887" max="15887" width="14.85546875" style="133" customWidth="1"/>
    <col min="15888" max="15888" width="13.85546875" style="133" customWidth="1"/>
    <col min="15889" max="16110" width="9.140625" style="133" customWidth="1"/>
    <col min="16111" max="16111" width="9.140625" style="133"/>
    <col min="16112" max="16112" width="6.5703125" style="133" customWidth="1"/>
    <col min="16113" max="16113" width="79.5703125" style="133" customWidth="1"/>
    <col min="16114" max="16114" width="23.5703125" style="133" customWidth="1"/>
    <col min="16115" max="16115" width="27.85546875" style="133" customWidth="1"/>
    <col min="16116" max="16116" width="22.28515625" style="133" customWidth="1"/>
    <col min="16117" max="16117" width="23.5703125" style="133" customWidth="1"/>
    <col min="16118" max="16118" width="39" style="133" customWidth="1"/>
    <col min="16119" max="16119" width="36.42578125" style="133" customWidth="1"/>
    <col min="16120" max="16120" width="8" style="133" customWidth="1"/>
    <col min="16121" max="16121" width="15.5703125" style="133" customWidth="1"/>
    <col min="16122" max="16122" width="17.28515625" style="133" customWidth="1"/>
    <col min="16123" max="16123" width="18.85546875" style="133" customWidth="1"/>
    <col min="16124" max="16124" width="81" style="133" customWidth="1"/>
    <col min="16125" max="16125" width="14.85546875" style="133" customWidth="1"/>
    <col min="16126" max="16126" width="15.7109375" style="133" customWidth="1"/>
    <col min="16127" max="16127" width="17.5703125" style="133" customWidth="1"/>
    <col min="16128" max="16128" width="18.42578125" style="133" customWidth="1"/>
    <col min="16129" max="16129" width="16.5703125" style="133" customWidth="1"/>
    <col min="16130" max="16130" width="17.7109375" style="133" customWidth="1"/>
    <col min="16131" max="16131" width="17.85546875" style="133" customWidth="1"/>
    <col min="16132" max="16132" width="18.42578125" style="133" customWidth="1"/>
    <col min="16133" max="16133" width="15.42578125" style="133" customWidth="1"/>
    <col min="16134" max="16134" width="14.5703125" style="133" customWidth="1"/>
    <col min="16135" max="16135" width="15" style="133" customWidth="1"/>
    <col min="16136" max="16136" width="6.7109375" style="133" customWidth="1"/>
    <col min="16137" max="16137" width="14.28515625" style="133" customWidth="1"/>
    <col min="16138" max="16138" width="17.5703125" style="133" customWidth="1"/>
    <col min="16139" max="16139" width="27.7109375" style="133" customWidth="1"/>
    <col min="16140" max="16142" width="9.140625" style="133" customWidth="1"/>
    <col min="16143" max="16143" width="14.85546875" style="133" customWidth="1"/>
    <col min="16144" max="16144" width="13.85546875" style="133" customWidth="1"/>
    <col min="16145" max="16360" width="9.140625" style="133" customWidth="1"/>
    <col min="16361" max="16384" width="9.140625" style="133"/>
  </cols>
  <sheetData>
    <row r="1" spans="1:29" s="123" customFormat="1" ht="50.25" customHeight="1">
      <c r="A1" s="251" t="s">
        <v>233</v>
      </c>
      <c r="B1" s="251" t="s">
        <v>234</v>
      </c>
      <c r="C1" s="252" t="s">
        <v>235</v>
      </c>
      <c r="D1" s="252" t="s">
        <v>236</v>
      </c>
      <c r="E1" s="251" t="s">
        <v>237</v>
      </c>
      <c r="F1" s="252" t="s">
        <v>238</v>
      </c>
      <c r="G1" s="252" t="s">
        <v>239</v>
      </c>
      <c r="H1" s="252" t="s">
        <v>240</v>
      </c>
      <c r="I1" s="252" t="s">
        <v>241</v>
      </c>
      <c r="J1" s="252" t="s">
        <v>242</v>
      </c>
      <c r="K1" s="251" t="s">
        <v>243</v>
      </c>
      <c r="L1" s="251" t="s">
        <v>244</v>
      </c>
      <c r="M1" s="251" t="s">
        <v>245</v>
      </c>
      <c r="N1" s="251" t="s">
        <v>246</v>
      </c>
      <c r="O1" s="251" t="s">
        <v>247</v>
      </c>
      <c r="P1" s="251" t="s">
        <v>248</v>
      </c>
      <c r="Q1" s="251" t="s">
        <v>249</v>
      </c>
      <c r="R1" s="251" t="s">
        <v>250</v>
      </c>
      <c r="S1" s="251" t="s">
        <v>251</v>
      </c>
      <c r="T1" s="251" t="s">
        <v>252</v>
      </c>
      <c r="U1" s="251" t="s">
        <v>253</v>
      </c>
      <c r="V1" s="251" t="s">
        <v>254</v>
      </c>
      <c r="W1" s="251" t="s">
        <v>255</v>
      </c>
      <c r="X1" s="251" t="s">
        <v>256</v>
      </c>
      <c r="Y1" s="251" t="s">
        <v>257</v>
      </c>
      <c r="Z1" s="251" t="s">
        <v>258</v>
      </c>
      <c r="AA1" s="251" t="s">
        <v>259</v>
      </c>
      <c r="AB1" s="253" t="s">
        <v>260</v>
      </c>
    </row>
    <row r="2" spans="1:29" s="124" customFormat="1">
      <c r="A2" s="249" t="s">
        <v>462</v>
      </c>
      <c r="B2" s="250" t="s">
        <v>480</v>
      </c>
      <c r="C2" s="237">
        <v>66832667434</v>
      </c>
      <c r="D2" s="238" t="s">
        <v>682</v>
      </c>
      <c r="E2" s="238">
        <v>2</v>
      </c>
      <c r="F2" s="242" t="s">
        <v>683</v>
      </c>
      <c r="G2" s="241" t="s">
        <v>684</v>
      </c>
      <c r="H2" s="241" t="s">
        <v>633</v>
      </c>
      <c r="I2" s="493">
        <v>117.8</v>
      </c>
      <c r="J2" s="494" t="s">
        <v>633</v>
      </c>
      <c r="K2" s="495">
        <v>157.76</v>
      </c>
      <c r="L2" s="496">
        <v>25.05</v>
      </c>
      <c r="M2" s="495">
        <v>164.16</v>
      </c>
      <c r="N2" s="495">
        <v>2.68</v>
      </c>
      <c r="O2" s="495">
        <v>0</v>
      </c>
      <c r="P2" s="495">
        <f>N2-O2</f>
        <v>2.68</v>
      </c>
      <c r="Q2" s="497">
        <f>122.4+40.8</f>
        <v>163.19999999999999</v>
      </c>
      <c r="R2" s="497">
        <v>75.150000000000006</v>
      </c>
      <c r="S2" s="497">
        <v>0</v>
      </c>
      <c r="T2" s="495">
        <v>0</v>
      </c>
      <c r="U2" s="495">
        <v>0</v>
      </c>
      <c r="V2" s="495">
        <f>T2-U2</f>
        <v>0</v>
      </c>
      <c r="W2" s="498"/>
      <c r="X2" s="499">
        <v>0</v>
      </c>
      <c r="Y2" s="497">
        <v>0</v>
      </c>
      <c r="Z2" s="497">
        <v>0</v>
      </c>
      <c r="AA2" s="497">
        <v>0</v>
      </c>
      <c r="AB2" s="497">
        <f>SUM(Z2,V2,S2,P2,M2,J2,I2)</f>
        <v>284.64</v>
      </c>
      <c r="AC2" s="524"/>
    </row>
    <row r="3" spans="1:29" s="124" customFormat="1">
      <c r="A3" s="249" t="s">
        <v>462</v>
      </c>
      <c r="B3" s="250" t="s">
        <v>480</v>
      </c>
      <c r="C3" s="237" t="s">
        <v>685</v>
      </c>
      <c r="D3" s="238" t="s">
        <v>686</v>
      </c>
      <c r="E3" s="238">
        <v>3</v>
      </c>
      <c r="F3" s="242" t="s">
        <v>687</v>
      </c>
      <c r="G3" s="241" t="s">
        <v>684</v>
      </c>
      <c r="H3" s="241" t="s">
        <v>633</v>
      </c>
      <c r="I3" s="534">
        <v>134.81</v>
      </c>
      <c r="J3" s="494" t="s">
        <v>633</v>
      </c>
      <c r="K3" s="495">
        <v>157.76</v>
      </c>
      <c r="L3" s="496">
        <v>22</v>
      </c>
      <c r="M3" s="495">
        <v>164.16</v>
      </c>
      <c r="N3" s="495">
        <v>2.68</v>
      </c>
      <c r="O3" s="495">
        <v>0</v>
      </c>
      <c r="P3" s="495">
        <f t="shared" ref="P3:P66" si="0">N3-O3</f>
        <v>2.68</v>
      </c>
      <c r="Q3" s="497">
        <v>240</v>
      </c>
      <c r="R3" s="497">
        <v>66</v>
      </c>
      <c r="S3" s="497">
        <v>0</v>
      </c>
      <c r="T3" s="495">
        <v>0</v>
      </c>
      <c r="U3" s="495">
        <v>0</v>
      </c>
      <c r="V3" s="495">
        <v>0</v>
      </c>
      <c r="W3" s="498"/>
      <c r="X3" s="499">
        <v>0</v>
      </c>
      <c r="Y3" s="497">
        <v>0</v>
      </c>
      <c r="Z3" s="497">
        <v>0</v>
      </c>
      <c r="AA3" s="497">
        <v>0</v>
      </c>
      <c r="AB3" s="497">
        <f>SUM(Z3,V3,S3,P3,M3,J3,I3)</f>
        <v>301.64999999999998</v>
      </c>
      <c r="AC3" s="524"/>
    </row>
    <row r="4" spans="1:29" s="125" customFormat="1">
      <c r="A4" s="249" t="s">
        <v>462</v>
      </c>
      <c r="B4" s="250" t="s">
        <v>480</v>
      </c>
      <c r="C4" s="237">
        <v>13595668480</v>
      </c>
      <c r="D4" s="238" t="s">
        <v>688</v>
      </c>
      <c r="E4" s="238">
        <v>3</v>
      </c>
      <c r="F4" s="244" t="s">
        <v>689</v>
      </c>
      <c r="G4" s="241" t="s">
        <v>684</v>
      </c>
      <c r="H4" s="241" t="s">
        <v>633</v>
      </c>
      <c r="I4" s="534">
        <v>111.28</v>
      </c>
      <c r="J4" s="494" t="s">
        <v>633</v>
      </c>
      <c r="K4" s="495">
        <v>157.76</v>
      </c>
      <c r="L4" s="496">
        <v>22</v>
      </c>
      <c r="M4" s="495">
        <v>164.16</v>
      </c>
      <c r="N4" s="495">
        <v>2.68</v>
      </c>
      <c r="O4" s="495">
        <v>0</v>
      </c>
      <c r="P4" s="495">
        <f t="shared" si="0"/>
        <v>2.68</v>
      </c>
      <c r="Q4" s="497">
        <v>163</v>
      </c>
      <c r="R4" s="497">
        <v>66</v>
      </c>
      <c r="S4" s="497">
        <v>0</v>
      </c>
      <c r="T4" s="495">
        <v>0</v>
      </c>
      <c r="U4" s="495">
        <v>0</v>
      </c>
      <c r="V4" s="495">
        <v>0</v>
      </c>
      <c r="W4" s="498"/>
      <c r="X4" s="499">
        <v>0</v>
      </c>
      <c r="Y4" s="497">
        <v>0</v>
      </c>
      <c r="Z4" s="497">
        <v>0</v>
      </c>
      <c r="AA4" s="497">
        <v>0</v>
      </c>
      <c r="AB4" s="497">
        <f t="shared" ref="AB4:AB67" si="1">SUM(Z4,V4,S4,P4,M4,J4,I4)</f>
        <v>278.12</v>
      </c>
      <c r="AC4" s="525"/>
    </row>
    <row r="5" spans="1:29" s="125" customFormat="1">
      <c r="A5" s="249" t="s">
        <v>462</v>
      </c>
      <c r="B5" s="250" t="s">
        <v>480</v>
      </c>
      <c r="C5" s="237" t="s">
        <v>690</v>
      </c>
      <c r="D5" s="238" t="s">
        <v>691</v>
      </c>
      <c r="E5" s="238">
        <v>3</v>
      </c>
      <c r="F5" s="242" t="s">
        <v>692</v>
      </c>
      <c r="G5" s="241" t="s">
        <v>684</v>
      </c>
      <c r="H5" s="241" t="s">
        <v>633</v>
      </c>
      <c r="I5" s="534">
        <v>297.58</v>
      </c>
      <c r="J5" s="494" t="s">
        <v>633</v>
      </c>
      <c r="K5" s="495">
        <v>157.76</v>
      </c>
      <c r="L5" s="496">
        <v>67.75</v>
      </c>
      <c r="M5" s="495">
        <v>164.16</v>
      </c>
      <c r="N5" s="495">
        <v>2.68</v>
      </c>
      <c r="O5" s="495">
        <v>0</v>
      </c>
      <c r="P5" s="495">
        <f t="shared" si="0"/>
        <v>2.68</v>
      </c>
      <c r="Q5" s="497">
        <v>0</v>
      </c>
      <c r="R5" s="497">
        <v>0</v>
      </c>
      <c r="S5" s="497">
        <v>0</v>
      </c>
      <c r="T5" s="495">
        <v>0</v>
      </c>
      <c r="U5" s="495">
        <v>0</v>
      </c>
      <c r="V5" s="499">
        <v>0</v>
      </c>
      <c r="W5" s="498"/>
      <c r="X5" s="499">
        <v>0</v>
      </c>
      <c r="Y5" s="497">
        <v>0</v>
      </c>
      <c r="Z5" s="497">
        <v>0</v>
      </c>
      <c r="AA5" s="497">
        <v>0</v>
      </c>
      <c r="AB5" s="497">
        <f t="shared" si="1"/>
        <v>464.41999999999996</v>
      </c>
      <c r="AC5" s="525"/>
    </row>
    <row r="6" spans="1:29" s="126" customFormat="1">
      <c r="A6" s="249" t="s">
        <v>462</v>
      </c>
      <c r="B6" s="250" t="s">
        <v>480</v>
      </c>
      <c r="C6" s="237" t="s">
        <v>693</v>
      </c>
      <c r="D6" s="238" t="s">
        <v>694</v>
      </c>
      <c r="E6" s="238">
        <v>2</v>
      </c>
      <c r="F6" s="242" t="s">
        <v>683</v>
      </c>
      <c r="G6" s="241" t="s">
        <v>684</v>
      </c>
      <c r="H6" s="241" t="s">
        <v>633</v>
      </c>
      <c r="I6" s="534">
        <v>146.35</v>
      </c>
      <c r="J6" s="494" t="s">
        <v>633</v>
      </c>
      <c r="K6" s="495">
        <v>157.76</v>
      </c>
      <c r="L6" s="496">
        <v>25.05</v>
      </c>
      <c r="M6" s="495">
        <v>164.16</v>
      </c>
      <c r="N6" s="495">
        <v>2.68</v>
      </c>
      <c r="O6" s="495">
        <v>0</v>
      </c>
      <c r="P6" s="495">
        <f t="shared" si="0"/>
        <v>2.68</v>
      </c>
      <c r="Q6" s="497">
        <v>0</v>
      </c>
      <c r="R6" s="497">
        <v>0</v>
      </c>
      <c r="S6" s="497">
        <v>0</v>
      </c>
      <c r="T6" s="495">
        <v>0</v>
      </c>
      <c r="U6" s="495">
        <v>0</v>
      </c>
      <c r="V6" s="499">
        <f t="shared" ref="V6:V63" si="2">T6-U6</f>
        <v>0</v>
      </c>
      <c r="W6" s="498"/>
      <c r="X6" s="499">
        <v>0</v>
      </c>
      <c r="Y6" s="497">
        <v>0</v>
      </c>
      <c r="Z6" s="497">
        <v>0</v>
      </c>
      <c r="AA6" s="497">
        <v>0</v>
      </c>
      <c r="AB6" s="497">
        <f t="shared" si="1"/>
        <v>313.19</v>
      </c>
      <c r="AC6" s="526"/>
    </row>
    <row r="7" spans="1:29" s="126" customFormat="1">
      <c r="A7" s="249" t="s">
        <v>462</v>
      </c>
      <c r="B7" s="250" t="s">
        <v>480</v>
      </c>
      <c r="C7" s="237" t="s">
        <v>695</v>
      </c>
      <c r="D7" s="238" t="s">
        <v>696</v>
      </c>
      <c r="E7" s="238">
        <v>2</v>
      </c>
      <c r="F7" s="242" t="s">
        <v>697</v>
      </c>
      <c r="G7" s="241" t="s">
        <v>684</v>
      </c>
      <c r="H7" s="241" t="s">
        <v>633</v>
      </c>
      <c r="I7" s="534">
        <v>267.69</v>
      </c>
      <c r="J7" s="494" t="s">
        <v>633</v>
      </c>
      <c r="K7" s="495">
        <v>157.76</v>
      </c>
      <c r="L7" s="496">
        <v>0</v>
      </c>
      <c r="M7" s="495">
        <v>164.16</v>
      </c>
      <c r="N7" s="495">
        <v>4.3600000000000003</v>
      </c>
      <c r="O7" s="495">
        <v>0</v>
      </c>
      <c r="P7" s="495">
        <f t="shared" si="0"/>
        <v>4.3600000000000003</v>
      </c>
      <c r="Q7" s="497">
        <v>0</v>
      </c>
      <c r="R7" s="497">
        <v>0</v>
      </c>
      <c r="S7" s="497">
        <v>0</v>
      </c>
      <c r="T7" s="495">
        <v>0</v>
      </c>
      <c r="U7" s="495">
        <v>0</v>
      </c>
      <c r="V7" s="499">
        <f t="shared" si="2"/>
        <v>0</v>
      </c>
      <c r="W7" s="498"/>
      <c r="X7" s="499">
        <v>0</v>
      </c>
      <c r="Y7" s="497">
        <v>0</v>
      </c>
      <c r="Z7" s="497">
        <v>0</v>
      </c>
      <c r="AA7" s="497">
        <v>0</v>
      </c>
      <c r="AB7" s="497">
        <f t="shared" si="1"/>
        <v>436.21000000000004</v>
      </c>
      <c r="AC7" s="526"/>
    </row>
    <row r="8" spans="1:29" s="126" customFormat="1">
      <c r="A8" s="249" t="s">
        <v>462</v>
      </c>
      <c r="B8" s="250" t="s">
        <v>480</v>
      </c>
      <c r="C8" s="237" t="s">
        <v>698</v>
      </c>
      <c r="D8" s="238" t="s">
        <v>699</v>
      </c>
      <c r="E8" s="238">
        <v>2</v>
      </c>
      <c r="F8" s="242" t="s">
        <v>683</v>
      </c>
      <c r="G8" s="241" t="s">
        <v>684</v>
      </c>
      <c r="H8" s="241" t="s">
        <v>633</v>
      </c>
      <c r="I8" s="534">
        <v>133.13999999999999</v>
      </c>
      <c r="J8" s="494" t="s">
        <v>633</v>
      </c>
      <c r="K8" s="495">
        <v>157.76</v>
      </c>
      <c r="L8" s="496">
        <v>25.05</v>
      </c>
      <c r="M8" s="495">
        <v>164.16</v>
      </c>
      <c r="N8" s="495">
        <v>2.68</v>
      </c>
      <c r="O8" s="495">
        <v>0</v>
      </c>
      <c r="P8" s="495">
        <f t="shared" si="0"/>
        <v>2.68</v>
      </c>
      <c r="Q8" s="497">
        <f>151.2+50.4</f>
        <v>201.6</v>
      </c>
      <c r="R8" s="497">
        <v>75.150000000000006</v>
      </c>
      <c r="S8" s="497">
        <v>0</v>
      </c>
      <c r="T8" s="495">
        <v>0</v>
      </c>
      <c r="U8" s="495">
        <v>0</v>
      </c>
      <c r="V8" s="499">
        <f t="shared" si="2"/>
        <v>0</v>
      </c>
      <c r="W8" s="498"/>
      <c r="X8" s="499">
        <v>0</v>
      </c>
      <c r="Y8" s="497">
        <v>0</v>
      </c>
      <c r="Z8" s="497">
        <v>0</v>
      </c>
      <c r="AA8" s="497">
        <v>0</v>
      </c>
      <c r="AB8" s="497">
        <f t="shared" si="1"/>
        <v>299.98</v>
      </c>
      <c r="AC8" s="526"/>
    </row>
    <row r="9" spans="1:29" s="124" customFormat="1">
      <c r="A9" s="249" t="s">
        <v>462</v>
      </c>
      <c r="B9" s="250" t="s">
        <v>480</v>
      </c>
      <c r="C9" s="237">
        <v>88999882420</v>
      </c>
      <c r="D9" s="238" t="s">
        <v>700</v>
      </c>
      <c r="E9" s="238">
        <v>3</v>
      </c>
      <c r="F9" s="244" t="s">
        <v>689</v>
      </c>
      <c r="G9" s="241" t="s">
        <v>684</v>
      </c>
      <c r="H9" s="241" t="s">
        <v>633</v>
      </c>
      <c r="I9" s="534">
        <v>133.43</v>
      </c>
      <c r="J9" s="494" t="s">
        <v>633</v>
      </c>
      <c r="K9" s="495">
        <v>157.76</v>
      </c>
      <c r="L9" s="496">
        <v>22</v>
      </c>
      <c r="M9" s="495">
        <v>164.16</v>
      </c>
      <c r="N9" s="495">
        <v>2.68</v>
      </c>
      <c r="O9" s="495">
        <v>0</v>
      </c>
      <c r="P9" s="495">
        <f t="shared" si="0"/>
        <v>2.68</v>
      </c>
      <c r="Q9" s="497">
        <f>97.53+35.4</f>
        <v>132.93</v>
      </c>
      <c r="R9" s="497">
        <v>66</v>
      </c>
      <c r="S9" s="497">
        <v>0</v>
      </c>
      <c r="T9" s="495">
        <v>0</v>
      </c>
      <c r="U9" s="495">
        <v>0</v>
      </c>
      <c r="V9" s="499">
        <f t="shared" si="2"/>
        <v>0</v>
      </c>
      <c r="W9" s="498"/>
      <c r="X9" s="499">
        <v>0</v>
      </c>
      <c r="Y9" s="497">
        <v>0</v>
      </c>
      <c r="Z9" s="497">
        <v>0</v>
      </c>
      <c r="AA9" s="497">
        <v>0</v>
      </c>
      <c r="AB9" s="497">
        <f t="shared" si="1"/>
        <v>300.27</v>
      </c>
      <c r="AC9" s="524"/>
    </row>
    <row r="10" spans="1:29" s="124" customFormat="1">
      <c r="A10" s="249" t="s">
        <v>462</v>
      </c>
      <c r="B10" s="250" t="s">
        <v>480</v>
      </c>
      <c r="C10" s="237" t="s">
        <v>701</v>
      </c>
      <c r="D10" s="238" t="s">
        <v>702</v>
      </c>
      <c r="E10" s="238">
        <v>2</v>
      </c>
      <c r="F10" s="242" t="s">
        <v>683</v>
      </c>
      <c r="G10" s="241" t="s">
        <v>684</v>
      </c>
      <c r="H10" s="241" t="s">
        <v>633</v>
      </c>
      <c r="I10" s="493">
        <v>117.8</v>
      </c>
      <c r="J10" s="494" t="s">
        <v>633</v>
      </c>
      <c r="K10" s="495">
        <v>157.76</v>
      </c>
      <c r="L10" s="496">
        <v>25.05</v>
      </c>
      <c r="M10" s="495">
        <v>164.16</v>
      </c>
      <c r="N10" s="495">
        <v>2.68</v>
      </c>
      <c r="O10" s="495">
        <v>0</v>
      </c>
      <c r="P10" s="495">
        <f t="shared" si="0"/>
        <v>2.68</v>
      </c>
      <c r="Q10" s="497">
        <v>224.4</v>
      </c>
      <c r="R10" s="497">
        <v>75.150000000000006</v>
      </c>
      <c r="S10" s="497">
        <v>0</v>
      </c>
      <c r="T10" s="495">
        <v>0</v>
      </c>
      <c r="U10" s="495">
        <v>0</v>
      </c>
      <c r="V10" s="499">
        <v>41.75</v>
      </c>
      <c r="W10" s="498"/>
      <c r="X10" s="499">
        <v>0</v>
      </c>
      <c r="Y10" s="497">
        <v>0</v>
      </c>
      <c r="Z10" s="497">
        <v>0</v>
      </c>
      <c r="AA10" s="497">
        <v>0</v>
      </c>
      <c r="AB10" s="497">
        <f t="shared" si="1"/>
        <v>326.39</v>
      </c>
      <c r="AC10" s="524"/>
    </row>
    <row r="11" spans="1:29" s="126" customFormat="1">
      <c r="A11" s="249" t="s">
        <v>462</v>
      </c>
      <c r="B11" s="250" t="s">
        <v>480</v>
      </c>
      <c r="C11" s="237" t="s">
        <v>703</v>
      </c>
      <c r="D11" s="238" t="s">
        <v>704</v>
      </c>
      <c r="E11" s="238">
        <v>2</v>
      </c>
      <c r="F11" s="242" t="s">
        <v>683</v>
      </c>
      <c r="G11" s="241" t="s">
        <v>684</v>
      </c>
      <c r="H11" s="241" t="s">
        <v>633</v>
      </c>
      <c r="I11" s="493">
        <v>117.8</v>
      </c>
      <c r="J11" s="494" t="s">
        <v>633</v>
      </c>
      <c r="K11" s="495">
        <v>157.76</v>
      </c>
      <c r="L11" s="496">
        <v>25.05</v>
      </c>
      <c r="M11" s="495">
        <v>164.16</v>
      </c>
      <c r="N11" s="495">
        <v>2.68</v>
      </c>
      <c r="O11" s="495">
        <v>0</v>
      </c>
      <c r="P11" s="495">
        <f t="shared" si="0"/>
        <v>2.68</v>
      </c>
      <c r="Q11" s="497">
        <f>212.4+70.8</f>
        <v>283.2</v>
      </c>
      <c r="R11" s="497">
        <v>75.150000000000006</v>
      </c>
      <c r="S11" s="497">
        <v>0</v>
      </c>
      <c r="T11" s="495">
        <v>0</v>
      </c>
      <c r="U11" s="495">
        <v>0</v>
      </c>
      <c r="V11" s="499">
        <f t="shared" si="2"/>
        <v>0</v>
      </c>
      <c r="W11" s="498"/>
      <c r="X11" s="499">
        <v>0</v>
      </c>
      <c r="Y11" s="497">
        <v>0</v>
      </c>
      <c r="Z11" s="497">
        <v>0</v>
      </c>
      <c r="AA11" s="497">
        <v>0</v>
      </c>
      <c r="AB11" s="497">
        <f t="shared" si="1"/>
        <v>284.64</v>
      </c>
      <c r="AC11" s="526"/>
    </row>
    <row r="12" spans="1:29" s="126" customFormat="1">
      <c r="A12" s="249" t="s">
        <v>462</v>
      </c>
      <c r="B12" s="250" t="s">
        <v>480</v>
      </c>
      <c r="C12" s="237" t="s">
        <v>705</v>
      </c>
      <c r="D12" s="238" t="s">
        <v>706</v>
      </c>
      <c r="E12" s="238">
        <v>2</v>
      </c>
      <c r="F12" s="242" t="s">
        <v>697</v>
      </c>
      <c r="G12" s="241" t="s">
        <v>684</v>
      </c>
      <c r="H12" s="241" t="s">
        <v>633</v>
      </c>
      <c r="I12" s="534">
        <v>267.69</v>
      </c>
      <c r="J12" s="494" t="s">
        <v>633</v>
      </c>
      <c r="K12" s="495">
        <v>157.76</v>
      </c>
      <c r="L12" s="496">
        <v>0</v>
      </c>
      <c r="M12" s="495">
        <v>164.16</v>
      </c>
      <c r="N12" s="495">
        <v>4.3600000000000003</v>
      </c>
      <c r="O12" s="495">
        <v>0</v>
      </c>
      <c r="P12" s="495">
        <f t="shared" si="0"/>
        <v>4.3600000000000003</v>
      </c>
      <c r="Q12" s="497">
        <v>0</v>
      </c>
      <c r="R12" s="497">
        <v>0</v>
      </c>
      <c r="S12" s="497">
        <v>0</v>
      </c>
      <c r="T12" s="495">
        <v>0</v>
      </c>
      <c r="U12" s="495">
        <v>0</v>
      </c>
      <c r="V12" s="499">
        <v>487.7</v>
      </c>
      <c r="W12" s="498"/>
      <c r="X12" s="499">
        <v>0</v>
      </c>
      <c r="Y12" s="497">
        <v>0</v>
      </c>
      <c r="Z12" s="497">
        <v>0</v>
      </c>
      <c r="AA12" s="497">
        <v>0</v>
      </c>
      <c r="AB12" s="497">
        <f t="shared" si="1"/>
        <v>923.91000000000008</v>
      </c>
      <c r="AC12" s="526"/>
    </row>
    <row r="13" spans="1:29" s="126" customFormat="1">
      <c r="A13" s="249" t="s">
        <v>462</v>
      </c>
      <c r="B13" s="250" t="s">
        <v>480</v>
      </c>
      <c r="C13" s="237" t="s">
        <v>707</v>
      </c>
      <c r="D13" s="238" t="s">
        <v>708</v>
      </c>
      <c r="E13" s="238">
        <v>2</v>
      </c>
      <c r="F13" s="242" t="s">
        <v>709</v>
      </c>
      <c r="G13" s="241" t="s">
        <v>684</v>
      </c>
      <c r="H13" s="241" t="s">
        <v>633</v>
      </c>
      <c r="I13" s="534">
        <v>227.56</v>
      </c>
      <c r="J13" s="494" t="s">
        <v>633</v>
      </c>
      <c r="K13" s="495">
        <v>157.76</v>
      </c>
      <c r="L13" s="496">
        <v>0</v>
      </c>
      <c r="M13" s="495">
        <v>164.16</v>
      </c>
      <c r="N13" s="499">
        <v>5.36</v>
      </c>
      <c r="O13" s="499">
        <v>0</v>
      </c>
      <c r="P13" s="495">
        <f t="shared" si="0"/>
        <v>5.36</v>
      </c>
      <c r="Q13" s="497">
        <v>0</v>
      </c>
      <c r="R13" s="497">
        <v>0</v>
      </c>
      <c r="S13" s="497">
        <v>0</v>
      </c>
      <c r="T13" s="499">
        <v>0</v>
      </c>
      <c r="U13" s="499">
        <v>0</v>
      </c>
      <c r="V13" s="499">
        <v>0</v>
      </c>
      <c r="W13" s="498"/>
      <c r="X13" s="499">
        <v>0</v>
      </c>
      <c r="Y13" s="497">
        <v>0</v>
      </c>
      <c r="Z13" s="497">
        <v>0</v>
      </c>
      <c r="AA13" s="497">
        <v>0</v>
      </c>
      <c r="AB13" s="497">
        <f t="shared" si="1"/>
        <v>397.08000000000004</v>
      </c>
      <c r="AC13" s="526"/>
    </row>
    <row r="14" spans="1:29" s="126" customFormat="1">
      <c r="A14" s="249" t="s">
        <v>462</v>
      </c>
      <c r="B14" s="250" t="s">
        <v>480</v>
      </c>
      <c r="C14" s="237" t="s">
        <v>710</v>
      </c>
      <c r="D14" s="238" t="s">
        <v>711</v>
      </c>
      <c r="E14" s="238">
        <v>2</v>
      </c>
      <c r="F14" s="527" t="s">
        <v>712</v>
      </c>
      <c r="G14" s="241" t="s">
        <v>684</v>
      </c>
      <c r="H14" s="241" t="s">
        <v>633</v>
      </c>
      <c r="I14" s="493">
        <v>137.6</v>
      </c>
      <c r="J14" s="494" t="s">
        <v>633</v>
      </c>
      <c r="K14" s="495">
        <v>157.76</v>
      </c>
      <c r="L14" s="496">
        <v>0</v>
      </c>
      <c r="M14" s="495">
        <v>164.16</v>
      </c>
      <c r="N14" s="499">
        <v>18.690000000000001</v>
      </c>
      <c r="O14" s="499">
        <v>0</v>
      </c>
      <c r="P14" s="495">
        <f t="shared" si="0"/>
        <v>18.690000000000001</v>
      </c>
      <c r="Q14" s="497">
        <v>0</v>
      </c>
      <c r="R14" s="497">
        <v>0</v>
      </c>
      <c r="S14" s="497">
        <v>0</v>
      </c>
      <c r="T14" s="499">
        <v>0</v>
      </c>
      <c r="U14" s="499">
        <v>0</v>
      </c>
      <c r="V14" s="499">
        <f t="shared" si="2"/>
        <v>0</v>
      </c>
      <c r="W14" s="498"/>
      <c r="X14" s="499">
        <v>0</v>
      </c>
      <c r="Y14" s="497">
        <v>0</v>
      </c>
      <c r="Z14" s="497">
        <v>0</v>
      </c>
      <c r="AA14" s="497">
        <v>0</v>
      </c>
      <c r="AB14" s="497">
        <f t="shared" si="1"/>
        <v>320.45</v>
      </c>
      <c r="AC14" s="526"/>
    </row>
    <row r="15" spans="1:29" s="126" customFormat="1">
      <c r="A15" s="249" t="s">
        <v>462</v>
      </c>
      <c r="B15" s="250" t="s">
        <v>480</v>
      </c>
      <c r="C15" s="237">
        <v>10283186429</v>
      </c>
      <c r="D15" s="238" t="s">
        <v>713</v>
      </c>
      <c r="E15" s="238">
        <v>2</v>
      </c>
      <c r="F15" s="244" t="s">
        <v>714</v>
      </c>
      <c r="G15" s="241" t="s">
        <v>684</v>
      </c>
      <c r="H15" s="241" t="s">
        <v>633</v>
      </c>
      <c r="I15" s="493">
        <v>119</v>
      </c>
      <c r="J15" s="494" t="s">
        <v>633</v>
      </c>
      <c r="K15" s="495">
        <v>157.76</v>
      </c>
      <c r="L15" s="496">
        <v>24.18</v>
      </c>
      <c r="M15" s="495">
        <v>164.16</v>
      </c>
      <c r="N15" s="499">
        <v>2.68</v>
      </c>
      <c r="O15" s="499">
        <v>0</v>
      </c>
      <c r="P15" s="495">
        <f t="shared" si="0"/>
        <v>2.68</v>
      </c>
      <c r="Q15" s="497">
        <f>122.4+40.8</f>
        <v>163.19999999999999</v>
      </c>
      <c r="R15" s="497">
        <v>72.53</v>
      </c>
      <c r="S15" s="497">
        <v>0</v>
      </c>
      <c r="T15" s="499">
        <v>0</v>
      </c>
      <c r="U15" s="499">
        <v>0</v>
      </c>
      <c r="V15" s="499">
        <f t="shared" si="2"/>
        <v>0</v>
      </c>
      <c r="W15" s="498"/>
      <c r="X15" s="499">
        <v>0</v>
      </c>
      <c r="Y15" s="497">
        <v>0</v>
      </c>
      <c r="Z15" s="497">
        <v>0</v>
      </c>
      <c r="AA15" s="497">
        <v>0</v>
      </c>
      <c r="AB15" s="497">
        <f t="shared" si="1"/>
        <v>285.84000000000003</v>
      </c>
      <c r="AC15" s="526"/>
    </row>
    <row r="16" spans="1:29" s="126" customFormat="1">
      <c r="A16" s="249" t="s">
        <v>462</v>
      </c>
      <c r="B16" s="250" t="s">
        <v>480</v>
      </c>
      <c r="C16" s="237" t="s">
        <v>715</v>
      </c>
      <c r="D16" s="239" t="s">
        <v>716</v>
      </c>
      <c r="E16" s="238">
        <v>2</v>
      </c>
      <c r="F16" s="244" t="s">
        <v>714</v>
      </c>
      <c r="G16" s="241" t="s">
        <v>684</v>
      </c>
      <c r="H16" s="241" t="s">
        <v>633</v>
      </c>
      <c r="I16" s="493">
        <v>119</v>
      </c>
      <c r="J16" s="494" t="s">
        <v>633</v>
      </c>
      <c r="K16" s="495">
        <v>157.76</v>
      </c>
      <c r="L16" s="496">
        <v>24.18</v>
      </c>
      <c r="M16" s="495">
        <v>164.16</v>
      </c>
      <c r="N16" s="499">
        <v>2.68</v>
      </c>
      <c r="O16" s="499">
        <v>0</v>
      </c>
      <c r="P16" s="495">
        <f t="shared" si="0"/>
        <v>2.68</v>
      </c>
      <c r="Q16" s="497">
        <f>165+60</f>
        <v>225</v>
      </c>
      <c r="R16" s="497">
        <v>72.53</v>
      </c>
      <c r="S16" s="497">
        <v>0</v>
      </c>
      <c r="T16" s="499">
        <v>0</v>
      </c>
      <c r="U16" s="499">
        <v>0</v>
      </c>
      <c r="V16" s="499">
        <v>0</v>
      </c>
      <c r="W16" s="498"/>
      <c r="X16" s="499">
        <v>0</v>
      </c>
      <c r="Y16" s="497">
        <v>0</v>
      </c>
      <c r="Z16" s="497">
        <v>0</v>
      </c>
      <c r="AA16" s="497">
        <v>0</v>
      </c>
      <c r="AB16" s="497">
        <f t="shared" si="1"/>
        <v>285.84000000000003</v>
      </c>
      <c r="AC16" s="526"/>
    </row>
    <row r="17" spans="1:29" s="126" customFormat="1">
      <c r="A17" s="249" t="s">
        <v>462</v>
      </c>
      <c r="B17" s="250" t="s">
        <v>480</v>
      </c>
      <c r="C17" s="237" t="s">
        <v>717</v>
      </c>
      <c r="D17" s="238" t="s">
        <v>718</v>
      </c>
      <c r="E17" s="238">
        <v>3</v>
      </c>
      <c r="F17" s="242" t="s">
        <v>719</v>
      </c>
      <c r="G17" s="241" t="s">
        <v>684</v>
      </c>
      <c r="H17" s="241" t="s">
        <v>633</v>
      </c>
      <c r="I17" s="534">
        <v>134.81</v>
      </c>
      <c r="J17" s="494" t="s">
        <v>633</v>
      </c>
      <c r="K17" s="495">
        <v>157.76</v>
      </c>
      <c r="L17" s="496">
        <v>22</v>
      </c>
      <c r="M17" s="495">
        <v>164.16</v>
      </c>
      <c r="N17" s="495">
        <v>2.68</v>
      </c>
      <c r="O17" s="495">
        <v>0</v>
      </c>
      <c r="P17" s="495">
        <f t="shared" si="0"/>
        <v>2.68</v>
      </c>
      <c r="Q17" s="497">
        <v>0</v>
      </c>
      <c r="R17" s="497">
        <v>0</v>
      </c>
      <c r="S17" s="497">
        <v>0</v>
      </c>
      <c r="T17" s="495">
        <v>0</v>
      </c>
      <c r="U17" s="495">
        <v>0</v>
      </c>
      <c r="V17" s="499">
        <f t="shared" si="2"/>
        <v>0</v>
      </c>
      <c r="W17" s="498"/>
      <c r="X17" s="499">
        <v>0</v>
      </c>
      <c r="Y17" s="497">
        <v>0</v>
      </c>
      <c r="Z17" s="497">
        <v>0</v>
      </c>
      <c r="AA17" s="497">
        <v>0</v>
      </c>
      <c r="AB17" s="497">
        <f t="shared" si="1"/>
        <v>301.64999999999998</v>
      </c>
      <c r="AC17" s="526"/>
    </row>
    <row r="18" spans="1:29" s="126" customFormat="1">
      <c r="A18" s="249" t="s">
        <v>462</v>
      </c>
      <c r="B18" s="250" t="s">
        <v>480</v>
      </c>
      <c r="C18" s="237">
        <v>70178717401</v>
      </c>
      <c r="D18" s="238" t="s">
        <v>720</v>
      </c>
      <c r="E18" s="238">
        <v>3</v>
      </c>
      <c r="F18" s="242" t="s">
        <v>719</v>
      </c>
      <c r="G18" s="241" t="s">
        <v>684</v>
      </c>
      <c r="H18" s="241" t="s">
        <v>633</v>
      </c>
      <c r="I18" s="493">
        <v>110.1</v>
      </c>
      <c r="J18" s="494" t="s">
        <v>633</v>
      </c>
      <c r="K18" s="495">
        <v>157.76</v>
      </c>
      <c r="L18" s="496">
        <v>22</v>
      </c>
      <c r="M18" s="495">
        <v>164.16</v>
      </c>
      <c r="N18" s="495">
        <v>2.68</v>
      </c>
      <c r="O18" s="495">
        <v>0</v>
      </c>
      <c r="P18" s="495">
        <f t="shared" si="0"/>
        <v>2.68</v>
      </c>
      <c r="Q18" s="497">
        <f>122.2+40.8</f>
        <v>163</v>
      </c>
      <c r="R18" s="497">
        <v>66</v>
      </c>
      <c r="S18" s="497">
        <v>0</v>
      </c>
      <c r="T18" s="495">
        <f>64</f>
        <v>64</v>
      </c>
      <c r="U18" s="495">
        <v>0</v>
      </c>
      <c r="V18" s="499">
        <f t="shared" si="2"/>
        <v>64</v>
      </c>
      <c r="W18" s="498" t="s">
        <v>721</v>
      </c>
      <c r="X18" s="499">
        <v>75.760000000000005</v>
      </c>
      <c r="Y18" s="497">
        <v>0</v>
      </c>
      <c r="Z18" s="497">
        <v>0</v>
      </c>
      <c r="AA18" s="497">
        <v>0</v>
      </c>
      <c r="AB18" s="497">
        <f t="shared" si="1"/>
        <v>340.94</v>
      </c>
      <c r="AC18" s="526"/>
    </row>
    <row r="19" spans="1:29" s="126" customFormat="1">
      <c r="A19" s="249" t="s">
        <v>462</v>
      </c>
      <c r="B19" s="250" t="s">
        <v>480</v>
      </c>
      <c r="C19" s="237">
        <v>76801144472</v>
      </c>
      <c r="D19" s="238" t="s">
        <v>722</v>
      </c>
      <c r="E19" s="238">
        <v>3</v>
      </c>
      <c r="F19" s="242" t="s">
        <v>723</v>
      </c>
      <c r="G19" s="241" t="s">
        <v>684</v>
      </c>
      <c r="H19" s="241" t="s">
        <v>633</v>
      </c>
      <c r="I19" s="493">
        <v>118.2</v>
      </c>
      <c r="J19" s="494" t="s">
        <v>633</v>
      </c>
      <c r="K19" s="495">
        <v>157.76</v>
      </c>
      <c r="L19" s="496">
        <v>22</v>
      </c>
      <c r="M19" s="495">
        <v>164.16</v>
      </c>
      <c r="N19" s="495">
        <v>2.68</v>
      </c>
      <c r="O19" s="495">
        <v>0</v>
      </c>
      <c r="P19" s="495">
        <f t="shared" si="0"/>
        <v>2.68</v>
      </c>
      <c r="Q19" s="497">
        <f>165+60</f>
        <v>225</v>
      </c>
      <c r="R19" s="497">
        <v>66</v>
      </c>
      <c r="S19" s="497">
        <v>0</v>
      </c>
      <c r="T19" s="495">
        <v>0</v>
      </c>
      <c r="U19" s="495">
        <v>0</v>
      </c>
      <c r="V19" s="499">
        <f t="shared" si="2"/>
        <v>0</v>
      </c>
      <c r="W19" s="498"/>
      <c r="X19" s="499">
        <v>0</v>
      </c>
      <c r="Y19" s="497">
        <v>0</v>
      </c>
      <c r="Z19" s="497">
        <v>0</v>
      </c>
      <c r="AA19" s="497">
        <v>0</v>
      </c>
      <c r="AB19" s="497">
        <f t="shared" si="1"/>
        <v>285.04000000000002</v>
      </c>
      <c r="AC19" s="526"/>
    </row>
    <row r="20" spans="1:29" s="126" customFormat="1">
      <c r="A20" s="249" t="s">
        <v>462</v>
      </c>
      <c r="B20" s="250" t="s">
        <v>480</v>
      </c>
      <c r="C20" s="237" t="s">
        <v>724</v>
      </c>
      <c r="D20" s="239" t="s">
        <v>725</v>
      </c>
      <c r="E20" s="238">
        <v>2</v>
      </c>
      <c r="F20" s="242" t="s">
        <v>683</v>
      </c>
      <c r="G20" s="241" t="s">
        <v>684</v>
      </c>
      <c r="H20" s="241" t="s">
        <v>633</v>
      </c>
      <c r="I20" s="493">
        <v>117.8</v>
      </c>
      <c r="J20" s="494" t="s">
        <v>633</v>
      </c>
      <c r="K20" s="495">
        <v>157.76</v>
      </c>
      <c r="L20" s="496">
        <v>25.05</v>
      </c>
      <c r="M20" s="495">
        <v>164.16</v>
      </c>
      <c r="N20" s="495">
        <v>2.68</v>
      </c>
      <c r="O20" s="495">
        <v>0</v>
      </c>
      <c r="P20" s="495">
        <f t="shared" si="0"/>
        <v>2.68</v>
      </c>
      <c r="Q20" s="497">
        <f>300.9+88.5</f>
        <v>389.4</v>
      </c>
      <c r="R20" s="497">
        <v>75.150000000000006</v>
      </c>
      <c r="S20" s="497">
        <v>0</v>
      </c>
      <c r="T20" s="495">
        <v>0</v>
      </c>
      <c r="U20" s="495">
        <v>0</v>
      </c>
      <c r="V20" s="499">
        <f t="shared" si="2"/>
        <v>0</v>
      </c>
      <c r="W20" s="498"/>
      <c r="X20" s="499">
        <v>0</v>
      </c>
      <c r="Y20" s="497">
        <v>0</v>
      </c>
      <c r="Z20" s="497">
        <v>0</v>
      </c>
      <c r="AA20" s="497">
        <v>0</v>
      </c>
      <c r="AB20" s="497">
        <f t="shared" si="1"/>
        <v>284.64</v>
      </c>
      <c r="AC20" s="526"/>
    </row>
    <row r="21" spans="1:29" s="126" customFormat="1">
      <c r="A21" s="249" t="s">
        <v>462</v>
      </c>
      <c r="B21" s="250" t="s">
        <v>480</v>
      </c>
      <c r="C21" s="237" t="s">
        <v>726</v>
      </c>
      <c r="D21" s="238" t="s">
        <v>727</v>
      </c>
      <c r="E21" s="238">
        <v>3</v>
      </c>
      <c r="F21" s="244" t="s">
        <v>728</v>
      </c>
      <c r="G21" s="241" t="s">
        <v>684</v>
      </c>
      <c r="H21" s="241" t="s">
        <v>633</v>
      </c>
      <c r="I21" s="534">
        <v>121.28</v>
      </c>
      <c r="J21" s="494" t="s">
        <v>633</v>
      </c>
      <c r="K21" s="495">
        <v>157.76</v>
      </c>
      <c r="L21" s="496">
        <v>25.09</v>
      </c>
      <c r="M21" s="495">
        <v>164.16</v>
      </c>
      <c r="N21" s="495">
        <v>2.68</v>
      </c>
      <c r="O21" s="495">
        <v>0</v>
      </c>
      <c r="P21" s="495">
        <f t="shared" si="0"/>
        <v>2.68</v>
      </c>
      <c r="Q21" s="497">
        <v>0</v>
      </c>
      <c r="R21" s="497">
        <v>0</v>
      </c>
      <c r="S21" s="497">
        <v>0</v>
      </c>
      <c r="T21" s="495">
        <v>0</v>
      </c>
      <c r="U21" s="495">
        <v>0</v>
      </c>
      <c r="V21" s="499">
        <f t="shared" si="2"/>
        <v>0</v>
      </c>
      <c r="W21" s="498"/>
      <c r="X21" s="499">
        <v>0</v>
      </c>
      <c r="Y21" s="497">
        <v>0</v>
      </c>
      <c r="Z21" s="497">
        <v>0</v>
      </c>
      <c r="AA21" s="497">
        <v>0</v>
      </c>
      <c r="AB21" s="497">
        <f t="shared" si="1"/>
        <v>288.12</v>
      </c>
      <c r="AC21" s="526"/>
    </row>
    <row r="22" spans="1:29" s="126" customFormat="1">
      <c r="A22" s="249" t="s">
        <v>462</v>
      </c>
      <c r="B22" s="250" t="s">
        <v>480</v>
      </c>
      <c r="C22" s="237" t="s">
        <v>729</v>
      </c>
      <c r="D22" s="238" t="s">
        <v>730</v>
      </c>
      <c r="E22" s="238">
        <v>2</v>
      </c>
      <c r="F22" s="244" t="s">
        <v>731</v>
      </c>
      <c r="G22" s="241" t="s">
        <v>684</v>
      </c>
      <c r="H22" s="241" t="s">
        <v>633</v>
      </c>
      <c r="I22" s="493">
        <v>137.6</v>
      </c>
      <c r="J22" s="494" t="s">
        <v>633</v>
      </c>
      <c r="K22" s="495">
        <v>157.76</v>
      </c>
      <c r="L22" s="496">
        <v>0</v>
      </c>
      <c r="M22" s="495">
        <v>164.16</v>
      </c>
      <c r="N22" s="495">
        <v>18.690000000000001</v>
      </c>
      <c r="O22" s="495">
        <v>0</v>
      </c>
      <c r="P22" s="495">
        <v>0</v>
      </c>
      <c r="Q22" s="497">
        <v>0</v>
      </c>
      <c r="R22" s="497">
        <v>0</v>
      </c>
      <c r="S22" s="497">
        <v>0</v>
      </c>
      <c r="T22" s="495">
        <v>0</v>
      </c>
      <c r="U22" s="495">
        <v>0</v>
      </c>
      <c r="V22" s="499">
        <v>0</v>
      </c>
      <c r="W22" s="498"/>
      <c r="X22" s="499">
        <v>0</v>
      </c>
      <c r="Y22" s="497">
        <v>0</v>
      </c>
      <c r="Z22" s="497">
        <v>0</v>
      </c>
      <c r="AA22" s="497">
        <v>0</v>
      </c>
      <c r="AB22" s="497">
        <f t="shared" si="1"/>
        <v>301.76</v>
      </c>
      <c r="AC22" s="526"/>
    </row>
    <row r="23" spans="1:29" s="126" customFormat="1">
      <c r="A23" s="249" t="s">
        <v>462</v>
      </c>
      <c r="B23" s="250" t="s">
        <v>480</v>
      </c>
      <c r="C23" s="237" t="s">
        <v>732</v>
      </c>
      <c r="D23" s="238" t="s">
        <v>733</v>
      </c>
      <c r="E23" s="238">
        <v>3</v>
      </c>
      <c r="F23" s="244" t="s">
        <v>734</v>
      </c>
      <c r="G23" s="241" t="s">
        <v>684</v>
      </c>
      <c r="H23" s="241" t="s">
        <v>633</v>
      </c>
      <c r="I23" s="534">
        <v>229.33</v>
      </c>
      <c r="J23" s="494" t="s">
        <v>633</v>
      </c>
      <c r="K23" s="495">
        <v>157.76</v>
      </c>
      <c r="L23" s="496">
        <v>0</v>
      </c>
      <c r="M23" s="495">
        <v>164.16</v>
      </c>
      <c r="N23" s="495">
        <v>2.68</v>
      </c>
      <c r="O23" s="495">
        <v>0</v>
      </c>
      <c r="P23" s="495">
        <f t="shared" si="0"/>
        <v>2.68</v>
      </c>
      <c r="Q23" s="497">
        <v>0</v>
      </c>
      <c r="R23" s="497">
        <v>0</v>
      </c>
      <c r="S23" s="497">
        <v>0</v>
      </c>
      <c r="T23" s="495">
        <v>0</v>
      </c>
      <c r="U23" s="495">
        <v>0</v>
      </c>
      <c r="V23" s="499">
        <f t="shared" si="2"/>
        <v>0</v>
      </c>
      <c r="W23" s="498"/>
      <c r="X23" s="499">
        <v>0</v>
      </c>
      <c r="Y23" s="497">
        <v>0</v>
      </c>
      <c r="Z23" s="497">
        <v>0</v>
      </c>
      <c r="AA23" s="497">
        <v>0</v>
      </c>
      <c r="AB23" s="497">
        <f t="shared" si="1"/>
        <v>396.17</v>
      </c>
      <c r="AC23" s="526"/>
    </row>
    <row r="24" spans="1:29" s="126" customFormat="1">
      <c r="A24" s="249" t="s">
        <v>462</v>
      </c>
      <c r="B24" s="250" t="s">
        <v>480</v>
      </c>
      <c r="C24" s="237" t="s">
        <v>735</v>
      </c>
      <c r="D24" s="238" t="s">
        <v>736</v>
      </c>
      <c r="E24" s="238">
        <v>2</v>
      </c>
      <c r="F24" s="242" t="s">
        <v>683</v>
      </c>
      <c r="G24" s="241" t="s">
        <v>684</v>
      </c>
      <c r="H24" s="241" t="s">
        <v>633</v>
      </c>
      <c r="I24" s="534">
        <v>114.28</v>
      </c>
      <c r="J24" s="494" t="s">
        <v>633</v>
      </c>
      <c r="K24" s="495">
        <v>157.76</v>
      </c>
      <c r="L24" s="496">
        <v>25.05</v>
      </c>
      <c r="M24" s="495">
        <v>164.16</v>
      </c>
      <c r="N24" s="495">
        <v>2.68</v>
      </c>
      <c r="O24" s="495">
        <v>0</v>
      </c>
      <c r="P24" s="495">
        <f t="shared" si="0"/>
        <v>2.68</v>
      </c>
      <c r="Q24" s="497">
        <f>106.2+35.4</f>
        <v>141.6</v>
      </c>
      <c r="R24" s="497">
        <v>75.150000000000006</v>
      </c>
      <c r="S24" s="497">
        <v>0</v>
      </c>
      <c r="T24" s="495">
        <v>626.27</v>
      </c>
      <c r="U24" s="495">
        <v>0</v>
      </c>
      <c r="V24" s="499">
        <v>64</v>
      </c>
      <c r="W24" s="498" t="s">
        <v>737</v>
      </c>
      <c r="X24" s="499">
        <v>250.51</v>
      </c>
      <c r="Y24" s="497">
        <v>0</v>
      </c>
      <c r="Z24" s="497">
        <v>0</v>
      </c>
      <c r="AA24" s="497">
        <v>0</v>
      </c>
      <c r="AB24" s="497">
        <f t="shared" si="1"/>
        <v>345.12</v>
      </c>
      <c r="AC24" s="526"/>
    </row>
    <row r="25" spans="1:29" s="126" customFormat="1">
      <c r="A25" s="249" t="s">
        <v>462</v>
      </c>
      <c r="B25" s="250" t="s">
        <v>480</v>
      </c>
      <c r="C25" s="237">
        <v>78272203472</v>
      </c>
      <c r="D25" s="238" t="s">
        <v>738</v>
      </c>
      <c r="E25" s="238">
        <v>3</v>
      </c>
      <c r="F25" s="244" t="s">
        <v>728</v>
      </c>
      <c r="G25" s="241" t="s">
        <v>684</v>
      </c>
      <c r="H25" s="241" t="s">
        <v>633</v>
      </c>
      <c r="I25" s="534">
        <v>121.28</v>
      </c>
      <c r="J25" s="494" t="s">
        <v>633</v>
      </c>
      <c r="K25" s="495">
        <v>157.76</v>
      </c>
      <c r="L25" s="496">
        <v>25.09</v>
      </c>
      <c r="M25" s="495">
        <v>164.16</v>
      </c>
      <c r="N25" s="495">
        <v>2.68</v>
      </c>
      <c r="O25" s="495">
        <v>0</v>
      </c>
      <c r="P25" s="495">
        <f t="shared" si="0"/>
        <v>2.68</v>
      </c>
      <c r="Q25" s="497">
        <v>0</v>
      </c>
      <c r="R25" s="497">
        <v>0</v>
      </c>
      <c r="S25" s="497">
        <v>0</v>
      </c>
      <c r="T25" s="495">
        <v>0</v>
      </c>
      <c r="U25" s="495">
        <v>0</v>
      </c>
      <c r="V25" s="499">
        <f t="shared" si="2"/>
        <v>0</v>
      </c>
      <c r="W25" s="498"/>
      <c r="X25" s="499">
        <v>0</v>
      </c>
      <c r="Y25" s="497">
        <v>0</v>
      </c>
      <c r="Z25" s="497">
        <v>0</v>
      </c>
      <c r="AA25" s="497">
        <v>0</v>
      </c>
      <c r="AB25" s="497">
        <f t="shared" si="1"/>
        <v>288.12</v>
      </c>
      <c r="AC25" s="526"/>
    </row>
    <row r="26" spans="1:29" s="126" customFormat="1">
      <c r="A26" s="249" t="s">
        <v>462</v>
      </c>
      <c r="B26" s="250" t="s">
        <v>480</v>
      </c>
      <c r="C26" s="237">
        <v>65002938434</v>
      </c>
      <c r="D26" s="238" t="s">
        <v>739</v>
      </c>
      <c r="E26" s="238">
        <v>2</v>
      </c>
      <c r="F26" s="244" t="s">
        <v>740</v>
      </c>
      <c r="G26" s="241" t="s">
        <v>684</v>
      </c>
      <c r="H26" s="241" t="s">
        <v>633</v>
      </c>
      <c r="I26" s="534">
        <v>274.37</v>
      </c>
      <c r="J26" s="494" t="s">
        <v>633</v>
      </c>
      <c r="K26" s="495">
        <v>157.76</v>
      </c>
      <c r="L26" s="496">
        <v>16.05</v>
      </c>
      <c r="M26" s="495">
        <v>164.16</v>
      </c>
      <c r="N26" s="495">
        <v>2.68</v>
      </c>
      <c r="O26" s="495">
        <v>0</v>
      </c>
      <c r="P26" s="495">
        <f t="shared" si="0"/>
        <v>2.68</v>
      </c>
      <c r="Q26" s="497">
        <v>0</v>
      </c>
      <c r="R26" s="497">
        <v>0</v>
      </c>
      <c r="S26" s="497">
        <v>0</v>
      </c>
      <c r="T26" s="495">
        <v>0</v>
      </c>
      <c r="U26" s="495">
        <v>0</v>
      </c>
      <c r="V26" s="499">
        <f t="shared" si="2"/>
        <v>0</v>
      </c>
      <c r="W26" s="498"/>
      <c r="X26" s="499">
        <v>0</v>
      </c>
      <c r="Y26" s="497">
        <v>0</v>
      </c>
      <c r="Z26" s="497">
        <v>0</v>
      </c>
      <c r="AA26" s="497">
        <v>0</v>
      </c>
      <c r="AB26" s="497">
        <f t="shared" si="1"/>
        <v>441.21000000000004</v>
      </c>
      <c r="AC26" s="526"/>
    </row>
    <row r="27" spans="1:29" s="126" customFormat="1">
      <c r="A27" s="249" t="s">
        <v>462</v>
      </c>
      <c r="B27" s="250" t="s">
        <v>480</v>
      </c>
      <c r="C27" s="237" t="s">
        <v>741</v>
      </c>
      <c r="D27" s="238" t="s">
        <v>742</v>
      </c>
      <c r="E27" s="238">
        <v>2</v>
      </c>
      <c r="F27" s="242" t="s">
        <v>709</v>
      </c>
      <c r="G27" s="241" t="s">
        <v>684</v>
      </c>
      <c r="H27" s="241" t="s">
        <v>633</v>
      </c>
      <c r="I27" s="534">
        <v>162.38999999999999</v>
      </c>
      <c r="J27" s="494" t="s">
        <v>633</v>
      </c>
      <c r="K27" s="495">
        <v>157.76</v>
      </c>
      <c r="L27" s="496">
        <v>2.4300000000000002</v>
      </c>
      <c r="M27" s="495">
        <v>164.16</v>
      </c>
      <c r="N27" s="495">
        <v>5.36</v>
      </c>
      <c r="O27" s="495">
        <v>0</v>
      </c>
      <c r="P27" s="495">
        <f t="shared" si="0"/>
        <v>5.36</v>
      </c>
      <c r="Q27" s="497">
        <v>0</v>
      </c>
      <c r="R27" s="497">
        <v>0</v>
      </c>
      <c r="S27" s="497">
        <v>0</v>
      </c>
      <c r="T27" s="495">
        <v>0</v>
      </c>
      <c r="U27" s="495">
        <v>0</v>
      </c>
      <c r="V27" s="499">
        <f t="shared" si="2"/>
        <v>0</v>
      </c>
      <c r="W27" s="498"/>
      <c r="X27" s="499">
        <v>0</v>
      </c>
      <c r="Y27" s="497">
        <v>0</v>
      </c>
      <c r="Z27" s="497">
        <v>0</v>
      </c>
      <c r="AA27" s="497">
        <v>0</v>
      </c>
      <c r="AB27" s="497">
        <f t="shared" si="1"/>
        <v>331.90999999999997</v>
      </c>
      <c r="AC27" s="526"/>
    </row>
    <row r="28" spans="1:29" s="126" customFormat="1">
      <c r="A28" s="249" t="s">
        <v>462</v>
      </c>
      <c r="B28" s="250" t="s">
        <v>480</v>
      </c>
      <c r="C28" s="237">
        <v>84767812453</v>
      </c>
      <c r="D28" s="239" t="s">
        <v>743</v>
      </c>
      <c r="E28" s="238">
        <v>3</v>
      </c>
      <c r="F28" s="244" t="s">
        <v>744</v>
      </c>
      <c r="G28" s="241" t="s">
        <v>684</v>
      </c>
      <c r="H28" s="241" t="s">
        <v>633</v>
      </c>
      <c r="I28" s="534">
        <v>245.27</v>
      </c>
      <c r="J28" s="494" t="s">
        <v>633</v>
      </c>
      <c r="K28" s="495">
        <v>157.76</v>
      </c>
      <c r="L28" s="496">
        <v>37.840000000000003</v>
      </c>
      <c r="M28" s="495">
        <v>164.16</v>
      </c>
      <c r="N28" s="495">
        <v>2.68</v>
      </c>
      <c r="O28" s="495">
        <v>0</v>
      </c>
      <c r="P28" s="495">
        <f t="shared" si="0"/>
        <v>2.68</v>
      </c>
      <c r="Q28" s="497">
        <v>0</v>
      </c>
      <c r="R28" s="497">
        <v>0</v>
      </c>
      <c r="S28" s="497">
        <v>0</v>
      </c>
      <c r="T28" s="495">
        <v>0</v>
      </c>
      <c r="U28" s="495">
        <v>0</v>
      </c>
      <c r="V28" s="499">
        <v>0</v>
      </c>
      <c r="W28" s="498"/>
      <c r="X28" s="499">
        <v>0</v>
      </c>
      <c r="Y28" s="497">
        <v>0</v>
      </c>
      <c r="Z28" s="497">
        <v>0</v>
      </c>
      <c r="AA28" s="497">
        <v>0</v>
      </c>
      <c r="AB28" s="497">
        <f t="shared" si="1"/>
        <v>412.11</v>
      </c>
      <c r="AC28" s="526"/>
    </row>
    <row r="29" spans="1:29" s="126" customFormat="1">
      <c r="A29" s="249" t="s">
        <v>462</v>
      </c>
      <c r="B29" s="250" t="s">
        <v>480</v>
      </c>
      <c r="C29" s="237">
        <v>77118162434</v>
      </c>
      <c r="D29" s="238" t="s">
        <v>745</v>
      </c>
      <c r="E29" s="238">
        <v>2</v>
      </c>
      <c r="F29" s="242" t="s">
        <v>709</v>
      </c>
      <c r="G29" s="241" t="s">
        <v>684</v>
      </c>
      <c r="H29" s="241" t="s">
        <v>633</v>
      </c>
      <c r="I29" s="534">
        <v>171.01</v>
      </c>
      <c r="J29" s="494" t="s">
        <v>633</v>
      </c>
      <c r="K29" s="495">
        <v>157.76</v>
      </c>
      <c r="L29" s="496">
        <v>2.4300000000000002</v>
      </c>
      <c r="M29" s="495">
        <v>164.16</v>
      </c>
      <c r="N29" s="495">
        <v>5.36</v>
      </c>
      <c r="O29" s="495">
        <v>0</v>
      </c>
      <c r="P29" s="495">
        <f t="shared" si="0"/>
        <v>5.36</v>
      </c>
      <c r="Q29" s="497">
        <v>0</v>
      </c>
      <c r="R29" s="497">
        <v>0</v>
      </c>
      <c r="S29" s="497">
        <v>0</v>
      </c>
      <c r="T29" s="495">
        <v>0</v>
      </c>
      <c r="U29" s="495">
        <v>0</v>
      </c>
      <c r="V29" s="499">
        <f t="shared" si="2"/>
        <v>0</v>
      </c>
      <c r="W29" s="498" t="s">
        <v>746</v>
      </c>
      <c r="X29" s="499">
        <v>826.83</v>
      </c>
      <c r="Y29" s="497">
        <v>0</v>
      </c>
      <c r="Z29" s="497">
        <v>0</v>
      </c>
      <c r="AA29" s="497">
        <v>0</v>
      </c>
      <c r="AB29" s="497">
        <f t="shared" si="1"/>
        <v>340.53</v>
      </c>
      <c r="AC29" s="526"/>
    </row>
    <row r="30" spans="1:29" s="126" customFormat="1">
      <c r="A30" s="249" t="s">
        <v>462</v>
      </c>
      <c r="B30" s="250" t="s">
        <v>480</v>
      </c>
      <c r="C30" s="237">
        <v>62012720463</v>
      </c>
      <c r="D30" s="238" t="s">
        <v>747</v>
      </c>
      <c r="E30" s="238">
        <v>3</v>
      </c>
      <c r="F30" s="244" t="s">
        <v>744</v>
      </c>
      <c r="G30" s="241" t="s">
        <v>684</v>
      </c>
      <c r="H30" s="241" t="s">
        <v>633</v>
      </c>
      <c r="I30" s="534">
        <v>173.97</v>
      </c>
      <c r="J30" s="494" t="s">
        <v>633</v>
      </c>
      <c r="K30" s="495">
        <v>157.76</v>
      </c>
      <c r="L30" s="496">
        <v>37.840000000000003</v>
      </c>
      <c r="M30" s="495">
        <v>164.16</v>
      </c>
      <c r="N30" s="495">
        <v>2.68</v>
      </c>
      <c r="O30" s="495">
        <v>0</v>
      </c>
      <c r="P30" s="495">
        <f t="shared" si="0"/>
        <v>2.68</v>
      </c>
      <c r="Q30" s="497">
        <v>0</v>
      </c>
      <c r="R30" s="497">
        <v>0</v>
      </c>
      <c r="S30" s="497">
        <v>0</v>
      </c>
      <c r="T30" s="495">
        <v>0</v>
      </c>
      <c r="U30" s="495">
        <v>0</v>
      </c>
      <c r="V30" s="499">
        <f t="shared" si="2"/>
        <v>0</v>
      </c>
      <c r="W30" s="498"/>
      <c r="X30" s="499">
        <v>0</v>
      </c>
      <c r="Y30" s="497">
        <v>0</v>
      </c>
      <c r="Z30" s="497">
        <v>0</v>
      </c>
      <c r="AA30" s="497">
        <v>0</v>
      </c>
      <c r="AB30" s="497">
        <f t="shared" si="1"/>
        <v>340.81</v>
      </c>
      <c r="AC30" s="526"/>
    </row>
    <row r="31" spans="1:29" s="126" customFormat="1">
      <c r="A31" s="249" t="s">
        <v>462</v>
      </c>
      <c r="B31" s="250" t="s">
        <v>480</v>
      </c>
      <c r="C31" s="237" t="s">
        <v>748</v>
      </c>
      <c r="D31" s="239" t="s">
        <v>749</v>
      </c>
      <c r="E31" s="238">
        <v>3</v>
      </c>
      <c r="F31" s="243" t="s">
        <v>750</v>
      </c>
      <c r="G31" s="241" t="s">
        <v>684</v>
      </c>
      <c r="H31" s="241" t="s">
        <v>633</v>
      </c>
      <c r="I31" s="534">
        <v>136.88999999999999</v>
      </c>
      <c r="J31" s="494" t="s">
        <v>633</v>
      </c>
      <c r="K31" s="495">
        <v>157.76</v>
      </c>
      <c r="L31" s="496">
        <v>25.26</v>
      </c>
      <c r="M31" s="495">
        <v>164.16</v>
      </c>
      <c r="N31" s="495">
        <v>2.68</v>
      </c>
      <c r="O31" s="495">
        <v>0</v>
      </c>
      <c r="P31" s="495">
        <f t="shared" si="0"/>
        <v>2.68</v>
      </c>
      <c r="Q31" s="497">
        <v>0</v>
      </c>
      <c r="R31" s="497">
        <v>0</v>
      </c>
      <c r="S31" s="497">
        <v>0</v>
      </c>
      <c r="T31" s="495">
        <v>0</v>
      </c>
      <c r="U31" s="495">
        <v>0</v>
      </c>
      <c r="V31" s="499">
        <v>0</v>
      </c>
      <c r="W31" s="498"/>
      <c r="X31" s="499">
        <v>0</v>
      </c>
      <c r="Y31" s="497">
        <v>0</v>
      </c>
      <c r="Z31" s="497">
        <v>0</v>
      </c>
      <c r="AA31" s="497">
        <v>0</v>
      </c>
      <c r="AB31" s="497">
        <f t="shared" si="1"/>
        <v>303.73</v>
      </c>
      <c r="AC31" s="526"/>
    </row>
    <row r="32" spans="1:29" s="126" customFormat="1">
      <c r="A32" s="249" t="s">
        <v>462</v>
      </c>
      <c r="B32" s="250" t="s">
        <v>480</v>
      </c>
      <c r="C32" s="237" t="s">
        <v>751</v>
      </c>
      <c r="D32" s="238" t="s">
        <v>752</v>
      </c>
      <c r="E32" s="238">
        <v>2</v>
      </c>
      <c r="F32" s="242" t="s">
        <v>683</v>
      </c>
      <c r="G32" s="241" t="s">
        <v>684</v>
      </c>
      <c r="H32" s="241" t="s">
        <v>633</v>
      </c>
      <c r="I32" s="493">
        <v>100.2</v>
      </c>
      <c r="J32" s="494" t="s">
        <v>633</v>
      </c>
      <c r="K32" s="495">
        <v>157.76</v>
      </c>
      <c r="L32" s="496">
        <v>25.05</v>
      </c>
      <c r="M32" s="495">
        <v>164.16</v>
      </c>
      <c r="N32" s="495">
        <v>2.68</v>
      </c>
      <c r="O32" s="495">
        <v>0</v>
      </c>
      <c r="P32" s="495">
        <f t="shared" si="0"/>
        <v>2.68</v>
      </c>
      <c r="Q32" s="497">
        <v>0</v>
      </c>
      <c r="R32" s="497">
        <v>0</v>
      </c>
      <c r="S32" s="497">
        <v>0</v>
      </c>
      <c r="T32" s="495">
        <v>64</v>
      </c>
      <c r="U32" s="495">
        <v>0</v>
      </c>
      <c r="V32" s="499">
        <v>0</v>
      </c>
      <c r="W32" s="498"/>
      <c r="X32" s="499">
        <v>0</v>
      </c>
      <c r="Y32" s="497">
        <v>0</v>
      </c>
      <c r="Z32" s="497">
        <v>0</v>
      </c>
      <c r="AA32" s="497">
        <v>0</v>
      </c>
      <c r="AB32" s="497">
        <f t="shared" si="1"/>
        <v>267.04000000000002</v>
      </c>
      <c r="AC32" s="526"/>
    </row>
    <row r="33" spans="1:29" s="126" customFormat="1">
      <c r="A33" s="249" t="s">
        <v>462</v>
      </c>
      <c r="B33" s="250" t="s">
        <v>480</v>
      </c>
      <c r="C33" s="528" t="s">
        <v>753</v>
      </c>
      <c r="D33" s="239" t="s">
        <v>754</v>
      </c>
      <c r="E33" s="238">
        <v>3</v>
      </c>
      <c r="F33" s="242" t="s">
        <v>723</v>
      </c>
      <c r="G33" s="241" t="s">
        <v>684</v>
      </c>
      <c r="H33" s="241" t="s">
        <v>633</v>
      </c>
      <c r="I33" s="493">
        <v>134.69999999999999</v>
      </c>
      <c r="J33" s="494" t="s">
        <v>633</v>
      </c>
      <c r="K33" s="495">
        <v>157.76</v>
      </c>
      <c r="L33" s="496">
        <v>22</v>
      </c>
      <c r="M33" s="495">
        <v>164.16</v>
      </c>
      <c r="N33" s="495">
        <v>2.68</v>
      </c>
      <c r="O33" s="495">
        <v>0</v>
      </c>
      <c r="P33" s="495">
        <f t="shared" si="0"/>
        <v>2.68</v>
      </c>
      <c r="Q33" s="497">
        <v>0</v>
      </c>
      <c r="R33" s="497">
        <v>0</v>
      </c>
      <c r="S33" s="497">
        <v>0</v>
      </c>
      <c r="T33" s="495">
        <v>0</v>
      </c>
      <c r="U33" s="495">
        <v>0</v>
      </c>
      <c r="V33" s="499">
        <f t="shared" si="2"/>
        <v>0</v>
      </c>
      <c r="W33" s="498"/>
      <c r="X33" s="499">
        <v>0</v>
      </c>
      <c r="Y33" s="497">
        <v>0</v>
      </c>
      <c r="Z33" s="497">
        <v>0</v>
      </c>
      <c r="AA33" s="497">
        <v>0</v>
      </c>
      <c r="AB33" s="497">
        <f t="shared" si="1"/>
        <v>301.53999999999996</v>
      </c>
      <c r="AC33" s="526"/>
    </row>
    <row r="34" spans="1:29" s="126" customFormat="1">
      <c r="A34" s="249" t="s">
        <v>462</v>
      </c>
      <c r="B34" s="250" t="s">
        <v>480</v>
      </c>
      <c r="C34" s="528" t="s">
        <v>755</v>
      </c>
      <c r="D34" s="238" t="s">
        <v>756</v>
      </c>
      <c r="E34" s="238">
        <v>2</v>
      </c>
      <c r="F34" s="242" t="s">
        <v>683</v>
      </c>
      <c r="G34" s="241" t="s">
        <v>684</v>
      </c>
      <c r="H34" s="241" t="s">
        <v>633</v>
      </c>
      <c r="I34" s="493">
        <v>102.1</v>
      </c>
      <c r="J34" s="494" t="s">
        <v>633</v>
      </c>
      <c r="K34" s="495">
        <v>157.76</v>
      </c>
      <c r="L34" s="496">
        <v>25.05</v>
      </c>
      <c r="M34" s="495">
        <v>164.16</v>
      </c>
      <c r="N34" s="495">
        <v>2.68</v>
      </c>
      <c r="O34" s="495">
        <v>0</v>
      </c>
      <c r="P34" s="495">
        <f t="shared" si="0"/>
        <v>2.68</v>
      </c>
      <c r="Q34" s="497">
        <f>82.5+30</f>
        <v>112.5</v>
      </c>
      <c r="R34" s="497">
        <v>50.1</v>
      </c>
      <c r="S34" s="497">
        <v>0</v>
      </c>
      <c r="T34" s="495">
        <v>0</v>
      </c>
      <c r="U34" s="495">
        <v>0</v>
      </c>
      <c r="V34" s="499">
        <v>208.76</v>
      </c>
      <c r="W34" s="498"/>
      <c r="X34" s="499">
        <v>0</v>
      </c>
      <c r="Y34" s="497">
        <v>0</v>
      </c>
      <c r="Z34" s="497">
        <v>0</v>
      </c>
      <c r="AA34" s="497">
        <v>0</v>
      </c>
      <c r="AB34" s="497">
        <f t="shared" si="1"/>
        <v>477.70000000000005</v>
      </c>
      <c r="AC34" s="526"/>
    </row>
    <row r="35" spans="1:29" s="126" customFormat="1">
      <c r="A35" s="249" t="s">
        <v>462</v>
      </c>
      <c r="B35" s="250" t="s">
        <v>480</v>
      </c>
      <c r="C35" s="528" t="s">
        <v>757</v>
      </c>
      <c r="D35" s="238" t="s">
        <v>758</v>
      </c>
      <c r="E35" s="238">
        <v>2</v>
      </c>
      <c r="F35" s="242" t="s">
        <v>683</v>
      </c>
      <c r="G35" s="241" t="s">
        <v>684</v>
      </c>
      <c r="H35" s="241" t="s">
        <v>633</v>
      </c>
      <c r="I35" s="534">
        <v>237.86</v>
      </c>
      <c r="J35" s="494" t="s">
        <v>633</v>
      </c>
      <c r="K35" s="495">
        <v>157.76</v>
      </c>
      <c r="L35" s="496">
        <v>25.05</v>
      </c>
      <c r="M35" s="495">
        <v>164.16</v>
      </c>
      <c r="N35" s="495">
        <v>2.68</v>
      </c>
      <c r="O35" s="495">
        <v>0</v>
      </c>
      <c r="P35" s="495">
        <f t="shared" si="0"/>
        <v>2.68</v>
      </c>
      <c r="Q35" s="497">
        <f>82.5+30</f>
        <v>112.5</v>
      </c>
      <c r="R35" s="497">
        <v>75.150000000000006</v>
      </c>
      <c r="S35" s="497">
        <v>0</v>
      </c>
      <c r="T35" s="495">
        <v>0</v>
      </c>
      <c r="U35" s="495">
        <v>0</v>
      </c>
      <c r="V35" s="499">
        <f t="shared" si="2"/>
        <v>0</v>
      </c>
      <c r="W35" s="498"/>
      <c r="X35" s="499">
        <v>0</v>
      </c>
      <c r="Y35" s="497">
        <v>0</v>
      </c>
      <c r="Z35" s="497">
        <v>0</v>
      </c>
      <c r="AA35" s="497">
        <v>0</v>
      </c>
      <c r="AB35" s="497">
        <f t="shared" si="1"/>
        <v>404.70000000000005</v>
      </c>
      <c r="AC35" s="526"/>
    </row>
    <row r="36" spans="1:29" s="126" customFormat="1">
      <c r="A36" s="249" t="s">
        <v>462</v>
      </c>
      <c r="B36" s="250" t="s">
        <v>480</v>
      </c>
      <c r="C36" s="528" t="s">
        <v>759</v>
      </c>
      <c r="D36" s="238" t="s">
        <v>760</v>
      </c>
      <c r="E36" s="238">
        <v>3</v>
      </c>
      <c r="F36" s="244" t="s">
        <v>761</v>
      </c>
      <c r="G36" s="241" t="s">
        <v>684</v>
      </c>
      <c r="H36" s="241" t="s">
        <v>633</v>
      </c>
      <c r="I36" s="534">
        <v>108.51</v>
      </c>
      <c r="J36" s="494" t="s">
        <v>633</v>
      </c>
      <c r="K36" s="495">
        <v>157.76</v>
      </c>
      <c r="L36" s="496">
        <v>22</v>
      </c>
      <c r="M36" s="495">
        <v>164.16</v>
      </c>
      <c r="N36" s="495">
        <v>2.68</v>
      </c>
      <c r="O36" s="495">
        <v>0</v>
      </c>
      <c r="P36" s="495">
        <f t="shared" si="0"/>
        <v>2.68</v>
      </c>
      <c r="Q36" s="497">
        <v>0</v>
      </c>
      <c r="R36" s="497">
        <v>0</v>
      </c>
      <c r="S36" s="497">
        <v>0</v>
      </c>
      <c r="T36" s="495">
        <v>0</v>
      </c>
      <c r="U36" s="495">
        <v>0</v>
      </c>
      <c r="V36" s="499">
        <v>0</v>
      </c>
      <c r="W36" s="498" t="s">
        <v>762</v>
      </c>
      <c r="X36" s="499">
        <v>0</v>
      </c>
      <c r="Y36" s="497">
        <v>0</v>
      </c>
      <c r="Z36" s="497">
        <v>0</v>
      </c>
      <c r="AA36" s="497">
        <v>0</v>
      </c>
      <c r="AB36" s="497">
        <f t="shared" si="1"/>
        <v>275.35000000000002</v>
      </c>
      <c r="AC36" s="526"/>
    </row>
    <row r="37" spans="1:29" s="126" customFormat="1">
      <c r="A37" s="249" t="s">
        <v>462</v>
      </c>
      <c r="B37" s="250" t="s">
        <v>480</v>
      </c>
      <c r="C37" s="528" t="s">
        <v>763</v>
      </c>
      <c r="D37" s="238" t="s">
        <v>764</v>
      </c>
      <c r="E37" s="238">
        <v>3</v>
      </c>
      <c r="F37" s="242" t="s">
        <v>761</v>
      </c>
      <c r="G37" s="241" t="s">
        <v>684</v>
      </c>
      <c r="H37" s="241" t="s">
        <v>633</v>
      </c>
      <c r="I37" s="534">
        <v>108.51</v>
      </c>
      <c r="J37" s="494" t="s">
        <v>633</v>
      </c>
      <c r="K37" s="495">
        <v>157.76</v>
      </c>
      <c r="L37" s="496">
        <v>22</v>
      </c>
      <c r="M37" s="495">
        <v>164.16</v>
      </c>
      <c r="N37" s="495">
        <v>2.68</v>
      </c>
      <c r="O37" s="495">
        <v>0</v>
      </c>
      <c r="P37" s="495">
        <f t="shared" si="0"/>
        <v>2.68</v>
      </c>
      <c r="Q37" s="497">
        <f>173.4+51</f>
        <v>224.4</v>
      </c>
      <c r="R37" s="497">
        <v>66</v>
      </c>
      <c r="S37" s="497">
        <v>0</v>
      </c>
      <c r="T37" s="495">
        <v>64</v>
      </c>
      <c r="U37" s="495">
        <v>0</v>
      </c>
      <c r="V37" s="499">
        <v>64</v>
      </c>
      <c r="W37" s="498" t="s">
        <v>762</v>
      </c>
      <c r="X37" s="499">
        <v>0</v>
      </c>
      <c r="Y37" s="497">
        <v>0</v>
      </c>
      <c r="Z37" s="497">
        <v>0</v>
      </c>
      <c r="AA37" s="497">
        <v>0</v>
      </c>
      <c r="AB37" s="497">
        <f t="shared" si="1"/>
        <v>339.35</v>
      </c>
      <c r="AC37" s="526"/>
    </row>
    <row r="38" spans="1:29" s="126" customFormat="1">
      <c r="A38" s="249" t="s">
        <v>462</v>
      </c>
      <c r="B38" s="250" t="s">
        <v>480</v>
      </c>
      <c r="C38" s="528" t="s">
        <v>765</v>
      </c>
      <c r="D38" s="238" t="s">
        <v>766</v>
      </c>
      <c r="E38" s="238">
        <v>3</v>
      </c>
      <c r="F38" s="244" t="s">
        <v>761</v>
      </c>
      <c r="G38" s="241" t="s">
        <v>684</v>
      </c>
      <c r="H38" s="241" t="s">
        <v>633</v>
      </c>
      <c r="I38" s="534">
        <v>126.55</v>
      </c>
      <c r="J38" s="494" t="s">
        <v>633</v>
      </c>
      <c r="K38" s="495">
        <v>157.76</v>
      </c>
      <c r="L38" s="496">
        <v>22</v>
      </c>
      <c r="M38" s="495">
        <v>164.16</v>
      </c>
      <c r="N38" s="495">
        <v>2.68</v>
      </c>
      <c r="O38" s="495">
        <v>0</v>
      </c>
      <c r="P38" s="495">
        <f t="shared" si="0"/>
        <v>2.68</v>
      </c>
      <c r="Q38" s="497">
        <f>122.2+40.8</f>
        <v>163</v>
      </c>
      <c r="R38" s="497">
        <v>66</v>
      </c>
      <c r="S38" s="497">
        <v>0</v>
      </c>
      <c r="T38" s="495">
        <v>0</v>
      </c>
      <c r="U38" s="495">
        <v>0</v>
      </c>
      <c r="V38" s="499">
        <v>0</v>
      </c>
      <c r="W38" s="498" t="s">
        <v>746</v>
      </c>
      <c r="X38" s="499">
        <v>265.16000000000003</v>
      </c>
      <c r="Y38" s="497">
        <v>0</v>
      </c>
      <c r="Z38" s="497">
        <v>0</v>
      </c>
      <c r="AA38" s="497">
        <v>0</v>
      </c>
      <c r="AB38" s="497">
        <f t="shared" si="1"/>
        <v>293.39</v>
      </c>
      <c r="AC38" s="526"/>
    </row>
    <row r="39" spans="1:29" s="126" customFormat="1">
      <c r="A39" s="249" t="s">
        <v>462</v>
      </c>
      <c r="B39" s="250" t="s">
        <v>480</v>
      </c>
      <c r="C39" s="528" t="s">
        <v>767</v>
      </c>
      <c r="D39" s="238" t="s">
        <v>768</v>
      </c>
      <c r="E39" s="238">
        <v>2</v>
      </c>
      <c r="F39" s="242" t="s">
        <v>709</v>
      </c>
      <c r="G39" s="241" t="s">
        <v>684</v>
      </c>
      <c r="H39" s="241" t="s">
        <v>633</v>
      </c>
      <c r="I39" s="493">
        <v>240.9</v>
      </c>
      <c r="J39" s="494" t="s">
        <v>633</v>
      </c>
      <c r="K39" s="495">
        <v>157.76</v>
      </c>
      <c r="L39" s="496">
        <v>2.4300000000000002</v>
      </c>
      <c r="M39" s="495">
        <v>164.16</v>
      </c>
      <c r="N39" s="495">
        <v>5.36</v>
      </c>
      <c r="O39" s="495">
        <v>0</v>
      </c>
      <c r="P39" s="495">
        <f t="shared" si="0"/>
        <v>5.36</v>
      </c>
      <c r="Q39" s="497">
        <v>0</v>
      </c>
      <c r="R39" s="497">
        <v>0</v>
      </c>
      <c r="S39" s="497">
        <v>0</v>
      </c>
      <c r="T39" s="495">
        <v>0</v>
      </c>
      <c r="U39" s="495">
        <v>0</v>
      </c>
      <c r="V39" s="499">
        <v>0</v>
      </c>
      <c r="W39" s="498"/>
      <c r="X39" s="499">
        <v>0</v>
      </c>
      <c r="Y39" s="497">
        <v>0</v>
      </c>
      <c r="Z39" s="497">
        <v>0</v>
      </c>
      <c r="AA39" s="497">
        <v>0</v>
      </c>
      <c r="AB39" s="497">
        <f t="shared" si="1"/>
        <v>410.42</v>
      </c>
      <c r="AC39" s="526"/>
    </row>
    <row r="40" spans="1:29" s="126" customFormat="1">
      <c r="A40" s="249" t="s">
        <v>462</v>
      </c>
      <c r="B40" s="250" t="s">
        <v>480</v>
      </c>
      <c r="C40" s="528">
        <v>86643770491</v>
      </c>
      <c r="D40" s="238" t="s">
        <v>769</v>
      </c>
      <c r="E40" s="238">
        <v>2</v>
      </c>
      <c r="F40" s="242" t="s">
        <v>709</v>
      </c>
      <c r="G40" s="241" t="s">
        <v>684</v>
      </c>
      <c r="H40" s="241" t="s">
        <v>633</v>
      </c>
      <c r="I40" s="534">
        <v>191.12</v>
      </c>
      <c r="J40" s="494" t="s">
        <v>633</v>
      </c>
      <c r="K40" s="495">
        <v>157.76</v>
      </c>
      <c r="L40" s="496">
        <v>2.4300000000000002</v>
      </c>
      <c r="M40" s="495">
        <v>164.16</v>
      </c>
      <c r="N40" s="495">
        <v>5.36</v>
      </c>
      <c r="O40" s="495">
        <v>0</v>
      </c>
      <c r="P40" s="495">
        <f t="shared" si="0"/>
        <v>5.36</v>
      </c>
      <c r="Q40" s="497">
        <v>0</v>
      </c>
      <c r="R40" s="497">
        <v>0</v>
      </c>
      <c r="S40" s="497">
        <v>0</v>
      </c>
      <c r="T40" s="495">
        <v>0</v>
      </c>
      <c r="U40" s="495">
        <v>0</v>
      </c>
      <c r="V40" s="499">
        <v>205.59</v>
      </c>
      <c r="W40" s="498"/>
      <c r="X40" s="499">
        <v>0</v>
      </c>
      <c r="Y40" s="497">
        <v>0</v>
      </c>
      <c r="Z40" s="497">
        <v>0</v>
      </c>
      <c r="AA40" s="497">
        <v>0</v>
      </c>
      <c r="AB40" s="497">
        <f t="shared" si="1"/>
        <v>566.23</v>
      </c>
      <c r="AC40" s="526"/>
    </row>
    <row r="41" spans="1:29" s="126" customFormat="1">
      <c r="A41" s="249" t="s">
        <v>462</v>
      </c>
      <c r="B41" s="250" t="s">
        <v>480</v>
      </c>
      <c r="C41" s="528" t="s">
        <v>770</v>
      </c>
      <c r="D41" s="238" t="s">
        <v>771</v>
      </c>
      <c r="E41" s="238">
        <v>3</v>
      </c>
      <c r="F41" s="243" t="s">
        <v>772</v>
      </c>
      <c r="G41" s="241" t="s">
        <v>684</v>
      </c>
      <c r="H41" s="241" t="s">
        <v>633</v>
      </c>
      <c r="I41" s="534">
        <v>149.83000000000001</v>
      </c>
      <c r="J41" s="494" t="s">
        <v>633</v>
      </c>
      <c r="K41" s="495">
        <v>157.76</v>
      </c>
      <c r="L41" s="496">
        <v>25.23</v>
      </c>
      <c r="M41" s="495">
        <v>164.16</v>
      </c>
      <c r="N41" s="495">
        <v>2.68</v>
      </c>
      <c r="O41" s="495">
        <v>0</v>
      </c>
      <c r="P41" s="495">
        <f t="shared" si="0"/>
        <v>2.68</v>
      </c>
      <c r="Q41" s="497">
        <f>212.4+70.8</f>
        <v>283.2</v>
      </c>
      <c r="R41" s="497">
        <v>75.680000000000007</v>
      </c>
      <c r="S41" s="497">
        <v>0</v>
      </c>
      <c r="T41" s="495">
        <v>0</v>
      </c>
      <c r="U41" s="495">
        <v>0</v>
      </c>
      <c r="V41" s="499">
        <f t="shared" si="2"/>
        <v>0</v>
      </c>
      <c r="W41" s="498"/>
      <c r="X41" s="499">
        <v>0</v>
      </c>
      <c r="Y41" s="497">
        <v>0</v>
      </c>
      <c r="Z41" s="497">
        <v>0</v>
      </c>
      <c r="AA41" s="497">
        <v>0</v>
      </c>
      <c r="AB41" s="497">
        <f t="shared" si="1"/>
        <v>316.67</v>
      </c>
      <c r="AC41" s="526"/>
    </row>
    <row r="42" spans="1:29" s="126" customFormat="1">
      <c r="A42" s="249" t="s">
        <v>462</v>
      </c>
      <c r="B42" s="250" t="s">
        <v>480</v>
      </c>
      <c r="C42" s="528" t="s">
        <v>773</v>
      </c>
      <c r="D42" s="238" t="s">
        <v>774</v>
      </c>
      <c r="E42" s="238">
        <v>3</v>
      </c>
      <c r="F42" s="242" t="s">
        <v>687</v>
      </c>
      <c r="G42" s="241" t="s">
        <v>684</v>
      </c>
      <c r="H42" s="241" t="s">
        <v>633</v>
      </c>
      <c r="I42" s="534">
        <v>133.43</v>
      </c>
      <c r="J42" s="494" t="s">
        <v>633</v>
      </c>
      <c r="K42" s="495">
        <v>157.76</v>
      </c>
      <c r="L42" s="496">
        <v>22</v>
      </c>
      <c r="M42" s="495">
        <v>164.16</v>
      </c>
      <c r="N42" s="495">
        <v>2.68</v>
      </c>
      <c r="O42" s="495">
        <v>0</v>
      </c>
      <c r="P42" s="495">
        <f t="shared" si="0"/>
        <v>2.68</v>
      </c>
      <c r="Q42" s="497">
        <f>122.2+40.8</f>
        <v>163</v>
      </c>
      <c r="R42" s="497">
        <v>6.6</v>
      </c>
      <c r="S42" s="497">
        <v>0</v>
      </c>
      <c r="T42" s="495">
        <v>0</v>
      </c>
      <c r="U42" s="495">
        <v>0</v>
      </c>
      <c r="V42" s="499">
        <f t="shared" si="2"/>
        <v>0</v>
      </c>
      <c r="W42" s="498"/>
      <c r="X42" s="499">
        <v>0</v>
      </c>
      <c r="Y42" s="497">
        <v>0</v>
      </c>
      <c r="Z42" s="497">
        <v>0</v>
      </c>
      <c r="AA42" s="497">
        <v>0</v>
      </c>
      <c r="AB42" s="497">
        <f t="shared" si="1"/>
        <v>300.27</v>
      </c>
      <c r="AC42" s="526"/>
    </row>
    <row r="43" spans="1:29" s="126" customFormat="1">
      <c r="A43" s="249" t="s">
        <v>462</v>
      </c>
      <c r="B43" s="250" t="s">
        <v>480</v>
      </c>
      <c r="C43" s="528" t="s">
        <v>775</v>
      </c>
      <c r="D43" s="239" t="s">
        <v>776</v>
      </c>
      <c r="E43" s="238">
        <v>2</v>
      </c>
      <c r="F43" s="244" t="s">
        <v>740</v>
      </c>
      <c r="G43" s="241" t="s">
        <v>684</v>
      </c>
      <c r="H43" s="241" t="s">
        <v>633</v>
      </c>
      <c r="I43" s="534">
        <v>351.14</v>
      </c>
      <c r="J43" s="494" t="s">
        <v>633</v>
      </c>
      <c r="K43" s="495">
        <v>157.76</v>
      </c>
      <c r="L43" s="496">
        <v>16.05</v>
      </c>
      <c r="M43" s="495">
        <v>164.16</v>
      </c>
      <c r="N43" s="495">
        <v>2.68</v>
      </c>
      <c r="O43" s="495">
        <v>0</v>
      </c>
      <c r="P43" s="495">
        <f t="shared" si="0"/>
        <v>2.68</v>
      </c>
      <c r="Q43" s="497">
        <v>0</v>
      </c>
      <c r="R43" s="497">
        <v>0</v>
      </c>
      <c r="S43" s="497">
        <v>0</v>
      </c>
      <c r="T43" s="495">
        <v>0</v>
      </c>
      <c r="U43" s="495">
        <v>0</v>
      </c>
      <c r="V43" s="499">
        <f t="shared" si="2"/>
        <v>0</v>
      </c>
      <c r="W43" s="498"/>
      <c r="X43" s="499">
        <v>0</v>
      </c>
      <c r="Y43" s="497">
        <v>0</v>
      </c>
      <c r="Z43" s="497">
        <v>0</v>
      </c>
      <c r="AA43" s="497">
        <v>0</v>
      </c>
      <c r="AB43" s="497">
        <f t="shared" si="1"/>
        <v>517.98</v>
      </c>
      <c r="AC43" s="526"/>
    </row>
    <row r="44" spans="1:29" s="126" customFormat="1">
      <c r="A44" s="249" t="s">
        <v>462</v>
      </c>
      <c r="B44" s="250" t="s">
        <v>480</v>
      </c>
      <c r="C44" s="528" t="s">
        <v>777</v>
      </c>
      <c r="D44" s="238" t="s">
        <v>778</v>
      </c>
      <c r="E44" s="238">
        <v>2</v>
      </c>
      <c r="F44" s="242" t="s">
        <v>683</v>
      </c>
      <c r="G44" s="241" t="s">
        <v>684</v>
      </c>
      <c r="H44" s="241" t="s">
        <v>633</v>
      </c>
      <c r="I44" s="493">
        <v>119.3</v>
      </c>
      <c r="J44" s="494" t="s">
        <v>633</v>
      </c>
      <c r="K44" s="495">
        <v>157.76</v>
      </c>
      <c r="L44" s="496">
        <v>25.05</v>
      </c>
      <c r="M44" s="495">
        <v>164.16</v>
      </c>
      <c r="N44" s="495">
        <v>2.68</v>
      </c>
      <c r="O44" s="495">
        <v>0</v>
      </c>
      <c r="P44" s="495">
        <f t="shared" si="0"/>
        <v>2.68</v>
      </c>
      <c r="Q44" s="497">
        <f>165+60</f>
        <v>225</v>
      </c>
      <c r="R44" s="497">
        <v>75.150000000000006</v>
      </c>
      <c r="S44" s="497">
        <v>0</v>
      </c>
      <c r="T44" s="495">
        <f>64</f>
        <v>64</v>
      </c>
      <c r="U44" s="495">
        <v>0</v>
      </c>
      <c r="V44" s="499">
        <v>64</v>
      </c>
      <c r="W44" s="498" t="s">
        <v>779</v>
      </c>
      <c r="X44" s="499">
        <v>0</v>
      </c>
      <c r="Y44" s="497">
        <v>0</v>
      </c>
      <c r="Z44" s="497">
        <v>0</v>
      </c>
      <c r="AA44" s="497">
        <v>0</v>
      </c>
      <c r="AB44" s="497">
        <f t="shared" si="1"/>
        <v>350.14</v>
      </c>
      <c r="AC44" s="526"/>
    </row>
    <row r="45" spans="1:29" s="127" customFormat="1">
      <c r="A45" s="249" t="s">
        <v>462</v>
      </c>
      <c r="B45" s="250" t="s">
        <v>480</v>
      </c>
      <c r="C45" s="528" t="s">
        <v>780</v>
      </c>
      <c r="D45" s="238" t="s">
        <v>781</v>
      </c>
      <c r="E45" s="238">
        <v>3</v>
      </c>
      <c r="F45" s="242" t="s">
        <v>687</v>
      </c>
      <c r="G45" s="241" t="s">
        <v>684</v>
      </c>
      <c r="H45" s="241" t="s">
        <v>633</v>
      </c>
      <c r="I45" s="534">
        <v>108.51</v>
      </c>
      <c r="J45" s="494" t="s">
        <v>633</v>
      </c>
      <c r="K45" s="495">
        <v>157.76</v>
      </c>
      <c r="L45" s="496">
        <v>22</v>
      </c>
      <c r="M45" s="495">
        <v>164.16</v>
      </c>
      <c r="N45" s="495">
        <v>2.68</v>
      </c>
      <c r="O45" s="495">
        <v>0</v>
      </c>
      <c r="P45" s="495">
        <v>2.68</v>
      </c>
      <c r="Q45" s="497">
        <f>255+75</f>
        <v>330</v>
      </c>
      <c r="R45" s="497">
        <v>66</v>
      </c>
      <c r="S45" s="497">
        <v>0</v>
      </c>
      <c r="T45" s="495">
        <v>0</v>
      </c>
      <c r="U45" s="495">
        <v>0</v>
      </c>
      <c r="V45" s="499">
        <f t="shared" si="2"/>
        <v>0</v>
      </c>
      <c r="W45" s="498"/>
      <c r="X45" s="499">
        <v>0</v>
      </c>
      <c r="Y45" s="497">
        <v>0</v>
      </c>
      <c r="Z45" s="497">
        <v>0</v>
      </c>
      <c r="AA45" s="497">
        <v>0</v>
      </c>
      <c r="AB45" s="497">
        <f t="shared" si="1"/>
        <v>275.35000000000002</v>
      </c>
      <c r="AC45" s="529"/>
    </row>
    <row r="46" spans="1:29" s="128" customFormat="1">
      <c r="A46" s="249" t="s">
        <v>462</v>
      </c>
      <c r="B46" s="250" t="s">
        <v>480</v>
      </c>
      <c r="C46" s="528" t="s">
        <v>782</v>
      </c>
      <c r="D46" s="238" t="s">
        <v>783</v>
      </c>
      <c r="E46" s="238">
        <v>2</v>
      </c>
      <c r="F46" s="242" t="s">
        <v>709</v>
      </c>
      <c r="G46" s="241" t="s">
        <v>684</v>
      </c>
      <c r="H46" s="241" t="s">
        <v>633</v>
      </c>
      <c r="I46" s="534">
        <v>189.55</v>
      </c>
      <c r="J46" s="494" t="s">
        <v>633</v>
      </c>
      <c r="K46" s="495">
        <v>157.76</v>
      </c>
      <c r="L46" s="496">
        <v>2.4300000000000002</v>
      </c>
      <c r="M46" s="495">
        <v>164.16</v>
      </c>
      <c r="N46" s="495">
        <v>5.36</v>
      </c>
      <c r="O46" s="495">
        <v>0</v>
      </c>
      <c r="P46" s="495">
        <f t="shared" si="0"/>
        <v>5.36</v>
      </c>
      <c r="Q46" s="497">
        <v>0</v>
      </c>
      <c r="R46" s="497">
        <v>0</v>
      </c>
      <c r="S46" s="497">
        <v>0</v>
      </c>
      <c r="T46" s="495">
        <v>0</v>
      </c>
      <c r="U46" s="495">
        <v>0</v>
      </c>
      <c r="V46" s="499">
        <v>0</v>
      </c>
      <c r="W46" s="498"/>
      <c r="X46" s="499">
        <v>0</v>
      </c>
      <c r="Y46" s="497">
        <v>0</v>
      </c>
      <c r="Z46" s="497">
        <v>0</v>
      </c>
      <c r="AA46" s="497">
        <v>0</v>
      </c>
      <c r="AB46" s="497">
        <f t="shared" si="1"/>
        <v>359.07000000000005</v>
      </c>
      <c r="AC46" s="530"/>
    </row>
    <row r="47" spans="1:29" s="128" customFormat="1">
      <c r="A47" s="249" t="s">
        <v>462</v>
      </c>
      <c r="B47" s="250" t="s">
        <v>480</v>
      </c>
      <c r="C47" s="528" t="s">
        <v>784</v>
      </c>
      <c r="D47" s="238" t="s">
        <v>785</v>
      </c>
      <c r="E47" s="238">
        <v>2</v>
      </c>
      <c r="F47" s="242" t="s">
        <v>697</v>
      </c>
      <c r="G47" s="241" t="s">
        <v>684</v>
      </c>
      <c r="H47" s="241" t="s">
        <v>633</v>
      </c>
      <c r="I47" s="534">
        <v>267.69</v>
      </c>
      <c r="J47" s="494" t="s">
        <v>633</v>
      </c>
      <c r="K47" s="495">
        <v>157.76</v>
      </c>
      <c r="L47" s="496">
        <v>0</v>
      </c>
      <c r="M47" s="495">
        <v>164.16</v>
      </c>
      <c r="N47" s="495">
        <v>4.3600000000000003</v>
      </c>
      <c r="O47" s="495">
        <v>0</v>
      </c>
      <c r="P47" s="495">
        <f t="shared" si="0"/>
        <v>4.3600000000000003</v>
      </c>
      <c r="Q47" s="497">
        <v>0</v>
      </c>
      <c r="R47" s="497">
        <v>0</v>
      </c>
      <c r="S47" s="497">
        <v>0</v>
      </c>
      <c r="T47" s="495">
        <v>0</v>
      </c>
      <c r="U47" s="495">
        <v>0</v>
      </c>
      <c r="V47" s="499">
        <f t="shared" si="2"/>
        <v>0</v>
      </c>
      <c r="W47" s="498"/>
      <c r="X47" s="499">
        <v>0</v>
      </c>
      <c r="Y47" s="497">
        <v>0</v>
      </c>
      <c r="Z47" s="497">
        <v>0</v>
      </c>
      <c r="AA47" s="497">
        <v>0</v>
      </c>
      <c r="AB47" s="497">
        <f t="shared" si="1"/>
        <v>436.21000000000004</v>
      </c>
      <c r="AC47" s="530"/>
    </row>
    <row r="48" spans="1:29" s="128" customFormat="1">
      <c r="A48" s="249" t="s">
        <v>462</v>
      </c>
      <c r="B48" s="250" t="s">
        <v>480</v>
      </c>
      <c r="C48" s="528" t="s">
        <v>786</v>
      </c>
      <c r="D48" s="238" t="s">
        <v>787</v>
      </c>
      <c r="E48" s="238">
        <v>3</v>
      </c>
      <c r="F48" s="242" t="s">
        <v>788</v>
      </c>
      <c r="G48" s="241" t="s">
        <v>684</v>
      </c>
      <c r="H48" s="241" t="s">
        <v>633</v>
      </c>
      <c r="I48" s="493">
        <v>445.3</v>
      </c>
      <c r="J48" s="494" t="s">
        <v>633</v>
      </c>
      <c r="K48" s="495">
        <v>157.76</v>
      </c>
      <c r="L48" s="496">
        <v>0</v>
      </c>
      <c r="M48" s="495">
        <v>164.16</v>
      </c>
      <c r="N48" s="495">
        <v>2.68</v>
      </c>
      <c r="O48" s="495">
        <v>0</v>
      </c>
      <c r="P48" s="495">
        <f t="shared" si="0"/>
        <v>2.68</v>
      </c>
      <c r="Q48" s="497">
        <v>0</v>
      </c>
      <c r="R48" s="497">
        <v>0</v>
      </c>
      <c r="S48" s="497">
        <v>0</v>
      </c>
      <c r="T48" s="495">
        <v>64</v>
      </c>
      <c r="U48" s="495">
        <v>0</v>
      </c>
      <c r="V48" s="499">
        <f t="shared" si="2"/>
        <v>64</v>
      </c>
      <c r="W48" s="498" t="s">
        <v>762</v>
      </c>
      <c r="X48" s="499">
        <v>0</v>
      </c>
      <c r="Y48" s="497">
        <v>0</v>
      </c>
      <c r="Z48" s="497">
        <v>0</v>
      </c>
      <c r="AA48" s="497">
        <v>0</v>
      </c>
      <c r="AB48" s="497">
        <f t="shared" si="1"/>
        <v>676.14</v>
      </c>
      <c r="AC48" s="530"/>
    </row>
    <row r="49" spans="1:29" s="128" customFormat="1">
      <c r="A49" s="249" t="s">
        <v>462</v>
      </c>
      <c r="B49" s="250" t="s">
        <v>480</v>
      </c>
      <c r="C49" s="528" t="s">
        <v>789</v>
      </c>
      <c r="D49" s="238" t="s">
        <v>790</v>
      </c>
      <c r="E49" s="238">
        <v>3</v>
      </c>
      <c r="F49" s="242" t="s">
        <v>689</v>
      </c>
      <c r="G49" s="241" t="s">
        <v>684</v>
      </c>
      <c r="H49" s="241" t="s">
        <v>633</v>
      </c>
      <c r="I49" s="534">
        <v>111.28</v>
      </c>
      <c r="J49" s="494" t="s">
        <v>633</v>
      </c>
      <c r="K49" s="495">
        <v>157.76</v>
      </c>
      <c r="L49" s="496">
        <v>22</v>
      </c>
      <c r="M49" s="495">
        <v>164.16</v>
      </c>
      <c r="N49" s="495">
        <v>2.68</v>
      </c>
      <c r="O49" s="495">
        <v>0</v>
      </c>
      <c r="P49" s="495">
        <f t="shared" si="0"/>
        <v>2.68</v>
      </c>
      <c r="Q49" s="497">
        <v>0</v>
      </c>
      <c r="R49" s="497">
        <v>0</v>
      </c>
      <c r="S49" s="497">
        <v>0</v>
      </c>
      <c r="T49" s="495">
        <v>64</v>
      </c>
      <c r="U49" s="495">
        <v>0</v>
      </c>
      <c r="V49" s="499">
        <f t="shared" si="2"/>
        <v>64</v>
      </c>
      <c r="W49" s="498" t="s">
        <v>762</v>
      </c>
      <c r="X49" s="499">
        <v>0</v>
      </c>
      <c r="Y49" s="497">
        <v>0</v>
      </c>
      <c r="Z49" s="497">
        <v>0</v>
      </c>
      <c r="AA49" s="497">
        <v>0</v>
      </c>
      <c r="AB49" s="497">
        <f t="shared" si="1"/>
        <v>342.12</v>
      </c>
      <c r="AC49" s="530"/>
    </row>
    <row r="50" spans="1:29" s="128" customFormat="1">
      <c r="A50" s="249" t="s">
        <v>462</v>
      </c>
      <c r="B50" s="250" t="s">
        <v>480</v>
      </c>
      <c r="C50" s="528" t="s">
        <v>791</v>
      </c>
      <c r="D50" s="239" t="s">
        <v>792</v>
      </c>
      <c r="E50" s="238">
        <v>3</v>
      </c>
      <c r="F50" s="243" t="s">
        <v>772</v>
      </c>
      <c r="G50" s="241" t="s">
        <v>684</v>
      </c>
      <c r="H50" s="241" t="s">
        <v>633</v>
      </c>
      <c r="I50" s="534">
        <v>145.34</v>
      </c>
      <c r="J50" s="494" t="s">
        <v>633</v>
      </c>
      <c r="K50" s="495">
        <v>157.76</v>
      </c>
      <c r="L50" s="496">
        <v>25.23</v>
      </c>
      <c r="M50" s="495">
        <v>164.16</v>
      </c>
      <c r="N50" s="495">
        <v>2.68</v>
      </c>
      <c r="O50" s="495">
        <v>0</v>
      </c>
      <c r="P50" s="495">
        <f t="shared" si="0"/>
        <v>2.68</v>
      </c>
      <c r="Q50" s="497">
        <f>122.2+40.8</f>
        <v>163</v>
      </c>
      <c r="R50" s="497">
        <v>75.680000000000007</v>
      </c>
      <c r="S50" s="497">
        <v>0</v>
      </c>
      <c r="T50" s="495">
        <v>0</v>
      </c>
      <c r="U50" s="495">
        <v>0</v>
      </c>
      <c r="V50" s="499">
        <v>64</v>
      </c>
      <c r="W50" s="498" t="s">
        <v>721</v>
      </c>
      <c r="X50" s="499">
        <v>217.19</v>
      </c>
      <c r="Y50" s="497">
        <v>0</v>
      </c>
      <c r="Z50" s="497">
        <v>0</v>
      </c>
      <c r="AA50" s="497">
        <v>0</v>
      </c>
      <c r="AB50" s="497">
        <f t="shared" si="1"/>
        <v>376.18</v>
      </c>
      <c r="AC50" s="530"/>
    </row>
    <row r="51" spans="1:29" s="128" customFormat="1">
      <c r="A51" s="249" t="s">
        <v>462</v>
      </c>
      <c r="B51" s="250" t="s">
        <v>480</v>
      </c>
      <c r="C51" s="528">
        <v>39960544400</v>
      </c>
      <c r="D51" s="238" t="s">
        <v>793</v>
      </c>
      <c r="E51" s="238">
        <v>2</v>
      </c>
      <c r="F51" s="242" t="s">
        <v>697</v>
      </c>
      <c r="G51" s="241" t="s">
        <v>684</v>
      </c>
      <c r="H51" s="241" t="s">
        <v>633</v>
      </c>
      <c r="I51" s="534">
        <v>254.25</v>
      </c>
      <c r="J51" s="494" t="s">
        <v>633</v>
      </c>
      <c r="K51" s="495">
        <v>157.76</v>
      </c>
      <c r="L51" s="496">
        <v>0</v>
      </c>
      <c r="M51" s="495">
        <v>164.16</v>
      </c>
      <c r="N51" s="495">
        <v>4.3600000000000003</v>
      </c>
      <c r="O51" s="495">
        <v>0</v>
      </c>
      <c r="P51" s="495">
        <f t="shared" si="0"/>
        <v>4.3600000000000003</v>
      </c>
      <c r="Q51" s="497">
        <v>0</v>
      </c>
      <c r="R51" s="497">
        <v>0</v>
      </c>
      <c r="S51" s="497">
        <v>0</v>
      </c>
      <c r="T51" s="495">
        <v>0</v>
      </c>
      <c r="U51" s="495">
        <v>0</v>
      </c>
      <c r="V51" s="499">
        <f t="shared" si="2"/>
        <v>0</v>
      </c>
      <c r="W51" s="498"/>
      <c r="X51" s="499">
        <v>0</v>
      </c>
      <c r="Y51" s="497">
        <v>0</v>
      </c>
      <c r="Z51" s="497">
        <v>0</v>
      </c>
      <c r="AA51" s="497">
        <v>0</v>
      </c>
      <c r="AB51" s="497">
        <f t="shared" si="1"/>
        <v>422.77</v>
      </c>
      <c r="AC51" s="530"/>
    </row>
    <row r="52" spans="1:29" s="128" customFormat="1">
      <c r="A52" s="249" t="s">
        <v>462</v>
      </c>
      <c r="B52" s="250" t="s">
        <v>480</v>
      </c>
      <c r="C52" s="528" t="s">
        <v>794</v>
      </c>
      <c r="D52" s="238" t="s">
        <v>795</v>
      </c>
      <c r="E52" s="238">
        <v>2</v>
      </c>
      <c r="F52" s="242" t="s">
        <v>683</v>
      </c>
      <c r="G52" s="241" t="s">
        <v>684</v>
      </c>
      <c r="H52" s="241" t="s">
        <v>633</v>
      </c>
      <c r="I52" s="534">
        <v>116.62</v>
      </c>
      <c r="J52" s="494" t="s">
        <v>633</v>
      </c>
      <c r="K52" s="495">
        <v>157.76</v>
      </c>
      <c r="L52" s="496">
        <v>25.05</v>
      </c>
      <c r="M52" s="495">
        <v>164.16</v>
      </c>
      <c r="N52" s="495">
        <v>2.68</v>
      </c>
      <c r="O52" s="495">
        <v>0</v>
      </c>
      <c r="P52" s="495">
        <f t="shared" si="0"/>
        <v>2.68</v>
      </c>
      <c r="Q52" s="497">
        <f>127.5+37.5</f>
        <v>165</v>
      </c>
      <c r="R52" s="497">
        <v>75.150000000000006</v>
      </c>
      <c r="S52" s="497">
        <v>0</v>
      </c>
      <c r="T52" s="495">
        <v>0</v>
      </c>
      <c r="U52" s="495">
        <v>0</v>
      </c>
      <c r="V52" s="499">
        <f t="shared" si="2"/>
        <v>0</v>
      </c>
      <c r="W52" s="498" t="s">
        <v>746</v>
      </c>
      <c r="X52" s="499">
        <v>83.5</v>
      </c>
      <c r="Y52" s="497">
        <v>0</v>
      </c>
      <c r="Z52" s="497">
        <v>0</v>
      </c>
      <c r="AA52" s="497">
        <v>0</v>
      </c>
      <c r="AB52" s="497">
        <f t="shared" si="1"/>
        <v>283.46000000000004</v>
      </c>
      <c r="AC52" s="530"/>
    </row>
    <row r="53" spans="1:29" s="128" customFormat="1">
      <c r="A53" s="249" t="s">
        <v>462</v>
      </c>
      <c r="B53" s="250" t="s">
        <v>480</v>
      </c>
      <c r="C53" s="237" t="s">
        <v>796</v>
      </c>
      <c r="D53" s="238" t="s">
        <v>797</v>
      </c>
      <c r="E53" s="238">
        <v>3</v>
      </c>
      <c r="F53" s="242" t="s">
        <v>719</v>
      </c>
      <c r="G53" s="241" t="s">
        <v>684</v>
      </c>
      <c r="H53" s="241" t="s">
        <v>633</v>
      </c>
      <c r="I53" s="534">
        <v>108.51</v>
      </c>
      <c r="J53" s="494" t="s">
        <v>633</v>
      </c>
      <c r="K53" s="495">
        <v>157.76</v>
      </c>
      <c r="L53" s="496">
        <v>22</v>
      </c>
      <c r="M53" s="495">
        <v>164.16</v>
      </c>
      <c r="N53" s="495">
        <v>2.68</v>
      </c>
      <c r="O53" s="495">
        <v>0</v>
      </c>
      <c r="P53" s="495">
        <v>2.68</v>
      </c>
      <c r="Q53" s="497">
        <f>300.9+88.5</f>
        <v>389.4</v>
      </c>
      <c r="R53" s="497">
        <v>66</v>
      </c>
      <c r="S53" s="497">
        <v>0</v>
      </c>
      <c r="T53" s="495">
        <v>0</v>
      </c>
      <c r="U53" s="495">
        <v>0</v>
      </c>
      <c r="V53" s="499">
        <v>0</v>
      </c>
      <c r="W53" s="498"/>
      <c r="X53" s="499">
        <v>0</v>
      </c>
      <c r="Y53" s="497">
        <v>0</v>
      </c>
      <c r="Z53" s="497">
        <v>0</v>
      </c>
      <c r="AA53" s="497">
        <v>0</v>
      </c>
      <c r="AB53" s="497">
        <f t="shared" si="1"/>
        <v>275.35000000000002</v>
      </c>
      <c r="AC53" s="530"/>
    </row>
    <row r="54" spans="1:29" s="128" customFormat="1">
      <c r="A54" s="249" t="s">
        <v>462</v>
      </c>
      <c r="B54" s="250" t="s">
        <v>480</v>
      </c>
      <c r="C54" s="528" t="s">
        <v>798</v>
      </c>
      <c r="D54" s="238" t="s">
        <v>799</v>
      </c>
      <c r="E54" s="238">
        <v>2</v>
      </c>
      <c r="F54" s="244" t="s">
        <v>740</v>
      </c>
      <c r="G54" s="241" t="s">
        <v>684</v>
      </c>
      <c r="H54" s="241" t="s">
        <v>633</v>
      </c>
      <c r="I54" s="534">
        <v>337.37</v>
      </c>
      <c r="J54" s="494" t="s">
        <v>633</v>
      </c>
      <c r="K54" s="495">
        <v>157.76</v>
      </c>
      <c r="L54" s="496">
        <v>16.05</v>
      </c>
      <c r="M54" s="495">
        <v>164.16</v>
      </c>
      <c r="N54" s="495">
        <v>2.68</v>
      </c>
      <c r="O54" s="495">
        <v>0</v>
      </c>
      <c r="P54" s="495">
        <f t="shared" si="0"/>
        <v>2.68</v>
      </c>
      <c r="Q54" s="497">
        <v>0</v>
      </c>
      <c r="R54" s="497">
        <v>0</v>
      </c>
      <c r="S54" s="497">
        <v>0</v>
      </c>
      <c r="T54" s="495">
        <v>0</v>
      </c>
      <c r="U54" s="495">
        <v>0</v>
      </c>
      <c r="V54" s="499">
        <f t="shared" si="2"/>
        <v>0</v>
      </c>
      <c r="W54" s="498"/>
      <c r="X54" s="499">
        <v>0</v>
      </c>
      <c r="Y54" s="497">
        <v>0</v>
      </c>
      <c r="Z54" s="497">
        <v>0</v>
      </c>
      <c r="AA54" s="497">
        <v>0</v>
      </c>
      <c r="AB54" s="497">
        <f t="shared" si="1"/>
        <v>504.21000000000004</v>
      </c>
      <c r="AC54" s="530"/>
    </row>
    <row r="55" spans="1:29" s="128" customFormat="1">
      <c r="A55" s="249" t="s">
        <v>462</v>
      </c>
      <c r="B55" s="250" t="s">
        <v>480</v>
      </c>
      <c r="C55" s="528" t="s">
        <v>800</v>
      </c>
      <c r="D55" s="238" t="s">
        <v>801</v>
      </c>
      <c r="E55" s="238">
        <v>3</v>
      </c>
      <c r="F55" s="244" t="s">
        <v>802</v>
      </c>
      <c r="G55" s="241" t="s">
        <v>684</v>
      </c>
      <c r="H55" s="241" t="s">
        <v>633</v>
      </c>
      <c r="I55" s="534">
        <v>145.91</v>
      </c>
      <c r="J55" s="494" t="s">
        <v>633</v>
      </c>
      <c r="K55" s="495">
        <v>157.76</v>
      </c>
      <c r="L55" s="496">
        <v>31.05</v>
      </c>
      <c r="M55" s="495">
        <v>164.16</v>
      </c>
      <c r="N55" s="495">
        <v>2.68</v>
      </c>
      <c r="O55" s="495">
        <v>0</v>
      </c>
      <c r="P55" s="495">
        <f t="shared" si="0"/>
        <v>2.68</v>
      </c>
      <c r="Q55" s="497">
        <v>0</v>
      </c>
      <c r="R55" s="497">
        <v>0</v>
      </c>
      <c r="S55" s="497">
        <v>0</v>
      </c>
      <c r="T55" s="495">
        <v>64</v>
      </c>
      <c r="U55" s="495">
        <v>0</v>
      </c>
      <c r="V55" s="499">
        <v>64</v>
      </c>
      <c r="W55" s="498" t="s">
        <v>762</v>
      </c>
      <c r="X55" s="499">
        <v>0</v>
      </c>
      <c r="Y55" s="497">
        <v>0</v>
      </c>
      <c r="Z55" s="497">
        <v>0</v>
      </c>
      <c r="AA55" s="497">
        <v>0</v>
      </c>
      <c r="AB55" s="497">
        <f t="shared" si="1"/>
        <v>376.75</v>
      </c>
      <c r="AC55" s="530"/>
    </row>
    <row r="56" spans="1:29" s="128" customFormat="1">
      <c r="A56" s="249" t="s">
        <v>462</v>
      </c>
      <c r="B56" s="250" t="s">
        <v>480</v>
      </c>
      <c r="C56" s="528" t="s">
        <v>803</v>
      </c>
      <c r="D56" s="238" t="s">
        <v>804</v>
      </c>
      <c r="E56" s="238">
        <v>3</v>
      </c>
      <c r="F56" s="244" t="s">
        <v>744</v>
      </c>
      <c r="G56" s="241" t="s">
        <v>684</v>
      </c>
      <c r="H56" s="241" t="s">
        <v>633</v>
      </c>
      <c r="I56" s="534">
        <v>173.97</v>
      </c>
      <c r="J56" s="494" t="s">
        <v>633</v>
      </c>
      <c r="K56" s="495">
        <v>157.76</v>
      </c>
      <c r="L56" s="496">
        <v>37.840000000000003</v>
      </c>
      <c r="M56" s="495">
        <v>164.16</v>
      </c>
      <c r="N56" s="495">
        <v>2.68</v>
      </c>
      <c r="O56" s="495">
        <v>0</v>
      </c>
      <c r="P56" s="495">
        <f t="shared" si="0"/>
        <v>2.68</v>
      </c>
      <c r="Q56" s="497">
        <v>0</v>
      </c>
      <c r="R56" s="497">
        <v>0</v>
      </c>
      <c r="S56" s="497">
        <v>0</v>
      </c>
      <c r="T56" s="495">
        <v>0</v>
      </c>
      <c r="U56" s="495">
        <v>0</v>
      </c>
      <c r="V56" s="499">
        <f t="shared" si="2"/>
        <v>0</v>
      </c>
      <c r="W56" s="498"/>
      <c r="X56" s="499">
        <v>0</v>
      </c>
      <c r="Y56" s="497">
        <v>0</v>
      </c>
      <c r="Z56" s="497">
        <v>0</v>
      </c>
      <c r="AA56" s="497">
        <v>0</v>
      </c>
      <c r="AB56" s="497">
        <f t="shared" si="1"/>
        <v>340.81</v>
      </c>
      <c r="AC56" s="530"/>
    </row>
    <row r="57" spans="1:29" s="128" customFormat="1">
      <c r="A57" s="249" t="s">
        <v>462</v>
      </c>
      <c r="B57" s="250" t="s">
        <v>480</v>
      </c>
      <c r="C57" s="528" t="s">
        <v>805</v>
      </c>
      <c r="D57" s="238" t="s">
        <v>806</v>
      </c>
      <c r="E57" s="238">
        <v>2</v>
      </c>
      <c r="F57" s="242" t="s">
        <v>683</v>
      </c>
      <c r="G57" s="241" t="s">
        <v>684</v>
      </c>
      <c r="H57" s="241" t="s">
        <v>633</v>
      </c>
      <c r="I57" s="493">
        <v>117.8</v>
      </c>
      <c r="J57" s="494" t="s">
        <v>633</v>
      </c>
      <c r="K57" s="495">
        <v>157.76</v>
      </c>
      <c r="L57" s="496">
        <v>25.05</v>
      </c>
      <c r="M57" s="495">
        <v>164.16</v>
      </c>
      <c r="N57" s="495">
        <v>2.68</v>
      </c>
      <c r="O57" s="495">
        <v>0</v>
      </c>
      <c r="P57" s="495">
        <f t="shared" si="0"/>
        <v>2.68</v>
      </c>
      <c r="Q57" s="497">
        <f>122.4+40.8</f>
        <v>163.19999999999999</v>
      </c>
      <c r="R57" s="497">
        <v>67.64</v>
      </c>
      <c r="S57" s="497">
        <v>0</v>
      </c>
      <c r="T57" s="495">
        <v>0</v>
      </c>
      <c r="U57" s="495">
        <v>0</v>
      </c>
      <c r="V57" s="499">
        <v>0</v>
      </c>
      <c r="W57" s="498"/>
      <c r="X57" s="499">
        <v>0</v>
      </c>
      <c r="Y57" s="497">
        <v>0</v>
      </c>
      <c r="Z57" s="497">
        <v>0</v>
      </c>
      <c r="AA57" s="497">
        <v>0</v>
      </c>
      <c r="AB57" s="497">
        <f t="shared" si="1"/>
        <v>284.64</v>
      </c>
      <c r="AC57" s="530"/>
    </row>
    <row r="58" spans="1:29" s="127" customFormat="1">
      <c r="A58" s="249" t="s">
        <v>462</v>
      </c>
      <c r="B58" s="250" t="s">
        <v>480</v>
      </c>
      <c r="C58" s="528">
        <v>11293575461</v>
      </c>
      <c r="D58" s="238" t="s">
        <v>807</v>
      </c>
      <c r="E58" s="238">
        <v>3</v>
      </c>
      <c r="F58" s="242" t="s">
        <v>723</v>
      </c>
      <c r="G58" s="241" t="s">
        <v>684</v>
      </c>
      <c r="H58" s="241" t="s">
        <v>633</v>
      </c>
      <c r="I58" s="534">
        <v>109.89</v>
      </c>
      <c r="J58" s="494" t="s">
        <v>633</v>
      </c>
      <c r="K58" s="495">
        <v>157.76</v>
      </c>
      <c r="L58" s="496">
        <v>22</v>
      </c>
      <c r="M58" s="495">
        <v>164.16</v>
      </c>
      <c r="N58" s="495">
        <v>2.68</v>
      </c>
      <c r="O58" s="495">
        <v>0</v>
      </c>
      <c r="P58" s="495">
        <f t="shared" si="0"/>
        <v>2.68</v>
      </c>
      <c r="Q58" s="497">
        <v>0</v>
      </c>
      <c r="R58" s="497">
        <v>0</v>
      </c>
      <c r="S58" s="497">
        <v>0</v>
      </c>
      <c r="T58" s="495">
        <v>64</v>
      </c>
      <c r="U58" s="495">
        <v>0</v>
      </c>
      <c r="V58" s="499">
        <f t="shared" si="2"/>
        <v>64</v>
      </c>
      <c r="W58" s="498" t="s">
        <v>762</v>
      </c>
      <c r="X58" s="499">
        <v>0</v>
      </c>
      <c r="Y58" s="497">
        <v>0</v>
      </c>
      <c r="Z58" s="497">
        <v>0</v>
      </c>
      <c r="AA58" s="497">
        <v>0</v>
      </c>
      <c r="AB58" s="497">
        <f t="shared" si="1"/>
        <v>340.73</v>
      </c>
      <c r="AC58" s="529"/>
    </row>
    <row r="59" spans="1:29" s="128" customFormat="1">
      <c r="A59" s="249" t="s">
        <v>462</v>
      </c>
      <c r="B59" s="250" t="s">
        <v>480</v>
      </c>
      <c r="C59" s="528">
        <v>28651282885</v>
      </c>
      <c r="D59" s="238" t="s">
        <v>808</v>
      </c>
      <c r="E59" s="238">
        <v>3</v>
      </c>
      <c r="F59" s="244" t="s">
        <v>723</v>
      </c>
      <c r="G59" s="241" t="s">
        <v>684</v>
      </c>
      <c r="H59" s="241" t="s">
        <v>633</v>
      </c>
      <c r="I59" s="534">
        <v>122.64</v>
      </c>
      <c r="J59" s="494" t="s">
        <v>633</v>
      </c>
      <c r="K59" s="495">
        <v>157.76</v>
      </c>
      <c r="L59" s="496">
        <v>22</v>
      </c>
      <c r="M59" s="495">
        <v>164.16</v>
      </c>
      <c r="N59" s="495">
        <v>2.68</v>
      </c>
      <c r="O59" s="495">
        <v>0</v>
      </c>
      <c r="P59" s="495">
        <f t="shared" si="0"/>
        <v>2.68</v>
      </c>
      <c r="Q59" s="497">
        <f>122.4+40.8</f>
        <v>163.19999999999999</v>
      </c>
      <c r="R59" s="497">
        <v>66</v>
      </c>
      <c r="S59" s="497">
        <v>0</v>
      </c>
      <c r="T59" s="495">
        <v>0</v>
      </c>
      <c r="U59" s="495">
        <v>0</v>
      </c>
      <c r="V59" s="499">
        <f t="shared" si="2"/>
        <v>0</v>
      </c>
      <c r="W59" s="498"/>
      <c r="X59" s="499">
        <v>0</v>
      </c>
      <c r="Y59" s="497">
        <v>0</v>
      </c>
      <c r="Z59" s="497">
        <v>0</v>
      </c>
      <c r="AA59" s="497">
        <v>0</v>
      </c>
      <c r="AB59" s="497">
        <f t="shared" si="1"/>
        <v>289.48</v>
      </c>
      <c r="AC59" s="530"/>
    </row>
    <row r="60" spans="1:29" s="125" customFormat="1">
      <c r="A60" s="249" t="s">
        <v>462</v>
      </c>
      <c r="B60" s="250" t="s">
        <v>480</v>
      </c>
      <c r="C60" s="528">
        <v>92120482420</v>
      </c>
      <c r="D60" s="238" t="s">
        <v>809</v>
      </c>
      <c r="E60" s="238">
        <v>2</v>
      </c>
      <c r="F60" s="242" t="s">
        <v>683</v>
      </c>
      <c r="G60" s="241" t="s">
        <v>684</v>
      </c>
      <c r="H60" s="241" t="s">
        <v>633</v>
      </c>
      <c r="I60" s="493">
        <v>0</v>
      </c>
      <c r="J60" s="494" t="s">
        <v>633</v>
      </c>
      <c r="K60" s="495">
        <v>157.76</v>
      </c>
      <c r="L60" s="496">
        <v>0</v>
      </c>
      <c r="M60" s="495">
        <v>164.16</v>
      </c>
      <c r="N60" s="495">
        <v>2.68</v>
      </c>
      <c r="O60" s="495">
        <v>0</v>
      </c>
      <c r="P60" s="495">
        <f t="shared" si="0"/>
        <v>2.68</v>
      </c>
      <c r="Q60" s="497">
        <v>0</v>
      </c>
      <c r="R60" s="497">
        <v>0</v>
      </c>
      <c r="S60" s="497">
        <v>0</v>
      </c>
      <c r="T60" s="495">
        <v>0</v>
      </c>
      <c r="U60" s="495">
        <v>0</v>
      </c>
      <c r="V60" s="499">
        <f t="shared" si="2"/>
        <v>0</v>
      </c>
      <c r="W60" s="498"/>
      <c r="X60" s="499">
        <v>0</v>
      </c>
      <c r="Y60" s="497">
        <v>0</v>
      </c>
      <c r="Z60" s="497">
        <v>0</v>
      </c>
      <c r="AA60" s="497">
        <v>0</v>
      </c>
      <c r="AB60" s="497">
        <f t="shared" si="1"/>
        <v>166.84</v>
      </c>
      <c r="AC60" s="525"/>
    </row>
    <row r="61" spans="1:29" s="125" customFormat="1">
      <c r="A61" s="249" t="s">
        <v>462</v>
      </c>
      <c r="B61" s="250" t="s">
        <v>480</v>
      </c>
      <c r="C61" s="528" t="s">
        <v>810</v>
      </c>
      <c r="D61" s="238" t="s">
        <v>811</v>
      </c>
      <c r="E61" s="238">
        <v>2</v>
      </c>
      <c r="F61" s="242" t="s">
        <v>683</v>
      </c>
      <c r="G61" s="241" t="s">
        <v>684</v>
      </c>
      <c r="H61" s="241" t="s">
        <v>633</v>
      </c>
      <c r="I61" s="534">
        <v>111.91</v>
      </c>
      <c r="J61" s="494" t="s">
        <v>633</v>
      </c>
      <c r="K61" s="495">
        <v>157.76</v>
      </c>
      <c r="L61" s="496">
        <v>25.05</v>
      </c>
      <c r="M61" s="495">
        <v>164.16</v>
      </c>
      <c r="N61" s="495">
        <v>2.68</v>
      </c>
      <c r="O61" s="495">
        <v>0</v>
      </c>
      <c r="P61" s="495">
        <f t="shared" si="0"/>
        <v>2.68</v>
      </c>
      <c r="Q61" s="497">
        <f>90+30</f>
        <v>120</v>
      </c>
      <c r="R61" s="497">
        <v>75.150000000000006</v>
      </c>
      <c r="S61" s="497">
        <v>0</v>
      </c>
      <c r="T61" s="495">
        <v>0</v>
      </c>
      <c r="U61" s="495">
        <v>0</v>
      </c>
      <c r="V61" s="499">
        <f t="shared" si="2"/>
        <v>0</v>
      </c>
      <c r="W61" s="498"/>
      <c r="X61" s="499">
        <v>0</v>
      </c>
      <c r="Y61" s="497">
        <v>0</v>
      </c>
      <c r="Z61" s="497">
        <v>0</v>
      </c>
      <c r="AA61" s="497">
        <v>0</v>
      </c>
      <c r="AB61" s="497">
        <f t="shared" si="1"/>
        <v>278.75</v>
      </c>
      <c r="AC61" s="525"/>
    </row>
    <row r="62" spans="1:29" s="125" customFormat="1">
      <c r="A62" s="249" t="s">
        <v>462</v>
      </c>
      <c r="B62" s="250" t="s">
        <v>480</v>
      </c>
      <c r="C62" s="528" t="s">
        <v>812</v>
      </c>
      <c r="D62" s="238" t="s">
        <v>813</v>
      </c>
      <c r="E62" s="238">
        <v>2</v>
      </c>
      <c r="F62" s="244" t="s">
        <v>714</v>
      </c>
      <c r="G62" s="241" t="s">
        <v>684</v>
      </c>
      <c r="H62" s="241" t="s">
        <v>633</v>
      </c>
      <c r="I62" s="493">
        <v>144.4</v>
      </c>
      <c r="J62" s="494" t="s">
        <v>633</v>
      </c>
      <c r="K62" s="495">
        <v>157.76</v>
      </c>
      <c r="L62" s="496">
        <v>24.18</v>
      </c>
      <c r="M62" s="495">
        <v>164.16</v>
      </c>
      <c r="N62" s="495">
        <v>2.68</v>
      </c>
      <c r="O62" s="495">
        <v>0</v>
      </c>
      <c r="P62" s="495">
        <f t="shared" si="0"/>
        <v>2.68</v>
      </c>
      <c r="Q62" s="497">
        <v>0</v>
      </c>
      <c r="R62" s="497">
        <v>0</v>
      </c>
      <c r="S62" s="497">
        <v>0</v>
      </c>
      <c r="T62" s="495">
        <v>0</v>
      </c>
      <c r="U62" s="495">
        <v>0</v>
      </c>
      <c r="V62" s="499">
        <f t="shared" si="2"/>
        <v>0</v>
      </c>
      <c r="W62" s="498"/>
      <c r="X62" s="499">
        <v>0</v>
      </c>
      <c r="Y62" s="497">
        <v>0</v>
      </c>
      <c r="Z62" s="497">
        <v>0</v>
      </c>
      <c r="AA62" s="497">
        <v>0</v>
      </c>
      <c r="AB62" s="497">
        <f t="shared" si="1"/>
        <v>311.24</v>
      </c>
      <c r="AC62" s="525"/>
    </row>
    <row r="63" spans="1:29" s="125" customFormat="1">
      <c r="A63" s="249" t="s">
        <v>462</v>
      </c>
      <c r="B63" s="250" t="s">
        <v>480</v>
      </c>
      <c r="C63" s="528" t="s">
        <v>814</v>
      </c>
      <c r="D63" s="238" t="s">
        <v>815</v>
      </c>
      <c r="E63" s="238">
        <v>2</v>
      </c>
      <c r="F63" s="242" t="s">
        <v>709</v>
      </c>
      <c r="G63" s="241" t="s">
        <v>684</v>
      </c>
      <c r="H63" s="241" t="s">
        <v>633</v>
      </c>
      <c r="I63" s="534">
        <v>228.06</v>
      </c>
      <c r="J63" s="494" t="s">
        <v>633</v>
      </c>
      <c r="K63" s="495">
        <v>157.76</v>
      </c>
      <c r="L63" s="496">
        <v>2.4300000000000002</v>
      </c>
      <c r="M63" s="495">
        <v>164.16</v>
      </c>
      <c r="N63" s="495">
        <v>5.36</v>
      </c>
      <c r="O63" s="495">
        <v>0</v>
      </c>
      <c r="P63" s="495">
        <f t="shared" si="0"/>
        <v>5.36</v>
      </c>
      <c r="Q63" s="497">
        <v>0</v>
      </c>
      <c r="R63" s="497">
        <v>0</v>
      </c>
      <c r="S63" s="497">
        <v>0</v>
      </c>
      <c r="T63" s="495">
        <v>0</v>
      </c>
      <c r="U63" s="495">
        <v>0</v>
      </c>
      <c r="V63" s="499">
        <f t="shared" si="2"/>
        <v>0</v>
      </c>
      <c r="W63" s="498"/>
      <c r="X63" s="499">
        <v>0</v>
      </c>
      <c r="Y63" s="497">
        <v>0</v>
      </c>
      <c r="Z63" s="497">
        <v>0</v>
      </c>
      <c r="AA63" s="497">
        <v>0</v>
      </c>
      <c r="AB63" s="497">
        <f t="shared" si="1"/>
        <v>397.58000000000004</v>
      </c>
      <c r="AC63" s="525"/>
    </row>
    <row r="64" spans="1:29" s="128" customFormat="1">
      <c r="A64" s="249" t="s">
        <v>462</v>
      </c>
      <c r="B64" s="250" t="s">
        <v>480</v>
      </c>
      <c r="C64" s="528" t="s">
        <v>816</v>
      </c>
      <c r="D64" s="238" t="s">
        <v>817</v>
      </c>
      <c r="E64" s="238">
        <v>3</v>
      </c>
      <c r="F64" s="242" t="s">
        <v>719</v>
      </c>
      <c r="G64" s="241" t="s">
        <v>684</v>
      </c>
      <c r="H64" s="241" t="s">
        <v>633</v>
      </c>
      <c r="I64" s="534">
        <v>109.89</v>
      </c>
      <c r="J64" s="494" t="s">
        <v>633</v>
      </c>
      <c r="K64" s="495">
        <v>157.76</v>
      </c>
      <c r="L64" s="496">
        <v>22</v>
      </c>
      <c r="M64" s="495">
        <v>164.16</v>
      </c>
      <c r="N64" s="495">
        <v>5.36</v>
      </c>
      <c r="O64" s="495">
        <v>0</v>
      </c>
      <c r="P64" s="495">
        <f t="shared" si="0"/>
        <v>5.36</v>
      </c>
      <c r="Q64" s="497">
        <f>R62</f>
        <v>0</v>
      </c>
      <c r="R64" s="497">
        <v>66</v>
      </c>
      <c r="S64" s="497">
        <v>0</v>
      </c>
      <c r="T64" s="495">
        <v>0</v>
      </c>
      <c r="U64" s="495">
        <v>0</v>
      </c>
      <c r="V64" s="499">
        <f>T64-U64</f>
        <v>0</v>
      </c>
      <c r="W64" s="498"/>
      <c r="X64" s="499">
        <v>0</v>
      </c>
      <c r="Y64" s="497">
        <v>0</v>
      </c>
      <c r="Z64" s="497">
        <v>0</v>
      </c>
      <c r="AA64" s="497">
        <v>0</v>
      </c>
      <c r="AB64" s="497">
        <f t="shared" si="1"/>
        <v>279.41000000000003</v>
      </c>
      <c r="AC64" s="530"/>
    </row>
    <row r="65" spans="1:29" s="128" customFormat="1" ht="14.25" customHeight="1">
      <c r="A65" s="249" t="s">
        <v>462</v>
      </c>
      <c r="B65" s="250" t="s">
        <v>480</v>
      </c>
      <c r="C65" s="528">
        <v>10505042401</v>
      </c>
      <c r="D65" s="238" t="s">
        <v>818</v>
      </c>
      <c r="E65" s="238">
        <v>2</v>
      </c>
      <c r="F65" s="242" t="s">
        <v>683</v>
      </c>
      <c r="G65" s="241" t="s">
        <v>684</v>
      </c>
      <c r="H65" s="241" t="s">
        <v>633</v>
      </c>
      <c r="I65" s="534">
        <v>136.49</v>
      </c>
      <c r="J65" s="494" t="s">
        <v>633</v>
      </c>
      <c r="K65" s="495">
        <v>157.76</v>
      </c>
      <c r="L65" s="496">
        <v>25.05</v>
      </c>
      <c r="M65" s="495">
        <v>164.16</v>
      </c>
      <c r="N65" s="495">
        <v>2.68</v>
      </c>
      <c r="O65" s="495">
        <v>0</v>
      </c>
      <c r="P65" s="495">
        <f t="shared" si="0"/>
        <v>2.68</v>
      </c>
      <c r="Q65" s="497">
        <f>194.7+70.8</f>
        <v>265.5</v>
      </c>
      <c r="R65" s="497">
        <v>75.150000000000006</v>
      </c>
      <c r="S65" s="497">
        <v>0</v>
      </c>
      <c r="T65" s="495">
        <v>0</v>
      </c>
      <c r="U65" s="495">
        <v>0</v>
      </c>
      <c r="V65" s="499">
        <v>0</v>
      </c>
      <c r="W65" s="498" t="s">
        <v>746</v>
      </c>
      <c r="X65" s="499">
        <v>167</v>
      </c>
      <c r="Y65" s="497">
        <v>0</v>
      </c>
      <c r="Z65" s="497">
        <v>0</v>
      </c>
      <c r="AA65" s="497">
        <v>0</v>
      </c>
      <c r="AB65" s="497">
        <f t="shared" si="1"/>
        <v>303.33000000000004</v>
      </c>
      <c r="AC65" s="530"/>
    </row>
    <row r="66" spans="1:29" s="128" customFormat="1">
      <c r="A66" s="249" t="s">
        <v>462</v>
      </c>
      <c r="B66" s="250" t="s">
        <v>480</v>
      </c>
      <c r="C66" s="528" t="s">
        <v>819</v>
      </c>
      <c r="D66" s="239" t="s">
        <v>820</v>
      </c>
      <c r="E66" s="238">
        <v>2</v>
      </c>
      <c r="F66" s="242" t="s">
        <v>683</v>
      </c>
      <c r="G66" s="241" t="s">
        <v>684</v>
      </c>
      <c r="H66" s="241" t="s">
        <v>633</v>
      </c>
      <c r="I66" s="534">
        <v>143.35</v>
      </c>
      <c r="J66" s="494" t="s">
        <v>633</v>
      </c>
      <c r="K66" s="495">
        <v>157.76</v>
      </c>
      <c r="L66" s="496">
        <v>25.05</v>
      </c>
      <c r="M66" s="495">
        <v>164.16</v>
      </c>
      <c r="N66" s="495">
        <v>2.68</v>
      </c>
      <c r="O66" s="495">
        <v>0</v>
      </c>
      <c r="P66" s="495">
        <f t="shared" si="0"/>
        <v>2.68</v>
      </c>
      <c r="Q66" s="497">
        <f>122.4+40.8</f>
        <v>163.19999999999999</v>
      </c>
      <c r="R66" s="497">
        <v>75.150000000000006</v>
      </c>
      <c r="S66" s="497">
        <v>0</v>
      </c>
      <c r="T66" s="495">
        <v>0</v>
      </c>
      <c r="U66" s="495">
        <v>0</v>
      </c>
      <c r="V66" s="499">
        <f t="shared" ref="V66:V129" si="3">T66-U66</f>
        <v>0</v>
      </c>
      <c r="W66" s="498"/>
      <c r="X66" s="499">
        <v>0</v>
      </c>
      <c r="Y66" s="497">
        <v>0</v>
      </c>
      <c r="Z66" s="497">
        <v>0</v>
      </c>
      <c r="AA66" s="497">
        <v>0</v>
      </c>
      <c r="AB66" s="497">
        <f t="shared" si="1"/>
        <v>310.19</v>
      </c>
      <c r="AC66" s="530"/>
    </row>
    <row r="67" spans="1:29" s="128" customFormat="1">
      <c r="A67" s="249" t="s">
        <v>462</v>
      </c>
      <c r="B67" s="250" t="s">
        <v>480</v>
      </c>
      <c r="C67" s="528">
        <v>77307950430</v>
      </c>
      <c r="D67" s="238" t="s">
        <v>821</v>
      </c>
      <c r="E67" s="238">
        <v>3</v>
      </c>
      <c r="F67" s="242" t="s">
        <v>719</v>
      </c>
      <c r="G67" s="241" t="s">
        <v>684</v>
      </c>
      <c r="H67" s="241" t="s">
        <v>633</v>
      </c>
      <c r="I67" s="534">
        <v>108.51</v>
      </c>
      <c r="J67" s="494" t="s">
        <v>633</v>
      </c>
      <c r="K67" s="495">
        <v>157.76</v>
      </c>
      <c r="L67" s="496">
        <v>22</v>
      </c>
      <c r="M67" s="495">
        <v>164.16</v>
      </c>
      <c r="N67" s="495">
        <v>2.68</v>
      </c>
      <c r="O67" s="495">
        <v>0</v>
      </c>
      <c r="P67" s="495">
        <f t="shared" ref="P67:P117" si="4">N67-O67</f>
        <v>2.68</v>
      </c>
      <c r="Q67" s="497">
        <f>180+60</f>
        <v>240</v>
      </c>
      <c r="R67" s="497">
        <v>66</v>
      </c>
      <c r="S67" s="497">
        <v>0</v>
      </c>
      <c r="T67" s="495">
        <v>0</v>
      </c>
      <c r="U67" s="495">
        <v>0</v>
      </c>
      <c r="V67" s="499">
        <v>0</v>
      </c>
      <c r="W67" s="498"/>
      <c r="X67" s="499">
        <v>0</v>
      </c>
      <c r="Y67" s="497">
        <v>0</v>
      </c>
      <c r="Z67" s="497">
        <v>0</v>
      </c>
      <c r="AA67" s="497">
        <v>0</v>
      </c>
      <c r="AB67" s="497">
        <f t="shared" si="1"/>
        <v>275.35000000000002</v>
      </c>
      <c r="AC67" s="530"/>
    </row>
    <row r="68" spans="1:29" s="128" customFormat="1">
      <c r="A68" s="249" t="s">
        <v>462</v>
      </c>
      <c r="B68" s="250" t="s">
        <v>480</v>
      </c>
      <c r="C68" s="528" t="s">
        <v>822</v>
      </c>
      <c r="D68" s="238" t="s">
        <v>823</v>
      </c>
      <c r="E68" s="238">
        <v>2</v>
      </c>
      <c r="F68" s="244" t="s">
        <v>740</v>
      </c>
      <c r="G68" s="241" t="s">
        <v>684</v>
      </c>
      <c r="H68" s="241" t="s">
        <v>633</v>
      </c>
      <c r="I68" s="534">
        <v>274.37</v>
      </c>
      <c r="J68" s="494" t="s">
        <v>633</v>
      </c>
      <c r="K68" s="495">
        <v>157.76</v>
      </c>
      <c r="L68" s="496">
        <v>16.05</v>
      </c>
      <c r="M68" s="495">
        <v>164.16</v>
      </c>
      <c r="N68" s="495">
        <v>2.68</v>
      </c>
      <c r="O68" s="495">
        <v>0</v>
      </c>
      <c r="P68" s="495">
        <f t="shared" si="4"/>
        <v>2.68</v>
      </c>
      <c r="Q68" s="497">
        <v>0</v>
      </c>
      <c r="R68" s="497">
        <v>0</v>
      </c>
      <c r="S68" s="497">
        <v>0</v>
      </c>
      <c r="T68" s="495">
        <v>0</v>
      </c>
      <c r="U68" s="495">
        <v>0</v>
      </c>
      <c r="V68" s="499">
        <f t="shared" si="3"/>
        <v>0</v>
      </c>
      <c r="W68" s="498"/>
      <c r="X68" s="499">
        <v>0</v>
      </c>
      <c r="Y68" s="497">
        <v>0</v>
      </c>
      <c r="Z68" s="497">
        <v>0</v>
      </c>
      <c r="AA68" s="497">
        <v>0</v>
      </c>
      <c r="AB68" s="497">
        <f t="shared" ref="AB68:AB131" si="5">SUM(Z68,V68,S68,P68,M68,J68,I68)</f>
        <v>441.21000000000004</v>
      </c>
      <c r="AC68" s="530"/>
    </row>
    <row r="69" spans="1:29" s="128" customFormat="1">
      <c r="A69" s="249" t="s">
        <v>462</v>
      </c>
      <c r="B69" s="250" t="s">
        <v>480</v>
      </c>
      <c r="C69" s="528" t="s">
        <v>824</v>
      </c>
      <c r="D69" s="238" t="s">
        <v>825</v>
      </c>
      <c r="E69" s="238">
        <v>3</v>
      </c>
      <c r="F69" s="243" t="s">
        <v>772</v>
      </c>
      <c r="G69" s="241" t="s">
        <v>684</v>
      </c>
      <c r="H69" s="241" t="s">
        <v>633</v>
      </c>
      <c r="I69" s="534">
        <v>271.87</v>
      </c>
      <c r="J69" s="494" t="s">
        <v>633</v>
      </c>
      <c r="K69" s="495">
        <v>157.76</v>
      </c>
      <c r="L69" s="496">
        <v>62.1</v>
      </c>
      <c r="M69" s="495">
        <v>164.16</v>
      </c>
      <c r="N69" s="495">
        <v>2.68</v>
      </c>
      <c r="O69" s="495">
        <v>0</v>
      </c>
      <c r="P69" s="495">
        <f t="shared" si="4"/>
        <v>2.68</v>
      </c>
      <c r="Q69" s="497">
        <v>0</v>
      </c>
      <c r="R69" s="497">
        <v>0</v>
      </c>
      <c r="S69" s="497">
        <v>0</v>
      </c>
      <c r="T69" s="495">
        <v>64</v>
      </c>
      <c r="U69" s="495">
        <v>0</v>
      </c>
      <c r="V69" s="499">
        <f t="shared" si="3"/>
        <v>64</v>
      </c>
      <c r="W69" s="498" t="s">
        <v>721</v>
      </c>
      <c r="X69" s="499">
        <v>427.7</v>
      </c>
      <c r="Y69" s="497">
        <v>0</v>
      </c>
      <c r="Z69" s="497">
        <v>0</v>
      </c>
      <c r="AA69" s="497">
        <v>0</v>
      </c>
      <c r="AB69" s="497">
        <f t="shared" si="5"/>
        <v>502.71000000000004</v>
      </c>
      <c r="AC69" s="530"/>
    </row>
    <row r="70" spans="1:29" s="128" customFormat="1">
      <c r="A70" s="249" t="s">
        <v>462</v>
      </c>
      <c r="B70" s="250" t="s">
        <v>480</v>
      </c>
      <c r="C70" s="528">
        <v>10068012438</v>
      </c>
      <c r="D70" s="239" t="s">
        <v>826</v>
      </c>
      <c r="E70" s="238">
        <v>3</v>
      </c>
      <c r="F70" s="244" t="s">
        <v>689</v>
      </c>
      <c r="G70" s="241" t="s">
        <v>684</v>
      </c>
      <c r="H70" s="241" t="s">
        <v>633</v>
      </c>
      <c r="I70" s="534">
        <v>150.19</v>
      </c>
      <c r="J70" s="494" t="s">
        <v>633</v>
      </c>
      <c r="K70" s="495">
        <v>157.76</v>
      </c>
      <c r="L70" s="496">
        <v>22</v>
      </c>
      <c r="M70" s="495">
        <v>164.16</v>
      </c>
      <c r="N70" s="495">
        <v>2.68</v>
      </c>
      <c r="O70" s="495">
        <v>0</v>
      </c>
      <c r="P70" s="495">
        <f t="shared" si="4"/>
        <v>2.68</v>
      </c>
      <c r="Q70" s="497">
        <f>244.8+102</f>
        <v>346.8</v>
      </c>
      <c r="R70" s="497">
        <v>66</v>
      </c>
      <c r="S70" s="497">
        <v>0</v>
      </c>
      <c r="T70" s="495">
        <v>64</v>
      </c>
      <c r="U70" s="495">
        <v>0</v>
      </c>
      <c r="V70" s="499">
        <f t="shared" si="3"/>
        <v>64</v>
      </c>
      <c r="W70" s="498" t="s">
        <v>762</v>
      </c>
      <c r="X70" s="499">
        <v>0</v>
      </c>
      <c r="Y70" s="497">
        <v>0</v>
      </c>
      <c r="Z70" s="497">
        <v>0</v>
      </c>
      <c r="AA70" s="497">
        <v>0</v>
      </c>
      <c r="AB70" s="497">
        <f t="shared" si="5"/>
        <v>381.03</v>
      </c>
      <c r="AC70" s="530"/>
    </row>
    <row r="71" spans="1:29" s="128" customFormat="1">
      <c r="A71" s="249" t="s">
        <v>462</v>
      </c>
      <c r="B71" s="250" t="s">
        <v>480</v>
      </c>
      <c r="C71" s="528" t="s">
        <v>827</v>
      </c>
      <c r="D71" s="238" t="s">
        <v>828</v>
      </c>
      <c r="E71" s="238">
        <v>2</v>
      </c>
      <c r="F71" s="527" t="s">
        <v>712</v>
      </c>
      <c r="G71" s="241" t="s">
        <v>684</v>
      </c>
      <c r="H71" s="241" t="s">
        <v>633</v>
      </c>
      <c r="I71" s="493">
        <v>137.6</v>
      </c>
      <c r="J71" s="494" t="s">
        <v>633</v>
      </c>
      <c r="K71" s="495">
        <v>157.76</v>
      </c>
      <c r="L71" s="496">
        <v>0</v>
      </c>
      <c r="M71" s="495">
        <v>164.16</v>
      </c>
      <c r="N71" s="495">
        <v>18.690000000000001</v>
      </c>
      <c r="O71" s="495">
        <v>0</v>
      </c>
      <c r="P71" s="495">
        <f t="shared" si="4"/>
        <v>18.690000000000001</v>
      </c>
      <c r="Q71" s="497">
        <v>0</v>
      </c>
      <c r="R71" s="497">
        <v>0</v>
      </c>
      <c r="S71" s="497">
        <v>0</v>
      </c>
      <c r="T71" s="495">
        <v>0</v>
      </c>
      <c r="U71" s="495">
        <v>0</v>
      </c>
      <c r="V71" s="499">
        <f t="shared" si="3"/>
        <v>0</v>
      </c>
      <c r="W71" s="498"/>
      <c r="X71" s="499">
        <v>0</v>
      </c>
      <c r="Y71" s="497">
        <v>0</v>
      </c>
      <c r="Z71" s="497">
        <v>0</v>
      </c>
      <c r="AA71" s="497">
        <v>0</v>
      </c>
      <c r="AB71" s="497">
        <f t="shared" si="5"/>
        <v>320.45</v>
      </c>
      <c r="AC71" s="530"/>
    </row>
    <row r="72" spans="1:29" s="128" customFormat="1">
      <c r="A72" s="249" t="s">
        <v>462</v>
      </c>
      <c r="B72" s="250" t="s">
        <v>480</v>
      </c>
      <c r="C72" s="528" t="s">
        <v>829</v>
      </c>
      <c r="D72" s="238" t="s">
        <v>830</v>
      </c>
      <c r="E72" s="238">
        <v>3</v>
      </c>
      <c r="F72" s="244" t="s">
        <v>689</v>
      </c>
      <c r="G72" s="241" t="s">
        <v>684</v>
      </c>
      <c r="H72" s="241" t="s">
        <v>633</v>
      </c>
      <c r="I72" s="534">
        <v>131.97</v>
      </c>
      <c r="J72" s="494" t="s">
        <v>633</v>
      </c>
      <c r="K72" s="495">
        <v>157.76</v>
      </c>
      <c r="L72" s="496">
        <v>22</v>
      </c>
      <c r="M72" s="495">
        <v>164.16</v>
      </c>
      <c r="N72" s="495">
        <v>2.68</v>
      </c>
      <c r="O72" s="495">
        <v>0</v>
      </c>
      <c r="P72" s="495">
        <f t="shared" si="4"/>
        <v>2.68</v>
      </c>
      <c r="Q72" s="497">
        <f>180+60</f>
        <v>240</v>
      </c>
      <c r="R72" s="497">
        <v>66</v>
      </c>
      <c r="S72" s="497">
        <v>0</v>
      </c>
      <c r="T72" s="495">
        <v>64</v>
      </c>
      <c r="U72" s="495">
        <v>0</v>
      </c>
      <c r="V72" s="499">
        <f t="shared" si="3"/>
        <v>64</v>
      </c>
      <c r="W72" s="498" t="s">
        <v>762</v>
      </c>
      <c r="X72" s="499">
        <v>0</v>
      </c>
      <c r="Y72" s="497">
        <v>0</v>
      </c>
      <c r="Z72" s="497">
        <v>0</v>
      </c>
      <c r="AA72" s="497">
        <v>0</v>
      </c>
      <c r="AB72" s="497">
        <f t="shared" si="5"/>
        <v>362.81</v>
      </c>
      <c r="AC72" s="530"/>
    </row>
    <row r="73" spans="1:29" s="128" customFormat="1">
      <c r="A73" s="249" t="s">
        <v>462</v>
      </c>
      <c r="B73" s="250" t="s">
        <v>480</v>
      </c>
      <c r="C73" s="528" t="s">
        <v>831</v>
      </c>
      <c r="D73" s="238" t="s">
        <v>832</v>
      </c>
      <c r="E73" s="238">
        <v>2</v>
      </c>
      <c r="F73" s="242" t="s">
        <v>697</v>
      </c>
      <c r="G73" s="241" t="s">
        <v>684</v>
      </c>
      <c r="H73" s="241" t="s">
        <v>633</v>
      </c>
      <c r="I73" s="493">
        <v>267.89999999999998</v>
      </c>
      <c r="J73" s="494" t="s">
        <v>633</v>
      </c>
      <c r="K73" s="495">
        <v>157.76</v>
      </c>
      <c r="L73" s="496">
        <v>0</v>
      </c>
      <c r="M73" s="495">
        <v>164.16</v>
      </c>
      <c r="N73" s="495">
        <v>4.3600000000000003</v>
      </c>
      <c r="O73" s="495">
        <v>0</v>
      </c>
      <c r="P73" s="495">
        <f t="shared" si="4"/>
        <v>4.3600000000000003</v>
      </c>
      <c r="Q73" s="497">
        <v>0</v>
      </c>
      <c r="R73" s="497">
        <v>0</v>
      </c>
      <c r="S73" s="497">
        <v>0</v>
      </c>
      <c r="T73" s="495">
        <v>0</v>
      </c>
      <c r="U73" s="495">
        <v>0</v>
      </c>
      <c r="V73" s="499">
        <f t="shared" si="3"/>
        <v>0</v>
      </c>
      <c r="W73" s="498"/>
      <c r="X73" s="499">
        <v>0</v>
      </c>
      <c r="Y73" s="497">
        <v>0</v>
      </c>
      <c r="Z73" s="497">
        <v>0</v>
      </c>
      <c r="AA73" s="497">
        <v>0</v>
      </c>
      <c r="AB73" s="497">
        <f t="shared" si="5"/>
        <v>436.41999999999996</v>
      </c>
      <c r="AC73" s="530"/>
    </row>
    <row r="74" spans="1:29" s="128" customFormat="1">
      <c r="A74" s="249" t="s">
        <v>462</v>
      </c>
      <c r="B74" s="250" t="s">
        <v>480</v>
      </c>
      <c r="C74" s="528" t="s">
        <v>833</v>
      </c>
      <c r="D74" s="238" t="s">
        <v>834</v>
      </c>
      <c r="E74" s="238">
        <v>3</v>
      </c>
      <c r="F74" s="244" t="s">
        <v>728</v>
      </c>
      <c r="G74" s="241" t="s">
        <v>684</v>
      </c>
      <c r="H74" s="241" t="s">
        <v>633</v>
      </c>
      <c r="I74" s="493">
        <v>147.80000000000001</v>
      </c>
      <c r="J74" s="494" t="s">
        <v>633</v>
      </c>
      <c r="K74" s="495">
        <v>157.76</v>
      </c>
      <c r="L74" s="496">
        <v>25.09</v>
      </c>
      <c r="M74" s="495">
        <v>164.16</v>
      </c>
      <c r="N74" s="495">
        <v>2.68</v>
      </c>
      <c r="O74" s="495">
        <v>0</v>
      </c>
      <c r="P74" s="495">
        <f t="shared" si="4"/>
        <v>2.68</v>
      </c>
      <c r="Q74" s="497">
        <f>194.7+70.8</f>
        <v>265.5</v>
      </c>
      <c r="R74" s="497">
        <v>75.27</v>
      </c>
      <c r="S74" s="497">
        <v>0</v>
      </c>
      <c r="T74" s="495">
        <v>64</v>
      </c>
      <c r="U74" s="495">
        <v>0</v>
      </c>
      <c r="V74" s="499">
        <f t="shared" si="3"/>
        <v>64</v>
      </c>
      <c r="W74" s="498" t="s">
        <v>762</v>
      </c>
      <c r="X74" s="499">
        <v>0</v>
      </c>
      <c r="Y74" s="497">
        <v>0</v>
      </c>
      <c r="Z74" s="497">
        <v>0</v>
      </c>
      <c r="AA74" s="497">
        <v>0</v>
      </c>
      <c r="AB74" s="497">
        <f t="shared" si="5"/>
        <v>378.64</v>
      </c>
      <c r="AC74" s="530"/>
    </row>
    <row r="75" spans="1:29" s="128" customFormat="1">
      <c r="A75" s="249" t="s">
        <v>462</v>
      </c>
      <c r="B75" s="250" t="s">
        <v>480</v>
      </c>
      <c r="C75" s="528">
        <v>89967100400</v>
      </c>
      <c r="D75" s="238" t="s">
        <v>835</v>
      </c>
      <c r="E75" s="238">
        <v>3</v>
      </c>
      <c r="F75" s="242" t="s">
        <v>723</v>
      </c>
      <c r="G75" s="241" t="s">
        <v>684</v>
      </c>
      <c r="H75" s="241" t="s">
        <v>633</v>
      </c>
      <c r="I75" s="534">
        <v>111.28</v>
      </c>
      <c r="J75" s="494" t="s">
        <v>633</v>
      </c>
      <c r="K75" s="495">
        <v>157.76</v>
      </c>
      <c r="L75" s="496">
        <v>22</v>
      </c>
      <c r="M75" s="495">
        <v>164.16</v>
      </c>
      <c r="N75" s="495">
        <v>2.68</v>
      </c>
      <c r="O75" s="495">
        <v>0</v>
      </c>
      <c r="P75" s="495">
        <f t="shared" si="4"/>
        <v>2.68</v>
      </c>
      <c r="Q75" s="497">
        <f>112.2+51</f>
        <v>163.19999999999999</v>
      </c>
      <c r="R75" s="497">
        <v>66</v>
      </c>
      <c r="S75" s="497">
        <v>0</v>
      </c>
      <c r="T75" s="495">
        <v>0</v>
      </c>
      <c r="U75" s="495">
        <v>0</v>
      </c>
      <c r="V75" s="499">
        <f t="shared" si="3"/>
        <v>0</v>
      </c>
      <c r="W75" s="498"/>
      <c r="X75" s="499">
        <v>0</v>
      </c>
      <c r="Y75" s="497">
        <v>0</v>
      </c>
      <c r="Z75" s="497">
        <v>0</v>
      </c>
      <c r="AA75" s="497">
        <v>0</v>
      </c>
      <c r="AB75" s="497">
        <f t="shared" si="5"/>
        <v>278.12</v>
      </c>
      <c r="AC75" s="530"/>
    </row>
    <row r="76" spans="1:29" s="128" customFormat="1">
      <c r="A76" s="249" t="s">
        <v>462</v>
      </c>
      <c r="B76" s="250" t="s">
        <v>480</v>
      </c>
      <c r="C76" s="528" t="s">
        <v>836</v>
      </c>
      <c r="D76" s="238" t="s">
        <v>837</v>
      </c>
      <c r="E76" s="238">
        <v>2</v>
      </c>
      <c r="F76" s="242" t="s">
        <v>709</v>
      </c>
      <c r="G76" s="241" t="s">
        <v>684</v>
      </c>
      <c r="H76" s="241" t="s">
        <v>633</v>
      </c>
      <c r="I76" s="534">
        <v>184.55</v>
      </c>
      <c r="J76" s="494" t="s">
        <v>633</v>
      </c>
      <c r="K76" s="495">
        <v>157.76</v>
      </c>
      <c r="L76" s="496">
        <v>2.4300000000000002</v>
      </c>
      <c r="M76" s="495">
        <v>164.16</v>
      </c>
      <c r="N76" s="495">
        <v>5.36</v>
      </c>
      <c r="O76" s="495">
        <v>0</v>
      </c>
      <c r="P76" s="495">
        <f t="shared" si="4"/>
        <v>5.36</v>
      </c>
      <c r="Q76" s="497">
        <v>0</v>
      </c>
      <c r="R76" s="497">
        <v>0</v>
      </c>
      <c r="S76" s="497">
        <v>0</v>
      </c>
      <c r="T76" s="495">
        <v>0</v>
      </c>
      <c r="U76" s="495">
        <v>0</v>
      </c>
      <c r="V76" s="499">
        <f t="shared" si="3"/>
        <v>0</v>
      </c>
      <c r="W76" s="498"/>
      <c r="X76" s="499">
        <v>0</v>
      </c>
      <c r="Y76" s="497">
        <v>0</v>
      </c>
      <c r="Z76" s="497">
        <v>0</v>
      </c>
      <c r="AA76" s="497">
        <v>0</v>
      </c>
      <c r="AB76" s="497">
        <f t="shared" si="5"/>
        <v>354.07000000000005</v>
      </c>
      <c r="AC76" s="530"/>
    </row>
    <row r="77" spans="1:29" s="128" customFormat="1">
      <c r="A77" s="249" t="s">
        <v>462</v>
      </c>
      <c r="B77" s="250" t="s">
        <v>480</v>
      </c>
      <c r="C77" s="528" t="s">
        <v>838</v>
      </c>
      <c r="D77" s="238" t="s">
        <v>839</v>
      </c>
      <c r="E77" s="238">
        <v>3</v>
      </c>
      <c r="F77" s="244" t="s">
        <v>802</v>
      </c>
      <c r="G77" s="241" t="s">
        <v>684</v>
      </c>
      <c r="H77" s="241" t="s">
        <v>633</v>
      </c>
      <c r="I77" s="534">
        <v>145.91</v>
      </c>
      <c r="J77" s="494" t="s">
        <v>633</v>
      </c>
      <c r="K77" s="495">
        <v>157.76</v>
      </c>
      <c r="L77" s="496">
        <v>31.05</v>
      </c>
      <c r="M77" s="495">
        <v>164.16</v>
      </c>
      <c r="N77" s="495">
        <v>2.68</v>
      </c>
      <c r="O77" s="495">
        <v>0</v>
      </c>
      <c r="P77" s="495">
        <f t="shared" si="4"/>
        <v>2.68</v>
      </c>
      <c r="Q77" s="497">
        <f>225</f>
        <v>225</v>
      </c>
      <c r="R77" s="497">
        <v>93.15</v>
      </c>
      <c r="S77" s="497">
        <v>0</v>
      </c>
      <c r="T77" s="495">
        <v>0</v>
      </c>
      <c r="U77" s="495">
        <v>0</v>
      </c>
      <c r="V77" s="499">
        <v>267.32</v>
      </c>
      <c r="W77" s="498"/>
      <c r="X77" s="499">
        <v>0</v>
      </c>
      <c r="Y77" s="497">
        <v>0</v>
      </c>
      <c r="Z77" s="497">
        <v>0</v>
      </c>
      <c r="AA77" s="497">
        <v>0</v>
      </c>
      <c r="AB77" s="497">
        <f t="shared" si="5"/>
        <v>580.06999999999994</v>
      </c>
      <c r="AC77" s="530"/>
    </row>
    <row r="78" spans="1:29" s="128" customFormat="1">
      <c r="A78" s="249" t="s">
        <v>462</v>
      </c>
      <c r="B78" s="250" t="s">
        <v>480</v>
      </c>
      <c r="C78" s="528" t="s">
        <v>840</v>
      </c>
      <c r="D78" s="238" t="s">
        <v>841</v>
      </c>
      <c r="E78" s="238">
        <v>2</v>
      </c>
      <c r="F78" s="242" t="s">
        <v>683</v>
      </c>
      <c r="G78" s="241" t="s">
        <v>684</v>
      </c>
      <c r="H78" s="241" t="s">
        <v>633</v>
      </c>
      <c r="I78" s="534">
        <v>143.97999999999999</v>
      </c>
      <c r="J78" s="494" t="s">
        <v>633</v>
      </c>
      <c r="K78" s="495">
        <v>157.76</v>
      </c>
      <c r="L78" s="496">
        <v>25.05</v>
      </c>
      <c r="M78" s="495">
        <v>164.16</v>
      </c>
      <c r="N78" s="495">
        <v>2.68</v>
      </c>
      <c r="O78" s="495">
        <v>0</v>
      </c>
      <c r="P78" s="495">
        <f t="shared" si="4"/>
        <v>2.68</v>
      </c>
      <c r="Q78" s="497">
        <f>194.7+70.8</f>
        <v>265.5</v>
      </c>
      <c r="R78" s="497">
        <v>75.150000000000006</v>
      </c>
      <c r="S78" s="497">
        <v>0</v>
      </c>
      <c r="T78" s="495">
        <v>0</v>
      </c>
      <c r="U78" s="495">
        <v>0</v>
      </c>
      <c r="V78" s="499">
        <f t="shared" si="3"/>
        <v>0</v>
      </c>
      <c r="W78" s="498"/>
      <c r="X78" s="499">
        <v>0</v>
      </c>
      <c r="Y78" s="497">
        <v>0</v>
      </c>
      <c r="Z78" s="497">
        <v>0</v>
      </c>
      <c r="AA78" s="497">
        <v>0</v>
      </c>
      <c r="AB78" s="497">
        <f t="shared" si="5"/>
        <v>310.82</v>
      </c>
      <c r="AC78" s="530"/>
    </row>
    <row r="79" spans="1:29" s="127" customFormat="1">
      <c r="A79" s="249" t="s">
        <v>462</v>
      </c>
      <c r="B79" s="250" t="s">
        <v>480</v>
      </c>
      <c r="C79" s="528" t="s">
        <v>842</v>
      </c>
      <c r="D79" s="238" t="s">
        <v>843</v>
      </c>
      <c r="E79" s="238">
        <v>3</v>
      </c>
      <c r="F79" s="242" t="s">
        <v>844</v>
      </c>
      <c r="G79" s="241" t="s">
        <v>684</v>
      </c>
      <c r="H79" s="241" t="s">
        <v>633</v>
      </c>
      <c r="I79" s="534">
        <v>144.15</v>
      </c>
      <c r="J79" s="494" t="s">
        <v>633</v>
      </c>
      <c r="K79" s="495">
        <v>157.76</v>
      </c>
      <c r="L79" s="496">
        <v>31.05</v>
      </c>
      <c r="M79" s="495">
        <v>164.16</v>
      </c>
      <c r="N79" s="495">
        <v>2.68</v>
      </c>
      <c r="O79" s="495">
        <v>0</v>
      </c>
      <c r="P79" s="495">
        <f t="shared" si="4"/>
        <v>2.68</v>
      </c>
      <c r="Q79" s="497">
        <v>0</v>
      </c>
      <c r="R79" s="497">
        <v>0</v>
      </c>
      <c r="S79" s="497">
        <v>0</v>
      </c>
      <c r="T79" s="495">
        <v>0</v>
      </c>
      <c r="U79" s="495">
        <v>0</v>
      </c>
      <c r="V79" s="499">
        <f t="shared" si="3"/>
        <v>0</v>
      </c>
      <c r="W79" s="498" t="s">
        <v>746</v>
      </c>
      <c r="X79" s="499">
        <v>160.38999999999999</v>
      </c>
      <c r="Y79" s="497">
        <v>0</v>
      </c>
      <c r="Z79" s="497">
        <v>0</v>
      </c>
      <c r="AA79" s="497">
        <v>0</v>
      </c>
      <c r="AB79" s="497">
        <f t="shared" si="5"/>
        <v>310.99</v>
      </c>
      <c r="AC79" s="529"/>
    </row>
    <row r="80" spans="1:29" s="127" customFormat="1">
      <c r="A80" s="249" t="s">
        <v>462</v>
      </c>
      <c r="B80" s="250" t="s">
        <v>480</v>
      </c>
      <c r="C80" s="528">
        <v>10560715404</v>
      </c>
      <c r="D80" s="238" t="s">
        <v>845</v>
      </c>
      <c r="E80" s="238">
        <v>2</v>
      </c>
      <c r="F80" s="527" t="s">
        <v>712</v>
      </c>
      <c r="G80" s="241" t="s">
        <v>684</v>
      </c>
      <c r="H80" s="241" t="s">
        <v>633</v>
      </c>
      <c r="I80" s="493">
        <v>137.6</v>
      </c>
      <c r="J80" s="494" t="s">
        <v>633</v>
      </c>
      <c r="K80" s="495">
        <v>157.76</v>
      </c>
      <c r="L80" s="496">
        <v>0</v>
      </c>
      <c r="M80" s="495">
        <v>164.16</v>
      </c>
      <c r="N80" s="495">
        <v>18.690000000000001</v>
      </c>
      <c r="O80" s="495">
        <v>0</v>
      </c>
      <c r="P80" s="495">
        <f t="shared" si="4"/>
        <v>18.690000000000001</v>
      </c>
      <c r="Q80" s="497">
        <v>0</v>
      </c>
      <c r="R80" s="497">
        <v>0</v>
      </c>
      <c r="S80" s="497">
        <v>0</v>
      </c>
      <c r="T80" s="495">
        <v>0</v>
      </c>
      <c r="U80" s="495">
        <v>0</v>
      </c>
      <c r="V80" s="499">
        <f t="shared" si="3"/>
        <v>0</v>
      </c>
      <c r="W80" s="498"/>
      <c r="X80" s="499">
        <v>0</v>
      </c>
      <c r="Y80" s="497">
        <v>0</v>
      </c>
      <c r="Z80" s="497">
        <v>0</v>
      </c>
      <c r="AA80" s="497">
        <v>0</v>
      </c>
      <c r="AB80" s="497">
        <f t="shared" si="5"/>
        <v>320.45</v>
      </c>
      <c r="AC80" s="529"/>
    </row>
    <row r="81" spans="1:29" s="127" customFormat="1">
      <c r="A81" s="249" t="s">
        <v>462</v>
      </c>
      <c r="B81" s="250" t="s">
        <v>480</v>
      </c>
      <c r="C81" s="528">
        <v>70306823438</v>
      </c>
      <c r="D81" s="238" t="s">
        <v>846</v>
      </c>
      <c r="E81" s="238">
        <v>2</v>
      </c>
      <c r="F81" s="527" t="s">
        <v>712</v>
      </c>
      <c r="G81" s="241" t="s">
        <v>684</v>
      </c>
      <c r="H81" s="241" t="s">
        <v>633</v>
      </c>
      <c r="I81" s="493">
        <v>137.6</v>
      </c>
      <c r="J81" s="494" t="s">
        <v>633</v>
      </c>
      <c r="K81" s="495">
        <v>157.76</v>
      </c>
      <c r="L81" s="496">
        <v>0</v>
      </c>
      <c r="M81" s="495">
        <v>164.16</v>
      </c>
      <c r="N81" s="495">
        <v>18.690000000000001</v>
      </c>
      <c r="O81" s="495">
        <v>0</v>
      </c>
      <c r="P81" s="495">
        <f t="shared" si="4"/>
        <v>18.690000000000001</v>
      </c>
      <c r="Q81" s="497">
        <v>0</v>
      </c>
      <c r="R81" s="497">
        <v>0</v>
      </c>
      <c r="S81" s="497">
        <v>0</v>
      </c>
      <c r="T81" s="495">
        <v>0</v>
      </c>
      <c r="U81" s="495">
        <v>0</v>
      </c>
      <c r="V81" s="499">
        <f t="shared" si="3"/>
        <v>0</v>
      </c>
      <c r="W81" s="498"/>
      <c r="X81" s="499">
        <v>0</v>
      </c>
      <c r="Y81" s="497">
        <v>0</v>
      </c>
      <c r="Z81" s="497">
        <v>0</v>
      </c>
      <c r="AA81" s="497">
        <v>0</v>
      </c>
      <c r="AB81" s="497">
        <f t="shared" si="5"/>
        <v>320.45</v>
      </c>
      <c r="AC81" s="529"/>
    </row>
    <row r="82" spans="1:29" s="127" customFormat="1">
      <c r="A82" s="249" t="s">
        <v>462</v>
      </c>
      <c r="B82" s="250" t="s">
        <v>480</v>
      </c>
      <c r="C82" s="528" t="s">
        <v>847</v>
      </c>
      <c r="D82" s="239" t="s">
        <v>848</v>
      </c>
      <c r="E82" s="238">
        <v>2</v>
      </c>
      <c r="F82" s="242" t="s">
        <v>697</v>
      </c>
      <c r="G82" s="241" t="s">
        <v>684</v>
      </c>
      <c r="H82" s="241" t="s">
        <v>633</v>
      </c>
      <c r="I82" s="534">
        <v>267.69</v>
      </c>
      <c r="J82" s="494" t="s">
        <v>633</v>
      </c>
      <c r="K82" s="495">
        <v>157.76</v>
      </c>
      <c r="L82" s="496">
        <v>0</v>
      </c>
      <c r="M82" s="495">
        <v>164.16</v>
      </c>
      <c r="N82" s="495">
        <v>4.3600000000000003</v>
      </c>
      <c r="O82" s="495">
        <v>0</v>
      </c>
      <c r="P82" s="495">
        <f t="shared" si="4"/>
        <v>4.3600000000000003</v>
      </c>
      <c r="Q82" s="497">
        <v>0</v>
      </c>
      <c r="R82" s="497">
        <v>0</v>
      </c>
      <c r="S82" s="497">
        <v>0</v>
      </c>
      <c r="T82" s="495">
        <v>0</v>
      </c>
      <c r="U82" s="495">
        <v>0</v>
      </c>
      <c r="V82" s="499">
        <f t="shared" si="3"/>
        <v>0</v>
      </c>
      <c r="W82" s="498"/>
      <c r="X82" s="499">
        <v>0</v>
      </c>
      <c r="Y82" s="497">
        <v>0</v>
      </c>
      <c r="Z82" s="497">
        <v>0</v>
      </c>
      <c r="AA82" s="497">
        <v>0</v>
      </c>
      <c r="AB82" s="497">
        <f t="shared" si="5"/>
        <v>436.21000000000004</v>
      </c>
      <c r="AC82" s="529"/>
    </row>
    <row r="83" spans="1:29" s="127" customFormat="1">
      <c r="A83" s="249" t="s">
        <v>462</v>
      </c>
      <c r="B83" s="250" t="s">
        <v>480</v>
      </c>
      <c r="C83" s="237" t="s">
        <v>849</v>
      </c>
      <c r="D83" s="239" t="s">
        <v>850</v>
      </c>
      <c r="E83" s="240">
        <v>2</v>
      </c>
      <c r="F83" s="531" t="s">
        <v>683</v>
      </c>
      <c r="G83" s="241" t="s">
        <v>684</v>
      </c>
      <c r="H83" s="241" t="s">
        <v>633</v>
      </c>
      <c r="I83" s="493">
        <v>117.8</v>
      </c>
      <c r="J83" s="494" t="s">
        <v>633</v>
      </c>
      <c r="K83" s="495">
        <v>157.76</v>
      </c>
      <c r="L83" s="496">
        <v>25.05</v>
      </c>
      <c r="M83" s="495">
        <v>164.16</v>
      </c>
      <c r="N83" s="495">
        <v>2.68</v>
      </c>
      <c r="O83" s="495">
        <v>0</v>
      </c>
      <c r="P83" s="495">
        <f t="shared" si="4"/>
        <v>2.68</v>
      </c>
      <c r="Q83" s="497">
        <v>0</v>
      </c>
      <c r="R83" s="497">
        <v>0</v>
      </c>
      <c r="S83" s="497">
        <v>0</v>
      </c>
      <c r="T83" s="495">
        <v>0</v>
      </c>
      <c r="U83" s="495">
        <v>0</v>
      </c>
      <c r="V83" s="499">
        <f t="shared" si="3"/>
        <v>0</v>
      </c>
      <c r="W83" s="498"/>
      <c r="X83" s="499">
        <v>0</v>
      </c>
      <c r="Y83" s="497">
        <v>0</v>
      </c>
      <c r="Z83" s="497">
        <v>0</v>
      </c>
      <c r="AA83" s="497">
        <v>0</v>
      </c>
      <c r="AB83" s="497">
        <f t="shared" si="5"/>
        <v>284.64</v>
      </c>
      <c r="AC83" s="529"/>
    </row>
    <row r="84" spans="1:29" s="127" customFormat="1">
      <c r="A84" s="249" t="s">
        <v>462</v>
      </c>
      <c r="B84" s="250" t="s">
        <v>480</v>
      </c>
      <c r="C84" s="528">
        <v>98694910497</v>
      </c>
      <c r="D84" s="238" t="s">
        <v>851</v>
      </c>
      <c r="E84" s="238">
        <v>2</v>
      </c>
      <c r="F84" s="242" t="s">
        <v>683</v>
      </c>
      <c r="G84" s="241" t="s">
        <v>684</v>
      </c>
      <c r="H84" s="241" t="s">
        <v>633</v>
      </c>
      <c r="I84" s="493">
        <v>117.8</v>
      </c>
      <c r="J84" s="494" t="s">
        <v>633</v>
      </c>
      <c r="K84" s="495">
        <v>157.76</v>
      </c>
      <c r="L84" s="496">
        <v>25.05</v>
      </c>
      <c r="M84" s="495">
        <v>164.16</v>
      </c>
      <c r="N84" s="495">
        <v>2.68</v>
      </c>
      <c r="O84" s="495">
        <v>0</v>
      </c>
      <c r="P84" s="495">
        <f t="shared" si="4"/>
        <v>2.68</v>
      </c>
      <c r="Q84" s="497">
        <f>106.2+35.4</f>
        <v>141.6</v>
      </c>
      <c r="R84" s="497">
        <v>75.150000000000006</v>
      </c>
      <c r="S84" s="497">
        <v>0</v>
      </c>
      <c r="T84" s="495">
        <v>0</v>
      </c>
      <c r="U84" s="495">
        <v>0</v>
      </c>
      <c r="V84" s="499">
        <f t="shared" si="3"/>
        <v>0</v>
      </c>
      <c r="W84" s="498"/>
      <c r="X84" s="499">
        <v>0</v>
      </c>
      <c r="Y84" s="497">
        <v>0</v>
      </c>
      <c r="Z84" s="497">
        <v>0</v>
      </c>
      <c r="AA84" s="497">
        <v>0</v>
      </c>
      <c r="AB84" s="497">
        <f t="shared" si="5"/>
        <v>284.64</v>
      </c>
      <c r="AC84" s="529"/>
    </row>
    <row r="85" spans="1:29" s="127" customFormat="1">
      <c r="A85" s="249" t="s">
        <v>462</v>
      </c>
      <c r="B85" s="250" t="s">
        <v>480</v>
      </c>
      <c r="C85" s="528">
        <v>70315023490</v>
      </c>
      <c r="D85" s="238" t="s">
        <v>852</v>
      </c>
      <c r="E85" s="238">
        <v>3</v>
      </c>
      <c r="F85" s="244" t="s">
        <v>689</v>
      </c>
      <c r="G85" s="241" t="s">
        <v>684</v>
      </c>
      <c r="H85" s="241" t="s">
        <v>633</v>
      </c>
      <c r="I85" s="534">
        <v>108.51</v>
      </c>
      <c r="J85" s="494" t="s">
        <v>633</v>
      </c>
      <c r="K85" s="495">
        <v>157.76</v>
      </c>
      <c r="L85" s="496">
        <v>22</v>
      </c>
      <c r="M85" s="495">
        <v>164.16</v>
      </c>
      <c r="N85" s="495">
        <v>2.68</v>
      </c>
      <c r="O85" s="495">
        <v>0</v>
      </c>
      <c r="P85" s="495">
        <f t="shared" si="4"/>
        <v>2.68</v>
      </c>
      <c r="Q85" s="497">
        <f>122.4+40.8</f>
        <v>163.19999999999999</v>
      </c>
      <c r="R85" s="497">
        <v>66</v>
      </c>
      <c r="S85" s="497">
        <v>0</v>
      </c>
      <c r="T85" s="495">
        <v>0</v>
      </c>
      <c r="U85" s="495">
        <v>0</v>
      </c>
      <c r="V85" s="499">
        <f t="shared" si="3"/>
        <v>0</v>
      </c>
      <c r="W85" s="498"/>
      <c r="X85" s="499">
        <v>0</v>
      </c>
      <c r="Y85" s="497">
        <v>0</v>
      </c>
      <c r="Z85" s="497">
        <v>0</v>
      </c>
      <c r="AA85" s="497">
        <v>0</v>
      </c>
      <c r="AB85" s="497">
        <f t="shared" si="5"/>
        <v>275.35000000000002</v>
      </c>
      <c r="AC85" s="529"/>
    </row>
    <row r="86" spans="1:29" s="127" customFormat="1">
      <c r="A86" s="249" t="s">
        <v>462</v>
      </c>
      <c r="B86" s="250" t="s">
        <v>480</v>
      </c>
      <c r="C86" s="528">
        <v>61442607491</v>
      </c>
      <c r="D86" s="238" t="s">
        <v>853</v>
      </c>
      <c r="E86" s="238">
        <v>3</v>
      </c>
      <c r="F86" s="244" t="s">
        <v>854</v>
      </c>
      <c r="G86" s="241" t="s">
        <v>684</v>
      </c>
      <c r="H86" s="241" t="s">
        <v>633</v>
      </c>
      <c r="I86" s="500">
        <v>1407.6</v>
      </c>
      <c r="J86" s="494" t="s">
        <v>633</v>
      </c>
      <c r="K86" s="495">
        <v>157.76</v>
      </c>
      <c r="L86" s="496">
        <v>0</v>
      </c>
      <c r="M86" s="495">
        <v>164.16</v>
      </c>
      <c r="N86" s="495">
        <v>2.68</v>
      </c>
      <c r="O86" s="495">
        <v>0</v>
      </c>
      <c r="P86" s="495">
        <f t="shared" si="4"/>
        <v>2.68</v>
      </c>
      <c r="Q86" s="497">
        <v>0</v>
      </c>
      <c r="R86" s="497">
        <v>0</v>
      </c>
      <c r="S86" s="497">
        <v>0</v>
      </c>
      <c r="T86" s="495">
        <v>0</v>
      </c>
      <c r="U86" s="495">
        <v>0</v>
      </c>
      <c r="V86" s="499">
        <f t="shared" si="3"/>
        <v>0</v>
      </c>
      <c r="W86" s="498"/>
      <c r="X86" s="499">
        <v>0</v>
      </c>
      <c r="Y86" s="497">
        <v>0</v>
      </c>
      <c r="Z86" s="497">
        <v>0</v>
      </c>
      <c r="AA86" s="497">
        <v>0</v>
      </c>
      <c r="AB86" s="497">
        <f t="shared" si="5"/>
        <v>1574.4399999999998</v>
      </c>
      <c r="AC86" s="529"/>
    </row>
    <row r="87" spans="1:29" s="127" customFormat="1">
      <c r="A87" s="249" t="s">
        <v>462</v>
      </c>
      <c r="B87" s="250" t="s">
        <v>480</v>
      </c>
      <c r="C87" s="528" t="s">
        <v>855</v>
      </c>
      <c r="D87" s="238" t="s">
        <v>856</v>
      </c>
      <c r="E87" s="238">
        <v>2</v>
      </c>
      <c r="F87" s="242" t="s">
        <v>709</v>
      </c>
      <c r="G87" s="241" t="s">
        <v>684</v>
      </c>
      <c r="H87" s="241" t="s">
        <v>633</v>
      </c>
      <c r="I87" s="534">
        <v>334.65</v>
      </c>
      <c r="J87" s="494" t="s">
        <v>633</v>
      </c>
      <c r="K87" s="495">
        <v>157.76</v>
      </c>
      <c r="L87" s="496">
        <v>2.4300000000000002</v>
      </c>
      <c r="M87" s="495">
        <v>164.16</v>
      </c>
      <c r="N87" s="495">
        <v>5.36</v>
      </c>
      <c r="O87" s="495">
        <v>0</v>
      </c>
      <c r="P87" s="495">
        <f t="shared" si="4"/>
        <v>5.36</v>
      </c>
      <c r="Q87" s="497">
        <v>0</v>
      </c>
      <c r="R87" s="497">
        <v>0</v>
      </c>
      <c r="S87" s="497">
        <v>0</v>
      </c>
      <c r="T87" s="495">
        <v>0</v>
      </c>
      <c r="U87" s="495">
        <v>0</v>
      </c>
      <c r="V87" s="499">
        <f t="shared" si="3"/>
        <v>0</v>
      </c>
      <c r="W87" s="498"/>
      <c r="X87" s="499">
        <v>0</v>
      </c>
      <c r="Y87" s="497">
        <v>0</v>
      </c>
      <c r="Z87" s="497">
        <v>0</v>
      </c>
      <c r="AA87" s="497">
        <v>0</v>
      </c>
      <c r="AB87" s="497">
        <f t="shared" si="5"/>
        <v>504.16999999999996</v>
      </c>
      <c r="AC87" s="529"/>
    </row>
    <row r="88" spans="1:29" s="127" customFormat="1">
      <c r="A88" s="249" t="s">
        <v>462</v>
      </c>
      <c r="B88" s="250" t="s">
        <v>480</v>
      </c>
      <c r="C88" s="528" t="s">
        <v>857</v>
      </c>
      <c r="D88" s="238" t="s">
        <v>858</v>
      </c>
      <c r="E88" s="238">
        <v>3</v>
      </c>
      <c r="F88" s="244" t="s">
        <v>728</v>
      </c>
      <c r="G88" s="241" t="s">
        <v>684</v>
      </c>
      <c r="H88" s="241" t="s">
        <v>633</v>
      </c>
      <c r="I88" s="534">
        <v>121.28</v>
      </c>
      <c r="J88" s="494" t="s">
        <v>633</v>
      </c>
      <c r="K88" s="495">
        <v>157.76</v>
      </c>
      <c r="L88" s="496">
        <v>25.09</v>
      </c>
      <c r="M88" s="495">
        <v>164.16</v>
      </c>
      <c r="N88" s="495">
        <v>2.68</v>
      </c>
      <c r="O88" s="495">
        <v>0</v>
      </c>
      <c r="P88" s="495">
        <f t="shared" si="4"/>
        <v>2.68</v>
      </c>
      <c r="Q88" s="497">
        <v>0</v>
      </c>
      <c r="R88" s="497">
        <v>0</v>
      </c>
      <c r="S88" s="497">
        <v>0</v>
      </c>
      <c r="T88" s="495">
        <v>0</v>
      </c>
      <c r="U88" s="495">
        <v>0</v>
      </c>
      <c r="V88" s="499">
        <f t="shared" si="3"/>
        <v>0</v>
      </c>
      <c r="W88" s="498"/>
      <c r="X88" s="499">
        <v>0</v>
      </c>
      <c r="Y88" s="497">
        <v>0</v>
      </c>
      <c r="Z88" s="497">
        <v>0</v>
      </c>
      <c r="AA88" s="497">
        <v>0</v>
      </c>
      <c r="AB88" s="497">
        <f t="shared" si="5"/>
        <v>288.12</v>
      </c>
      <c r="AC88" s="529"/>
    </row>
    <row r="89" spans="1:29" s="127" customFormat="1">
      <c r="A89" s="249" t="s">
        <v>462</v>
      </c>
      <c r="B89" s="250" t="s">
        <v>480</v>
      </c>
      <c r="C89" s="528" t="s">
        <v>859</v>
      </c>
      <c r="D89" s="238" t="s">
        <v>860</v>
      </c>
      <c r="E89" s="238">
        <v>3</v>
      </c>
      <c r="F89" s="244" t="s">
        <v>689</v>
      </c>
      <c r="G89" s="241" t="s">
        <v>684</v>
      </c>
      <c r="H89" s="241" t="s">
        <v>633</v>
      </c>
      <c r="I89" s="534">
        <v>119.68</v>
      </c>
      <c r="J89" s="494" t="s">
        <v>633</v>
      </c>
      <c r="K89" s="495">
        <v>157.76</v>
      </c>
      <c r="L89" s="496">
        <v>22</v>
      </c>
      <c r="M89" s="495">
        <v>164.16</v>
      </c>
      <c r="N89" s="495">
        <v>2.68</v>
      </c>
      <c r="O89" s="495">
        <v>0</v>
      </c>
      <c r="P89" s="495">
        <f t="shared" si="4"/>
        <v>2.68</v>
      </c>
      <c r="Q89" s="497">
        <v>0</v>
      </c>
      <c r="R89" s="497">
        <v>0</v>
      </c>
      <c r="S89" s="497">
        <v>0</v>
      </c>
      <c r="T89" s="495">
        <v>128</v>
      </c>
      <c r="U89" s="495">
        <v>0</v>
      </c>
      <c r="V89" s="499">
        <v>0</v>
      </c>
      <c r="W89" s="498" t="s">
        <v>746</v>
      </c>
      <c r="X89" s="499">
        <v>530.33000000000004</v>
      </c>
      <c r="Y89" s="497">
        <v>0</v>
      </c>
      <c r="Z89" s="497">
        <v>0</v>
      </c>
      <c r="AA89" s="497">
        <v>0</v>
      </c>
      <c r="AB89" s="497">
        <f t="shared" si="5"/>
        <v>286.52</v>
      </c>
      <c r="AC89" s="529"/>
    </row>
    <row r="90" spans="1:29" s="127" customFormat="1">
      <c r="A90" s="249" t="s">
        <v>462</v>
      </c>
      <c r="B90" s="250" t="s">
        <v>480</v>
      </c>
      <c r="C90" s="528">
        <v>76656071449</v>
      </c>
      <c r="D90" s="238" t="s">
        <v>861</v>
      </c>
      <c r="E90" s="238">
        <v>3</v>
      </c>
      <c r="F90" s="242" t="s">
        <v>719</v>
      </c>
      <c r="G90" s="241" t="s">
        <v>684</v>
      </c>
      <c r="H90" s="241" t="s">
        <v>633</v>
      </c>
      <c r="I90" s="534">
        <v>109.89</v>
      </c>
      <c r="J90" s="494" t="s">
        <v>633</v>
      </c>
      <c r="K90" s="495">
        <v>157.76</v>
      </c>
      <c r="L90" s="496">
        <v>22</v>
      </c>
      <c r="M90" s="495">
        <v>164.16</v>
      </c>
      <c r="N90" s="495">
        <v>2.68</v>
      </c>
      <c r="O90" s="495">
        <v>0</v>
      </c>
      <c r="P90" s="495">
        <f t="shared" si="4"/>
        <v>2.68</v>
      </c>
      <c r="Q90" s="497">
        <f>212.4+70.8</f>
        <v>283.2</v>
      </c>
      <c r="R90" s="497">
        <v>66</v>
      </c>
      <c r="S90" s="497">
        <v>0</v>
      </c>
      <c r="T90" s="495">
        <v>0</v>
      </c>
      <c r="U90" s="495">
        <v>0</v>
      </c>
      <c r="V90" s="499">
        <f t="shared" si="3"/>
        <v>0</v>
      </c>
      <c r="W90" s="498"/>
      <c r="X90" s="499">
        <v>0</v>
      </c>
      <c r="Y90" s="497">
        <v>0</v>
      </c>
      <c r="Z90" s="497">
        <v>0</v>
      </c>
      <c r="AA90" s="497">
        <v>0</v>
      </c>
      <c r="AB90" s="497">
        <f t="shared" si="5"/>
        <v>276.73</v>
      </c>
      <c r="AC90" s="529"/>
    </row>
    <row r="91" spans="1:29" s="127" customFormat="1">
      <c r="A91" s="249" t="s">
        <v>462</v>
      </c>
      <c r="B91" s="250" t="s">
        <v>480</v>
      </c>
      <c r="C91" s="528" t="s">
        <v>862</v>
      </c>
      <c r="D91" s="238" t="s">
        <v>863</v>
      </c>
      <c r="E91" s="238">
        <v>2</v>
      </c>
      <c r="F91" s="242" t="s">
        <v>683</v>
      </c>
      <c r="G91" s="241" t="s">
        <v>684</v>
      </c>
      <c r="H91" s="241" t="s">
        <v>633</v>
      </c>
      <c r="I91" s="534">
        <v>126.97</v>
      </c>
      <c r="J91" s="494" t="s">
        <v>633</v>
      </c>
      <c r="K91" s="495">
        <v>157.76</v>
      </c>
      <c r="L91" s="496">
        <v>25.05</v>
      </c>
      <c r="M91" s="495">
        <v>164.16</v>
      </c>
      <c r="N91" s="495">
        <v>2.68</v>
      </c>
      <c r="O91" s="495">
        <v>0</v>
      </c>
      <c r="P91" s="495">
        <f t="shared" si="4"/>
        <v>2.68</v>
      </c>
      <c r="Q91" s="497">
        <f>106.2+35.4</f>
        <v>141.6</v>
      </c>
      <c r="R91" s="497">
        <v>75.150000000000006</v>
      </c>
      <c r="S91" s="497">
        <v>0</v>
      </c>
      <c r="T91" s="495">
        <v>64</v>
      </c>
      <c r="U91" s="495">
        <v>0</v>
      </c>
      <c r="V91" s="499">
        <f t="shared" si="3"/>
        <v>64</v>
      </c>
      <c r="W91" s="498" t="s">
        <v>721</v>
      </c>
      <c r="X91" s="499">
        <v>292.26</v>
      </c>
      <c r="Y91" s="497">
        <v>0</v>
      </c>
      <c r="Z91" s="497">
        <v>0</v>
      </c>
      <c r="AA91" s="497">
        <v>0</v>
      </c>
      <c r="AB91" s="497">
        <f t="shared" si="5"/>
        <v>357.81</v>
      </c>
      <c r="AC91" s="529"/>
    </row>
    <row r="92" spans="1:29" s="127" customFormat="1">
      <c r="A92" s="249" t="s">
        <v>462</v>
      </c>
      <c r="B92" s="250" t="s">
        <v>480</v>
      </c>
      <c r="C92" s="528">
        <v>73554553468</v>
      </c>
      <c r="D92" s="238" t="s">
        <v>864</v>
      </c>
      <c r="E92" s="238">
        <v>2</v>
      </c>
      <c r="F92" s="242" t="s">
        <v>683</v>
      </c>
      <c r="G92" s="241" t="s">
        <v>684</v>
      </c>
      <c r="H92" s="241" t="s">
        <v>633</v>
      </c>
      <c r="I92" s="534">
        <v>137.65</v>
      </c>
      <c r="J92" s="494" t="s">
        <v>633</v>
      </c>
      <c r="K92" s="495">
        <v>157.76</v>
      </c>
      <c r="L92" s="496">
        <v>25.05</v>
      </c>
      <c r="M92" s="495">
        <v>164.16</v>
      </c>
      <c r="N92" s="495">
        <v>2.68</v>
      </c>
      <c r="O92" s="495">
        <v>0</v>
      </c>
      <c r="P92" s="495">
        <f t="shared" si="4"/>
        <v>2.68</v>
      </c>
      <c r="Q92" s="497">
        <f>82.5+30</f>
        <v>112.5</v>
      </c>
      <c r="R92" s="497">
        <v>75.150000000000006</v>
      </c>
      <c r="S92" s="497">
        <v>0</v>
      </c>
      <c r="T92" s="495">
        <v>0</v>
      </c>
      <c r="U92" s="495">
        <v>0</v>
      </c>
      <c r="V92" s="499">
        <v>0</v>
      </c>
      <c r="W92" s="498"/>
      <c r="X92" s="499">
        <v>0</v>
      </c>
      <c r="Y92" s="497">
        <v>0</v>
      </c>
      <c r="Z92" s="497">
        <v>0</v>
      </c>
      <c r="AA92" s="497">
        <v>0</v>
      </c>
      <c r="AB92" s="497">
        <f t="shared" si="5"/>
        <v>304.49</v>
      </c>
      <c r="AC92" s="529"/>
    </row>
    <row r="93" spans="1:29" s="127" customFormat="1">
      <c r="A93" s="249" t="s">
        <v>462</v>
      </c>
      <c r="B93" s="250" t="s">
        <v>480</v>
      </c>
      <c r="C93" s="528">
        <v>90002172453</v>
      </c>
      <c r="D93" s="238" t="s">
        <v>865</v>
      </c>
      <c r="E93" s="238">
        <v>3</v>
      </c>
      <c r="F93" s="244" t="s">
        <v>761</v>
      </c>
      <c r="G93" s="241" t="s">
        <v>684</v>
      </c>
      <c r="H93" s="241" t="s">
        <v>633</v>
      </c>
      <c r="I93" s="534">
        <v>112.66</v>
      </c>
      <c r="J93" s="494" t="s">
        <v>633</v>
      </c>
      <c r="K93" s="495">
        <v>157.76</v>
      </c>
      <c r="L93" s="496">
        <v>22</v>
      </c>
      <c r="M93" s="495">
        <v>164.16</v>
      </c>
      <c r="N93" s="495">
        <v>2.68</v>
      </c>
      <c r="O93" s="495">
        <v>0</v>
      </c>
      <c r="P93" s="495">
        <f t="shared" si="4"/>
        <v>2.68</v>
      </c>
      <c r="Q93" s="497">
        <f>212.4+70.8</f>
        <v>283.2</v>
      </c>
      <c r="R93" s="497">
        <v>66</v>
      </c>
      <c r="S93" s="497">
        <v>0</v>
      </c>
      <c r="T93" s="495">
        <v>0</v>
      </c>
      <c r="U93" s="495">
        <v>0</v>
      </c>
      <c r="V93" s="499">
        <v>0</v>
      </c>
      <c r="W93" s="498"/>
      <c r="X93" s="499">
        <v>0</v>
      </c>
      <c r="Y93" s="497">
        <v>0</v>
      </c>
      <c r="Z93" s="497">
        <v>0</v>
      </c>
      <c r="AA93" s="497">
        <v>0</v>
      </c>
      <c r="AB93" s="497">
        <f t="shared" si="5"/>
        <v>279.5</v>
      </c>
      <c r="AC93" s="529"/>
    </row>
    <row r="94" spans="1:29" s="127" customFormat="1">
      <c r="A94" s="249" t="s">
        <v>462</v>
      </c>
      <c r="B94" s="250" t="s">
        <v>480</v>
      </c>
      <c r="C94" s="528">
        <v>66049890463</v>
      </c>
      <c r="D94" s="238" t="s">
        <v>866</v>
      </c>
      <c r="E94" s="238">
        <v>3</v>
      </c>
      <c r="F94" s="242" t="s">
        <v>719</v>
      </c>
      <c r="G94" s="241" t="s">
        <v>684</v>
      </c>
      <c r="H94" s="241" t="s">
        <v>633</v>
      </c>
      <c r="I94" s="534">
        <v>129.27000000000001</v>
      </c>
      <c r="J94" s="494" t="s">
        <v>633</v>
      </c>
      <c r="K94" s="495">
        <v>157.76</v>
      </c>
      <c r="L94" s="496">
        <v>22</v>
      </c>
      <c r="M94" s="495">
        <v>164.16</v>
      </c>
      <c r="N94" s="495">
        <v>2.68</v>
      </c>
      <c r="O94" s="495">
        <v>0</v>
      </c>
      <c r="P94" s="495">
        <f t="shared" si="4"/>
        <v>2.68</v>
      </c>
      <c r="Q94" s="497">
        <f>212.4+70.8</f>
        <v>283.2</v>
      </c>
      <c r="R94" s="497">
        <v>66</v>
      </c>
      <c r="S94" s="497">
        <v>0</v>
      </c>
      <c r="T94" s="495">
        <v>0</v>
      </c>
      <c r="U94" s="495">
        <v>0</v>
      </c>
      <c r="V94" s="499">
        <f t="shared" si="3"/>
        <v>0</v>
      </c>
      <c r="W94" s="498"/>
      <c r="X94" s="499">
        <v>0</v>
      </c>
      <c r="Y94" s="497">
        <v>0</v>
      </c>
      <c r="Z94" s="497">
        <v>0</v>
      </c>
      <c r="AA94" s="497">
        <v>0</v>
      </c>
      <c r="AB94" s="497">
        <f t="shared" si="5"/>
        <v>296.11</v>
      </c>
      <c r="AC94" s="529"/>
    </row>
    <row r="95" spans="1:29" s="127" customFormat="1">
      <c r="A95" s="249" t="s">
        <v>462</v>
      </c>
      <c r="B95" s="250" t="s">
        <v>480</v>
      </c>
      <c r="C95" s="528">
        <v>40791564487</v>
      </c>
      <c r="D95" s="238" t="s">
        <v>867</v>
      </c>
      <c r="E95" s="238">
        <v>2</v>
      </c>
      <c r="F95" s="242" t="s">
        <v>709</v>
      </c>
      <c r="G95" s="241" t="s">
        <v>684</v>
      </c>
      <c r="H95" s="241" t="s">
        <v>633</v>
      </c>
      <c r="I95" s="534">
        <v>404.78</v>
      </c>
      <c r="J95" s="494" t="s">
        <v>633</v>
      </c>
      <c r="K95" s="495">
        <v>157.76</v>
      </c>
      <c r="L95" s="496">
        <v>2.4300000000000002</v>
      </c>
      <c r="M95" s="495">
        <v>164.16</v>
      </c>
      <c r="N95" s="495">
        <v>5.36</v>
      </c>
      <c r="O95" s="495">
        <v>0</v>
      </c>
      <c r="P95" s="495">
        <f t="shared" si="4"/>
        <v>5.36</v>
      </c>
      <c r="Q95" s="497">
        <v>0</v>
      </c>
      <c r="R95" s="497">
        <v>0</v>
      </c>
      <c r="S95" s="497">
        <v>0</v>
      </c>
      <c r="T95" s="495">
        <v>0</v>
      </c>
      <c r="U95" s="495">
        <v>0</v>
      </c>
      <c r="V95" s="499">
        <f t="shared" si="3"/>
        <v>0</v>
      </c>
      <c r="W95" s="498"/>
      <c r="X95" s="499">
        <v>0</v>
      </c>
      <c r="Y95" s="497">
        <v>0</v>
      </c>
      <c r="Z95" s="497">
        <v>0</v>
      </c>
      <c r="AA95" s="497">
        <v>0</v>
      </c>
      <c r="AB95" s="497">
        <f t="shared" si="5"/>
        <v>574.29999999999995</v>
      </c>
      <c r="AC95" s="529"/>
    </row>
    <row r="96" spans="1:29" s="127" customFormat="1">
      <c r="A96" s="249" t="s">
        <v>462</v>
      </c>
      <c r="B96" s="250" t="s">
        <v>480</v>
      </c>
      <c r="C96" s="528">
        <v>50022440410</v>
      </c>
      <c r="D96" s="238" t="s">
        <v>868</v>
      </c>
      <c r="E96" s="238">
        <v>2</v>
      </c>
      <c r="F96" s="242" t="s">
        <v>683</v>
      </c>
      <c r="G96" s="241" t="s">
        <v>684</v>
      </c>
      <c r="H96" s="241" t="s">
        <v>633</v>
      </c>
      <c r="I96" s="534">
        <v>144.18</v>
      </c>
      <c r="J96" s="494" t="s">
        <v>633</v>
      </c>
      <c r="K96" s="495">
        <v>157.76</v>
      </c>
      <c r="L96" s="496">
        <v>25.05</v>
      </c>
      <c r="M96" s="495">
        <v>164.16</v>
      </c>
      <c r="N96" s="495">
        <v>2.68</v>
      </c>
      <c r="O96" s="495">
        <v>0</v>
      </c>
      <c r="P96" s="495">
        <f t="shared" si="4"/>
        <v>2.68</v>
      </c>
      <c r="Q96" s="497">
        <v>0</v>
      </c>
      <c r="R96" s="497">
        <v>0</v>
      </c>
      <c r="S96" s="497">
        <v>0</v>
      </c>
      <c r="T96" s="495">
        <v>0</v>
      </c>
      <c r="U96" s="495">
        <v>0</v>
      </c>
      <c r="V96" s="495">
        <f t="shared" si="3"/>
        <v>0</v>
      </c>
      <c r="W96" s="498"/>
      <c r="X96" s="499">
        <v>0</v>
      </c>
      <c r="Y96" s="497">
        <v>0</v>
      </c>
      <c r="Z96" s="497">
        <v>0</v>
      </c>
      <c r="AA96" s="497">
        <v>0</v>
      </c>
      <c r="AB96" s="497">
        <f t="shared" si="5"/>
        <v>311.02</v>
      </c>
      <c r="AC96" s="529"/>
    </row>
    <row r="97" spans="1:239" s="127" customFormat="1">
      <c r="A97" s="249" t="s">
        <v>462</v>
      </c>
      <c r="B97" s="250" t="s">
        <v>480</v>
      </c>
      <c r="C97" s="528">
        <v>42713978491</v>
      </c>
      <c r="D97" s="238" t="s">
        <v>869</v>
      </c>
      <c r="E97" s="238">
        <v>2</v>
      </c>
      <c r="F97" s="242" t="s">
        <v>683</v>
      </c>
      <c r="G97" s="241" t="s">
        <v>684</v>
      </c>
      <c r="H97" s="241" t="s">
        <v>633</v>
      </c>
      <c r="I97" s="493">
        <v>117.8</v>
      </c>
      <c r="J97" s="494" t="s">
        <v>633</v>
      </c>
      <c r="K97" s="495">
        <v>157.76</v>
      </c>
      <c r="L97" s="496">
        <v>25.05</v>
      </c>
      <c r="M97" s="495">
        <v>164.16</v>
      </c>
      <c r="N97" s="495">
        <v>2.68</v>
      </c>
      <c r="O97" s="495">
        <v>0</v>
      </c>
      <c r="P97" s="495">
        <f t="shared" si="4"/>
        <v>2.68</v>
      </c>
      <c r="Q97" s="497">
        <f>194.7+70.8</f>
        <v>265.5</v>
      </c>
      <c r="R97" s="497">
        <v>75.150000000000006</v>
      </c>
      <c r="S97" s="497">
        <v>0</v>
      </c>
      <c r="T97" s="495">
        <v>0</v>
      </c>
      <c r="U97" s="495">
        <v>0</v>
      </c>
      <c r="V97" s="495">
        <v>0</v>
      </c>
      <c r="W97" s="498"/>
      <c r="X97" s="499">
        <v>0</v>
      </c>
      <c r="Y97" s="497">
        <v>0</v>
      </c>
      <c r="Z97" s="497">
        <v>0</v>
      </c>
      <c r="AA97" s="497">
        <v>0</v>
      </c>
      <c r="AB97" s="497">
        <f t="shared" si="5"/>
        <v>284.64</v>
      </c>
      <c r="AC97" s="529"/>
      <c r="AE97" s="254"/>
      <c r="AF97" s="254"/>
      <c r="AG97" s="254"/>
      <c r="AH97" s="254"/>
      <c r="AI97" s="254"/>
      <c r="AJ97" s="254"/>
      <c r="AK97" s="254"/>
      <c r="AL97" s="254"/>
      <c r="AM97" s="254"/>
      <c r="AN97" s="254"/>
      <c r="AO97" s="254"/>
      <c r="AP97" s="254"/>
      <c r="AQ97" s="254"/>
      <c r="AR97" s="254"/>
      <c r="AS97" s="254"/>
      <c r="AT97" s="254"/>
      <c r="AU97" s="254"/>
      <c r="AV97" s="254"/>
      <c r="AW97" s="254"/>
      <c r="AX97" s="254"/>
      <c r="AY97" s="254"/>
      <c r="AZ97" s="254"/>
      <c r="BA97" s="254"/>
      <c r="BB97" s="254"/>
      <c r="BC97" s="254"/>
      <c r="BD97" s="254"/>
      <c r="BE97" s="254"/>
      <c r="BF97" s="254"/>
      <c r="BG97" s="254"/>
      <c r="BH97" s="254"/>
      <c r="BI97" s="254"/>
      <c r="BJ97" s="254"/>
      <c r="BK97" s="254"/>
      <c r="BL97" s="254"/>
      <c r="BM97" s="254"/>
      <c r="BN97" s="254"/>
      <c r="BO97" s="254"/>
      <c r="BP97" s="254"/>
      <c r="BQ97" s="254"/>
      <c r="BR97" s="254"/>
      <c r="BS97" s="254"/>
      <c r="BT97" s="254"/>
      <c r="BU97" s="254"/>
      <c r="BV97" s="254"/>
      <c r="BW97" s="254"/>
      <c r="BX97" s="254"/>
      <c r="BY97" s="254"/>
      <c r="BZ97" s="254"/>
      <c r="CA97" s="254"/>
      <c r="CB97" s="254"/>
      <c r="CC97" s="254"/>
      <c r="CD97" s="254"/>
      <c r="CE97" s="254"/>
      <c r="CF97" s="254"/>
      <c r="CG97" s="254"/>
      <c r="CH97" s="254"/>
      <c r="CI97" s="254"/>
      <c r="CJ97" s="254"/>
      <c r="CK97" s="254"/>
      <c r="CL97" s="254"/>
      <c r="CM97" s="254"/>
      <c r="CN97" s="254"/>
      <c r="CO97" s="254"/>
      <c r="CP97" s="254"/>
      <c r="CQ97" s="254"/>
      <c r="CR97" s="254"/>
      <c r="CS97" s="254"/>
      <c r="CT97" s="254"/>
      <c r="CU97" s="254"/>
      <c r="CV97" s="254"/>
      <c r="CW97" s="254"/>
      <c r="CX97" s="254"/>
      <c r="CY97" s="254"/>
      <c r="CZ97" s="254"/>
      <c r="DA97" s="254"/>
      <c r="DB97" s="254"/>
      <c r="DC97" s="254"/>
      <c r="DD97" s="254"/>
      <c r="DE97" s="254"/>
      <c r="DF97" s="254"/>
      <c r="DG97" s="254"/>
      <c r="DH97" s="254"/>
      <c r="DI97" s="254"/>
      <c r="DJ97" s="254"/>
      <c r="DK97" s="254"/>
      <c r="DL97" s="254"/>
      <c r="DM97" s="254"/>
      <c r="DN97" s="254"/>
      <c r="DO97" s="254"/>
      <c r="DP97" s="254"/>
      <c r="DQ97" s="254"/>
      <c r="DR97" s="254"/>
      <c r="DS97" s="254"/>
      <c r="DT97" s="254"/>
      <c r="DU97" s="254"/>
      <c r="DV97" s="254"/>
      <c r="DW97" s="254"/>
      <c r="DX97" s="254"/>
      <c r="DY97" s="254"/>
      <c r="DZ97" s="254"/>
      <c r="EA97" s="254"/>
      <c r="EB97" s="254"/>
      <c r="EC97" s="254"/>
      <c r="ED97" s="254"/>
      <c r="EE97" s="254"/>
      <c r="EF97" s="254"/>
      <c r="EG97" s="254"/>
      <c r="EH97" s="254"/>
      <c r="EI97" s="254"/>
      <c r="EJ97" s="254"/>
      <c r="EK97" s="254"/>
      <c r="EL97" s="254"/>
      <c r="EM97" s="254"/>
      <c r="EN97" s="254"/>
      <c r="EO97" s="254"/>
      <c r="EP97" s="254"/>
      <c r="EQ97" s="254"/>
      <c r="ER97" s="254"/>
      <c r="ES97" s="254"/>
      <c r="ET97" s="254"/>
      <c r="EU97" s="254"/>
      <c r="EV97" s="254"/>
      <c r="EW97" s="254"/>
      <c r="EX97" s="254"/>
      <c r="EY97" s="254"/>
      <c r="EZ97" s="254"/>
      <c r="FA97" s="254"/>
      <c r="FB97" s="254"/>
      <c r="FC97" s="254"/>
      <c r="FD97" s="254"/>
      <c r="FE97" s="254"/>
      <c r="FF97" s="254"/>
      <c r="FG97" s="254"/>
      <c r="FH97" s="254"/>
      <c r="FI97" s="254"/>
      <c r="FJ97" s="254"/>
      <c r="FK97" s="254"/>
      <c r="FL97" s="254"/>
      <c r="FM97" s="254"/>
      <c r="FN97" s="254"/>
      <c r="FO97" s="254"/>
      <c r="FP97" s="254"/>
      <c r="FQ97" s="254"/>
      <c r="FR97" s="254"/>
      <c r="FS97" s="254"/>
      <c r="FT97" s="254"/>
      <c r="FU97" s="254"/>
      <c r="FV97" s="254"/>
      <c r="FW97" s="254"/>
      <c r="FX97" s="254"/>
      <c r="FY97" s="254"/>
      <c r="FZ97" s="254"/>
      <c r="GA97" s="254"/>
      <c r="GB97" s="254"/>
      <c r="GC97" s="254"/>
      <c r="GD97" s="254"/>
      <c r="GE97" s="254"/>
      <c r="GF97" s="254"/>
      <c r="GG97" s="254"/>
      <c r="GH97" s="254"/>
      <c r="GI97" s="254"/>
      <c r="GJ97" s="254"/>
      <c r="GK97" s="254"/>
      <c r="GL97" s="254"/>
      <c r="GM97" s="254"/>
      <c r="GN97" s="254"/>
      <c r="GO97" s="254"/>
      <c r="GP97" s="254"/>
      <c r="GQ97" s="254"/>
      <c r="GR97" s="254"/>
      <c r="GS97" s="254"/>
      <c r="GT97" s="254"/>
      <c r="GU97" s="254"/>
      <c r="GV97" s="254"/>
      <c r="GW97" s="254"/>
      <c r="GX97" s="254"/>
      <c r="GY97" s="254"/>
      <c r="GZ97" s="254"/>
      <c r="HA97" s="254"/>
      <c r="HB97" s="254"/>
      <c r="HC97" s="254"/>
      <c r="HD97" s="254"/>
      <c r="HE97" s="254"/>
      <c r="HF97" s="254"/>
      <c r="HG97" s="254"/>
      <c r="HH97" s="254"/>
      <c r="HI97" s="254"/>
      <c r="HJ97" s="254"/>
      <c r="HK97" s="254"/>
      <c r="HL97" s="254"/>
      <c r="HM97" s="254"/>
      <c r="HN97" s="254"/>
      <c r="HO97" s="254"/>
      <c r="HP97" s="254"/>
      <c r="HQ97" s="254"/>
      <c r="HR97" s="254"/>
      <c r="HS97" s="254"/>
      <c r="HT97" s="254"/>
      <c r="HU97" s="254"/>
      <c r="HV97" s="254"/>
      <c r="HW97" s="254"/>
      <c r="HX97" s="254"/>
      <c r="HY97" s="254"/>
      <c r="HZ97" s="254"/>
      <c r="IA97" s="254"/>
      <c r="IB97" s="254"/>
      <c r="IC97" s="254"/>
      <c r="ID97" s="254"/>
      <c r="IE97" s="254"/>
    </row>
    <row r="98" spans="1:239" s="127" customFormat="1">
      <c r="A98" s="249" t="s">
        <v>462</v>
      </c>
      <c r="B98" s="250" t="s">
        <v>480</v>
      </c>
      <c r="C98" s="528">
        <v>97586390487</v>
      </c>
      <c r="D98" s="238" t="s">
        <v>870</v>
      </c>
      <c r="E98" s="238">
        <v>2</v>
      </c>
      <c r="F98" s="242" t="s">
        <v>683</v>
      </c>
      <c r="G98" s="241" t="s">
        <v>684</v>
      </c>
      <c r="H98" s="241" t="s">
        <v>633</v>
      </c>
      <c r="I98" s="534">
        <v>140.21</v>
      </c>
      <c r="J98" s="494" t="s">
        <v>633</v>
      </c>
      <c r="K98" s="495">
        <v>157.76</v>
      </c>
      <c r="L98" s="496">
        <v>25.05</v>
      </c>
      <c r="M98" s="495">
        <v>164.16</v>
      </c>
      <c r="N98" s="495">
        <v>2.68</v>
      </c>
      <c r="O98" s="495">
        <v>0</v>
      </c>
      <c r="P98" s="495">
        <f t="shared" si="4"/>
        <v>2.68</v>
      </c>
      <c r="Q98" s="497">
        <f>90+30</f>
        <v>120</v>
      </c>
      <c r="R98" s="497">
        <v>75.150000000000006</v>
      </c>
      <c r="S98" s="497">
        <v>0</v>
      </c>
      <c r="T98" s="495">
        <v>0</v>
      </c>
      <c r="U98" s="495">
        <v>0</v>
      </c>
      <c r="V98" s="495">
        <f t="shared" si="3"/>
        <v>0</v>
      </c>
      <c r="W98" s="498"/>
      <c r="X98" s="499">
        <v>0</v>
      </c>
      <c r="Y98" s="497">
        <v>0</v>
      </c>
      <c r="Z98" s="497">
        <v>0</v>
      </c>
      <c r="AA98" s="497">
        <v>0</v>
      </c>
      <c r="AB98" s="497">
        <f t="shared" si="5"/>
        <v>307.05</v>
      </c>
      <c r="AC98" s="529"/>
    </row>
    <row r="99" spans="1:239" s="127" customFormat="1">
      <c r="A99" s="249" t="s">
        <v>462</v>
      </c>
      <c r="B99" s="250" t="s">
        <v>480</v>
      </c>
      <c r="C99" s="528" t="s">
        <v>871</v>
      </c>
      <c r="D99" s="238" t="s">
        <v>872</v>
      </c>
      <c r="E99" s="238">
        <v>2</v>
      </c>
      <c r="F99" s="244" t="s">
        <v>740</v>
      </c>
      <c r="G99" s="241" t="s">
        <v>684</v>
      </c>
      <c r="H99" s="241" t="s">
        <v>633</v>
      </c>
      <c r="I99" s="534">
        <v>349.97</v>
      </c>
      <c r="J99" s="494" t="s">
        <v>633</v>
      </c>
      <c r="K99" s="495">
        <v>157.76</v>
      </c>
      <c r="L99" s="496">
        <v>16.05</v>
      </c>
      <c r="M99" s="495">
        <v>164.16</v>
      </c>
      <c r="N99" s="495">
        <v>2.68</v>
      </c>
      <c r="O99" s="495">
        <v>0</v>
      </c>
      <c r="P99" s="495">
        <f t="shared" si="4"/>
        <v>2.68</v>
      </c>
      <c r="Q99" s="497">
        <v>0</v>
      </c>
      <c r="R99" s="497">
        <v>0</v>
      </c>
      <c r="S99" s="497">
        <v>0</v>
      </c>
      <c r="T99" s="495">
        <v>0</v>
      </c>
      <c r="U99" s="495">
        <v>0</v>
      </c>
      <c r="V99" s="495">
        <f t="shared" si="3"/>
        <v>0</v>
      </c>
      <c r="W99" s="498"/>
      <c r="X99" s="499">
        <v>0</v>
      </c>
      <c r="Y99" s="497">
        <v>0</v>
      </c>
      <c r="Z99" s="497">
        <v>0</v>
      </c>
      <c r="AA99" s="497">
        <v>0</v>
      </c>
      <c r="AB99" s="497">
        <f t="shared" si="5"/>
        <v>516.81000000000006</v>
      </c>
      <c r="AC99" s="529"/>
    </row>
    <row r="100" spans="1:239" s="127" customFormat="1">
      <c r="A100" s="249" t="s">
        <v>462</v>
      </c>
      <c r="B100" s="250" t="s">
        <v>480</v>
      </c>
      <c r="C100" s="528">
        <v>86334050400</v>
      </c>
      <c r="D100" s="238" t="s">
        <v>873</v>
      </c>
      <c r="E100" s="238">
        <v>2</v>
      </c>
      <c r="F100" s="244" t="s">
        <v>874</v>
      </c>
      <c r="G100" s="241" t="s">
        <v>684</v>
      </c>
      <c r="H100" s="241" t="s">
        <v>633</v>
      </c>
      <c r="I100" s="534">
        <f>122.48+27.65</f>
        <v>150.13</v>
      </c>
      <c r="J100" s="494" t="s">
        <v>633</v>
      </c>
      <c r="K100" s="495">
        <v>157.76</v>
      </c>
      <c r="L100" s="496">
        <v>24.85</v>
      </c>
      <c r="M100" s="495">
        <v>164.16</v>
      </c>
      <c r="N100" s="495">
        <v>2.68</v>
      </c>
      <c r="O100" s="495">
        <v>0</v>
      </c>
      <c r="P100" s="495">
        <f t="shared" si="4"/>
        <v>2.68</v>
      </c>
      <c r="Q100" s="497">
        <v>0</v>
      </c>
      <c r="R100" s="497">
        <v>0</v>
      </c>
      <c r="S100" s="497">
        <v>0</v>
      </c>
      <c r="T100" s="495">
        <v>0</v>
      </c>
      <c r="U100" s="495">
        <v>0</v>
      </c>
      <c r="V100" s="495">
        <f t="shared" si="3"/>
        <v>0</v>
      </c>
      <c r="W100" s="498"/>
      <c r="X100" s="499">
        <v>0</v>
      </c>
      <c r="Y100" s="497">
        <v>0</v>
      </c>
      <c r="Z100" s="497">
        <v>0</v>
      </c>
      <c r="AA100" s="497">
        <v>0</v>
      </c>
      <c r="AB100" s="497">
        <f t="shared" si="5"/>
        <v>316.97000000000003</v>
      </c>
      <c r="AC100" s="529"/>
    </row>
    <row r="101" spans="1:239" s="127" customFormat="1">
      <c r="A101" s="249" t="s">
        <v>462</v>
      </c>
      <c r="B101" s="250" t="s">
        <v>480</v>
      </c>
      <c r="C101" s="528" t="s">
        <v>875</v>
      </c>
      <c r="D101" s="238" t="s">
        <v>876</v>
      </c>
      <c r="E101" s="238">
        <v>3</v>
      </c>
      <c r="F101" s="244" t="s">
        <v>772</v>
      </c>
      <c r="G101" s="241" t="s">
        <v>684</v>
      </c>
      <c r="H101" s="241" t="s">
        <v>633</v>
      </c>
      <c r="I101" s="534">
        <v>334.25</v>
      </c>
      <c r="J101" s="494" t="s">
        <v>633</v>
      </c>
      <c r="K101" s="495">
        <v>157.76</v>
      </c>
      <c r="L101" s="496">
        <v>67.81</v>
      </c>
      <c r="M101" s="495">
        <v>164.16</v>
      </c>
      <c r="N101" s="495">
        <v>2.68</v>
      </c>
      <c r="O101" s="495">
        <v>0</v>
      </c>
      <c r="P101" s="495">
        <f t="shared" si="4"/>
        <v>2.68</v>
      </c>
      <c r="Q101" s="497">
        <v>0</v>
      </c>
      <c r="R101" s="497">
        <v>0</v>
      </c>
      <c r="S101" s="497">
        <v>0</v>
      </c>
      <c r="T101" s="495">
        <v>0</v>
      </c>
      <c r="U101" s="495">
        <v>0</v>
      </c>
      <c r="V101" s="495">
        <f t="shared" si="3"/>
        <v>0</v>
      </c>
      <c r="W101" s="498"/>
      <c r="X101" s="499">
        <v>0</v>
      </c>
      <c r="Y101" s="497">
        <v>0</v>
      </c>
      <c r="Z101" s="497">
        <v>0</v>
      </c>
      <c r="AA101" s="497">
        <v>0</v>
      </c>
      <c r="AB101" s="497">
        <f t="shared" si="5"/>
        <v>501.09000000000003</v>
      </c>
      <c r="AC101" s="529"/>
    </row>
    <row r="102" spans="1:239" s="127" customFormat="1">
      <c r="A102" s="249" t="s">
        <v>462</v>
      </c>
      <c r="B102" s="250" t="s">
        <v>480</v>
      </c>
      <c r="C102" s="528" t="s">
        <v>877</v>
      </c>
      <c r="D102" s="238" t="s">
        <v>878</v>
      </c>
      <c r="E102" s="238">
        <v>3</v>
      </c>
      <c r="F102" s="242" t="s">
        <v>723</v>
      </c>
      <c r="G102" s="241" t="s">
        <v>684</v>
      </c>
      <c r="H102" s="241" t="s">
        <v>633</v>
      </c>
      <c r="I102" s="534">
        <v>111.28</v>
      </c>
      <c r="J102" s="494" t="s">
        <v>633</v>
      </c>
      <c r="K102" s="495">
        <v>157.76</v>
      </c>
      <c r="L102" s="496">
        <v>22</v>
      </c>
      <c r="M102" s="495">
        <v>164.16</v>
      </c>
      <c r="N102" s="495">
        <v>2.68</v>
      </c>
      <c r="O102" s="495">
        <v>0</v>
      </c>
      <c r="P102" s="495">
        <f t="shared" si="4"/>
        <v>2.68</v>
      </c>
      <c r="Q102" s="497">
        <v>0</v>
      </c>
      <c r="R102" s="497">
        <v>0</v>
      </c>
      <c r="S102" s="497">
        <v>0</v>
      </c>
      <c r="T102" s="495">
        <v>0</v>
      </c>
      <c r="U102" s="495">
        <v>0</v>
      </c>
      <c r="V102" s="495">
        <v>151.52000000000001</v>
      </c>
      <c r="W102" s="498" t="s">
        <v>746</v>
      </c>
      <c r="X102" s="499">
        <v>0</v>
      </c>
      <c r="Y102" s="497">
        <v>0</v>
      </c>
      <c r="Z102" s="497">
        <v>0</v>
      </c>
      <c r="AA102" s="497">
        <v>0</v>
      </c>
      <c r="AB102" s="497">
        <f t="shared" si="5"/>
        <v>429.64</v>
      </c>
      <c r="AC102" s="529"/>
    </row>
    <row r="103" spans="1:239" s="127" customFormat="1">
      <c r="A103" s="249" t="s">
        <v>462</v>
      </c>
      <c r="B103" s="250" t="s">
        <v>480</v>
      </c>
      <c r="C103" s="528" t="s">
        <v>879</v>
      </c>
      <c r="D103" s="238" t="s">
        <v>880</v>
      </c>
      <c r="E103" s="238">
        <v>2</v>
      </c>
      <c r="F103" s="242" t="s">
        <v>709</v>
      </c>
      <c r="G103" s="241" t="s">
        <v>684</v>
      </c>
      <c r="H103" s="241" t="s">
        <v>633</v>
      </c>
      <c r="I103" s="534">
        <v>192.34</v>
      </c>
      <c r="J103" s="494" t="s">
        <v>633</v>
      </c>
      <c r="K103" s="495">
        <v>157.76</v>
      </c>
      <c r="L103" s="496">
        <v>2.4300000000000002</v>
      </c>
      <c r="M103" s="495">
        <v>164.16</v>
      </c>
      <c r="N103" s="495">
        <v>5.36</v>
      </c>
      <c r="O103" s="495">
        <v>0</v>
      </c>
      <c r="P103" s="495">
        <f t="shared" si="4"/>
        <v>5.36</v>
      </c>
      <c r="Q103" s="497">
        <v>0</v>
      </c>
      <c r="R103" s="497">
        <v>0</v>
      </c>
      <c r="S103" s="497">
        <v>0</v>
      </c>
      <c r="T103" s="495">
        <v>0</v>
      </c>
      <c r="U103" s="495">
        <v>0</v>
      </c>
      <c r="V103" s="495">
        <f t="shared" si="3"/>
        <v>0</v>
      </c>
      <c r="W103" s="498"/>
      <c r="X103" s="499">
        <v>0</v>
      </c>
      <c r="Y103" s="497">
        <v>0</v>
      </c>
      <c r="Z103" s="497">
        <v>0</v>
      </c>
      <c r="AA103" s="497">
        <v>0</v>
      </c>
      <c r="AB103" s="497">
        <f t="shared" si="5"/>
        <v>361.86</v>
      </c>
      <c r="AC103" s="529"/>
    </row>
    <row r="104" spans="1:239" s="127" customFormat="1">
      <c r="A104" s="249" t="s">
        <v>462</v>
      </c>
      <c r="B104" s="250" t="s">
        <v>480</v>
      </c>
      <c r="C104" s="528" t="s">
        <v>881</v>
      </c>
      <c r="D104" s="238" t="s">
        <v>882</v>
      </c>
      <c r="E104" s="238">
        <v>3</v>
      </c>
      <c r="F104" s="242" t="s">
        <v>723</v>
      </c>
      <c r="G104" s="241" t="s">
        <v>684</v>
      </c>
      <c r="H104" s="241" t="s">
        <v>633</v>
      </c>
      <c r="I104" s="534">
        <v>130.66</v>
      </c>
      <c r="J104" s="494" t="s">
        <v>633</v>
      </c>
      <c r="K104" s="495">
        <v>157.76</v>
      </c>
      <c r="L104" s="496">
        <v>22</v>
      </c>
      <c r="M104" s="495">
        <v>164.16</v>
      </c>
      <c r="N104" s="495">
        <v>2.68</v>
      </c>
      <c r="O104" s="495">
        <v>0</v>
      </c>
      <c r="P104" s="495">
        <f t="shared" si="4"/>
        <v>2.68</v>
      </c>
      <c r="Q104" s="497">
        <v>0</v>
      </c>
      <c r="R104" s="497">
        <v>0</v>
      </c>
      <c r="S104" s="497">
        <v>0</v>
      </c>
      <c r="T104" s="495">
        <v>64</v>
      </c>
      <c r="U104" s="495">
        <v>0</v>
      </c>
      <c r="V104" s="495">
        <f t="shared" si="3"/>
        <v>64</v>
      </c>
      <c r="W104" s="498" t="s">
        <v>762</v>
      </c>
      <c r="X104" s="499">
        <v>0</v>
      </c>
      <c r="Y104" s="497">
        <v>0</v>
      </c>
      <c r="Z104" s="497">
        <v>0</v>
      </c>
      <c r="AA104" s="497">
        <v>0</v>
      </c>
      <c r="AB104" s="497">
        <f t="shared" si="5"/>
        <v>361.5</v>
      </c>
      <c r="AC104" s="529"/>
    </row>
    <row r="105" spans="1:239" s="127" customFormat="1">
      <c r="A105" s="249" t="s">
        <v>462</v>
      </c>
      <c r="B105" s="250" t="s">
        <v>480</v>
      </c>
      <c r="C105" s="528" t="s">
        <v>883</v>
      </c>
      <c r="D105" s="238" t="s">
        <v>884</v>
      </c>
      <c r="E105" s="238">
        <v>2</v>
      </c>
      <c r="F105" s="242" t="s">
        <v>683</v>
      </c>
      <c r="G105" s="241" t="s">
        <v>684</v>
      </c>
      <c r="H105" s="241" t="s">
        <v>633</v>
      </c>
      <c r="I105" s="493">
        <v>117.8</v>
      </c>
      <c r="J105" s="494" t="s">
        <v>633</v>
      </c>
      <c r="K105" s="495">
        <v>157.76</v>
      </c>
      <c r="L105" s="496">
        <v>25.05</v>
      </c>
      <c r="M105" s="495">
        <v>164.16</v>
      </c>
      <c r="N105" s="495">
        <v>2.68</v>
      </c>
      <c r="O105" s="495">
        <v>0</v>
      </c>
      <c r="P105" s="495">
        <f t="shared" si="4"/>
        <v>2.68</v>
      </c>
      <c r="Q105" s="497">
        <f>122.4+40.8</f>
        <v>163.19999999999999</v>
      </c>
      <c r="R105" s="497">
        <v>75.150000000000006</v>
      </c>
      <c r="S105" s="497">
        <v>0</v>
      </c>
      <c r="T105" s="495">
        <v>0</v>
      </c>
      <c r="U105" s="495">
        <v>0</v>
      </c>
      <c r="V105" s="495">
        <f t="shared" si="3"/>
        <v>0</v>
      </c>
      <c r="W105" s="498"/>
      <c r="X105" s="499">
        <v>0</v>
      </c>
      <c r="Y105" s="497">
        <v>0</v>
      </c>
      <c r="Z105" s="497">
        <v>0</v>
      </c>
      <c r="AA105" s="497">
        <v>0</v>
      </c>
      <c r="AB105" s="497">
        <f t="shared" si="5"/>
        <v>284.64</v>
      </c>
      <c r="AC105" s="529"/>
    </row>
    <row r="106" spans="1:239" s="127" customFormat="1">
      <c r="A106" s="249" t="s">
        <v>462</v>
      </c>
      <c r="B106" s="250" t="s">
        <v>480</v>
      </c>
      <c r="C106" s="528" t="s">
        <v>885</v>
      </c>
      <c r="D106" s="238" t="s">
        <v>886</v>
      </c>
      <c r="E106" s="238">
        <v>3</v>
      </c>
      <c r="F106" s="242" t="s">
        <v>887</v>
      </c>
      <c r="G106" s="241" t="s">
        <v>684</v>
      </c>
      <c r="H106" s="241" t="s">
        <v>633</v>
      </c>
      <c r="I106" s="534">
        <v>231.45</v>
      </c>
      <c r="J106" s="494" t="s">
        <v>633</v>
      </c>
      <c r="K106" s="495">
        <v>157.76</v>
      </c>
      <c r="L106" s="496">
        <v>51.75</v>
      </c>
      <c r="M106" s="495">
        <v>164.16</v>
      </c>
      <c r="N106" s="495">
        <v>2.68</v>
      </c>
      <c r="O106" s="495">
        <v>0</v>
      </c>
      <c r="P106" s="495">
        <f t="shared" si="4"/>
        <v>2.68</v>
      </c>
      <c r="Q106" s="497">
        <v>0</v>
      </c>
      <c r="R106" s="497">
        <v>0</v>
      </c>
      <c r="S106" s="497">
        <v>0</v>
      </c>
      <c r="T106" s="495">
        <v>0</v>
      </c>
      <c r="U106" s="495">
        <v>0</v>
      </c>
      <c r="V106" s="495">
        <f t="shared" si="3"/>
        <v>0</v>
      </c>
      <c r="W106" s="498"/>
      <c r="X106" s="499">
        <v>0</v>
      </c>
      <c r="Y106" s="497">
        <v>0</v>
      </c>
      <c r="Z106" s="497">
        <v>0</v>
      </c>
      <c r="AA106" s="497">
        <v>0</v>
      </c>
      <c r="AB106" s="497">
        <f t="shared" si="5"/>
        <v>398.28999999999996</v>
      </c>
      <c r="AC106" s="529"/>
    </row>
    <row r="107" spans="1:239" s="127" customFormat="1">
      <c r="A107" s="249" t="s">
        <v>462</v>
      </c>
      <c r="B107" s="250" t="s">
        <v>480</v>
      </c>
      <c r="C107" s="528" t="s">
        <v>888</v>
      </c>
      <c r="D107" s="238" t="s">
        <v>889</v>
      </c>
      <c r="E107" s="238">
        <v>2</v>
      </c>
      <c r="F107" s="242" t="s">
        <v>697</v>
      </c>
      <c r="G107" s="241" t="s">
        <v>684</v>
      </c>
      <c r="H107" s="241" t="s">
        <v>633</v>
      </c>
      <c r="I107" s="534">
        <v>274.41000000000003</v>
      </c>
      <c r="J107" s="494" t="s">
        <v>633</v>
      </c>
      <c r="K107" s="495">
        <v>157.76</v>
      </c>
      <c r="L107" s="496">
        <v>0</v>
      </c>
      <c r="M107" s="495">
        <v>164.16</v>
      </c>
      <c r="N107" s="495">
        <v>4.3600000000000003</v>
      </c>
      <c r="O107" s="495">
        <v>0</v>
      </c>
      <c r="P107" s="495">
        <f t="shared" si="4"/>
        <v>4.3600000000000003</v>
      </c>
      <c r="Q107" s="497">
        <v>0</v>
      </c>
      <c r="R107" s="497">
        <v>0</v>
      </c>
      <c r="S107" s="497">
        <v>0</v>
      </c>
      <c r="T107" s="495">
        <v>0</v>
      </c>
      <c r="U107" s="495">
        <v>0</v>
      </c>
      <c r="V107" s="495">
        <f t="shared" si="3"/>
        <v>0</v>
      </c>
      <c r="W107" s="498"/>
      <c r="X107" s="499">
        <v>0</v>
      </c>
      <c r="Y107" s="497">
        <v>0</v>
      </c>
      <c r="Z107" s="497">
        <v>0</v>
      </c>
      <c r="AA107" s="497">
        <v>0</v>
      </c>
      <c r="AB107" s="497">
        <f t="shared" si="5"/>
        <v>442.93000000000006</v>
      </c>
      <c r="AC107" s="529"/>
    </row>
    <row r="108" spans="1:239" s="127" customFormat="1">
      <c r="A108" s="249" t="s">
        <v>462</v>
      </c>
      <c r="B108" s="250" t="s">
        <v>480</v>
      </c>
      <c r="C108" s="528" t="s">
        <v>890</v>
      </c>
      <c r="D108" s="238" t="s">
        <v>891</v>
      </c>
      <c r="E108" s="238">
        <v>2</v>
      </c>
      <c r="F108" s="242" t="s">
        <v>709</v>
      </c>
      <c r="G108" s="241" t="s">
        <v>684</v>
      </c>
      <c r="H108" s="241" t="s">
        <v>633</v>
      </c>
      <c r="I108" s="534">
        <v>165.43</v>
      </c>
      <c r="J108" s="494" t="s">
        <v>633</v>
      </c>
      <c r="K108" s="495">
        <v>157.76</v>
      </c>
      <c r="L108" s="496">
        <v>2.4300000000000002</v>
      </c>
      <c r="M108" s="495">
        <v>164.16</v>
      </c>
      <c r="N108" s="495">
        <v>5.36</v>
      </c>
      <c r="O108" s="495">
        <v>0</v>
      </c>
      <c r="P108" s="495">
        <f t="shared" si="4"/>
        <v>5.36</v>
      </c>
      <c r="Q108" s="497">
        <f>102+51</f>
        <v>153</v>
      </c>
      <c r="R108" s="497">
        <v>106.31</v>
      </c>
      <c r="S108" s="497">
        <v>0</v>
      </c>
      <c r="T108" s="495">
        <v>0</v>
      </c>
      <c r="U108" s="495">
        <v>0</v>
      </c>
      <c r="V108" s="495">
        <f t="shared" si="3"/>
        <v>0</v>
      </c>
      <c r="W108" s="498"/>
      <c r="X108" s="499">
        <v>0</v>
      </c>
      <c r="Y108" s="497">
        <v>0</v>
      </c>
      <c r="Z108" s="497">
        <v>0</v>
      </c>
      <c r="AA108" s="497">
        <v>0</v>
      </c>
      <c r="AB108" s="497">
        <f t="shared" si="5"/>
        <v>334.95000000000005</v>
      </c>
      <c r="AC108" s="529"/>
    </row>
    <row r="109" spans="1:239" s="127" customFormat="1">
      <c r="A109" s="249" t="s">
        <v>462</v>
      </c>
      <c r="B109" s="250" t="s">
        <v>480</v>
      </c>
      <c r="C109" s="528" t="s">
        <v>892</v>
      </c>
      <c r="D109" s="238" t="s">
        <v>893</v>
      </c>
      <c r="E109" s="238">
        <v>3</v>
      </c>
      <c r="F109" s="242" t="s">
        <v>723</v>
      </c>
      <c r="G109" s="241" t="s">
        <v>684</v>
      </c>
      <c r="H109" s="241" t="s">
        <v>633</v>
      </c>
      <c r="I109" s="534">
        <v>109.89</v>
      </c>
      <c r="J109" s="494" t="s">
        <v>633</v>
      </c>
      <c r="K109" s="495">
        <v>157.76</v>
      </c>
      <c r="L109" s="496">
        <v>22</v>
      </c>
      <c r="M109" s="495">
        <v>164.16</v>
      </c>
      <c r="N109" s="495">
        <v>2.68</v>
      </c>
      <c r="O109" s="495">
        <v>0</v>
      </c>
      <c r="P109" s="495">
        <f t="shared" si="4"/>
        <v>2.68</v>
      </c>
      <c r="Q109" s="497">
        <f>212.4+70.8</f>
        <v>283.2</v>
      </c>
      <c r="R109" s="497">
        <v>66</v>
      </c>
      <c r="S109" s="497">
        <v>0</v>
      </c>
      <c r="T109" s="495">
        <v>0</v>
      </c>
      <c r="U109" s="495">
        <v>0</v>
      </c>
      <c r="V109" s="495">
        <f t="shared" si="3"/>
        <v>0</v>
      </c>
      <c r="W109" s="498"/>
      <c r="X109" s="499">
        <v>0</v>
      </c>
      <c r="Y109" s="497">
        <v>0</v>
      </c>
      <c r="Z109" s="497">
        <v>0</v>
      </c>
      <c r="AA109" s="497">
        <v>0</v>
      </c>
      <c r="AB109" s="497">
        <f t="shared" si="5"/>
        <v>276.73</v>
      </c>
      <c r="AC109" s="529"/>
    </row>
    <row r="110" spans="1:239" s="127" customFormat="1">
      <c r="A110" s="249" t="s">
        <v>462</v>
      </c>
      <c r="B110" s="250" t="s">
        <v>480</v>
      </c>
      <c r="C110" s="528" t="s">
        <v>894</v>
      </c>
      <c r="D110" s="238" t="s">
        <v>895</v>
      </c>
      <c r="E110" s="238">
        <v>3</v>
      </c>
      <c r="F110" s="242" t="s">
        <v>689</v>
      </c>
      <c r="G110" s="241" t="s">
        <v>684</v>
      </c>
      <c r="H110" s="241" t="s">
        <v>633</v>
      </c>
      <c r="I110" s="534">
        <v>109.89</v>
      </c>
      <c r="J110" s="494" t="s">
        <v>633</v>
      </c>
      <c r="K110" s="495">
        <v>157.76</v>
      </c>
      <c r="L110" s="496">
        <v>22</v>
      </c>
      <c r="M110" s="495">
        <v>164.16</v>
      </c>
      <c r="N110" s="495">
        <v>2.68</v>
      </c>
      <c r="O110" s="495">
        <v>0</v>
      </c>
      <c r="P110" s="495">
        <v>2.68</v>
      </c>
      <c r="Q110" s="497">
        <v>0</v>
      </c>
      <c r="R110" s="497">
        <v>0</v>
      </c>
      <c r="S110" s="497">
        <v>0</v>
      </c>
      <c r="T110" s="495">
        <v>0</v>
      </c>
      <c r="U110" s="495">
        <v>0</v>
      </c>
      <c r="V110" s="495">
        <f t="shared" si="3"/>
        <v>0</v>
      </c>
      <c r="W110" s="498"/>
      <c r="X110" s="499">
        <v>0</v>
      </c>
      <c r="Y110" s="497">
        <v>0</v>
      </c>
      <c r="Z110" s="497">
        <v>0</v>
      </c>
      <c r="AA110" s="497">
        <v>0</v>
      </c>
      <c r="AB110" s="497">
        <f t="shared" si="5"/>
        <v>276.73</v>
      </c>
      <c r="AC110" s="529"/>
      <c r="AE110" s="254"/>
      <c r="AF110" s="254"/>
      <c r="AG110" s="254"/>
      <c r="AH110" s="254"/>
      <c r="AI110" s="254"/>
      <c r="AJ110" s="254"/>
      <c r="AK110" s="254"/>
      <c r="AL110" s="254"/>
      <c r="AM110" s="254"/>
      <c r="AN110" s="254"/>
      <c r="AO110" s="254"/>
      <c r="AP110" s="254"/>
      <c r="AQ110" s="254"/>
      <c r="AR110" s="254"/>
      <c r="AS110" s="254"/>
      <c r="AT110" s="254"/>
      <c r="AU110" s="254"/>
      <c r="AV110" s="254"/>
      <c r="AW110" s="254"/>
      <c r="AX110" s="254"/>
      <c r="AY110" s="254"/>
      <c r="AZ110" s="254"/>
      <c r="BA110" s="254"/>
      <c r="BB110" s="254"/>
      <c r="BC110" s="254"/>
      <c r="BD110" s="254"/>
      <c r="BE110" s="254"/>
      <c r="BF110" s="254"/>
      <c r="BG110" s="254"/>
      <c r="BH110" s="254"/>
      <c r="BI110" s="254"/>
      <c r="BJ110" s="254"/>
      <c r="BK110" s="254"/>
      <c r="BL110" s="254"/>
      <c r="BM110" s="254"/>
      <c r="BN110" s="254"/>
      <c r="BO110" s="254"/>
      <c r="BP110" s="254"/>
      <c r="BQ110" s="254"/>
      <c r="BR110" s="254"/>
      <c r="BS110" s="254"/>
      <c r="BT110" s="254"/>
      <c r="BU110" s="254"/>
      <c r="BV110" s="254"/>
      <c r="BW110" s="254"/>
      <c r="BX110" s="254"/>
      <c r="BY110" s="254"/>
      <c r="BZ110" s="254"/>
      <c r="CA110" s="254"/>
      <c r="CB110" s="254"/>
      <c r="CC110" s="254"/>
      <c r="CD110" s="254"/>
      <c r="CE110" s="254"/>
      <c r="CF110" s="254"/>
      <c r="CG110" s="254"/>
      <c r="CH110" s="254"/>
      <c r="CI110" s="254"/>
      <c r="CJ110" s="254"/>
      <c r="CK110" s="254"/>
      <c r="CL110" s="254"/>
      <c r="CM110" s="254"/>
      <c r="CN110" s="254"/>
      <c r="CO110" s="254"/>
      <c r="CP110" s="254"/>
      <c r="CQ110" s="254"/>
      <c r="CR110" s="254"/>
      <c r="CS110" s="254"/>
      <c r="CT110" s="254"/>
      <c r="CU110" s="254"/>
      <c r="CV110" s="254"/>
      <c r="CW110" s="254"/>
      <c r="CX110" s="254"/>
      <c r="CY110" s="254"/>
      <c r="CZ110" s="254"/>
      <c r="DA110" s="254"/>
      <c r="DB110" s="254"/>
      <c r="DC110" s="254"/>
      <c r="DD110" s="254"/>
      <c r="DE110" s="254"/>
      <c r="DF110" s="254"/>
      <c r="DG110" s="254"/>
      <c r="DH110" s="254"/>
      <c r="DI110" s="254"/>
      <c r="DJ110" s="254"/>
      <c r="DK110" s="254"/>
      <c r="DL110" s="254"/>
      <c r="DM110" s="254"/>
      <c r="DN110" s="254"/>
      <c r="DO110" s="254"/>
      <c r="DP110" s="254"/>
      <c r="DQ110" s="254"/>
      <c r="DR110" s="254"/>
      <c r="DS110" s="254"/>
      <c r="DT110" s="254"/>
      <c r="DU110" s="254"/>
      <c r="DV110" s="254"/>
      <c r="DW110" s="254"/>
      <c r="DX110" s="254"/>
      <c r="DY110" s="254"/>
      <c r="DZ110" s="254"/>
      <c r="EA110" s="254"/>
      <c r="EB110" s="254"/>
      <c r="EC110" s="254"/>
      <c r="ED110" s="254"/>
      <c r="EE110" s="254"/>
      <c r="EF110" s="254"/>
      <c r="EG110" s="254"/>
      <c r="EH110" s="254"/>
      <c r="EI110" s="254"/>
      <c r="EJ110" s="254"/>
      <c r="EK110" s="254"/>
      <c r="EL110" s="254"/>
      <c r="EM110" s="254"/>
      <c r="EN110" s="254"/>
      <c r="EO110" s="254"/>
      <c r="EP110" s="254"/>
      <c r="EQ110" s="254"/>
      <c r="ER110" s="254"/>
      <c r="ES110" s="254"/>
      <c r="ET110" s="254"/>
      <c r="EU110" s="254"/>
      <c r="EV110" s="254"/>
      <c r="EW110" s="254"/>
      <c r="EX110" s="254"/>
      <c r="EY110" s="254"/>
      <c r="EZ110" s="254"/>
      <c r="FA110" s="254"/>
      <c r="FB110" s="254"/>
      <c r="FC110" s="254"/>
      <c r="FD110" s="254"/>
      <c r="FE110" s="254"/>
      <c r="FF110" s="254"/>
      <c r="FG110" s="254"/>
      <c r="FH110" s="254"/>
      <c r="FI110" s="254"/>
      <c r="FJ110" s="254"/>
      <c r="FK110" s="254"/>
      <c r="FL110" s="254"/>
      <c r="FM110" s="254"/>
      <c r="FN110" s="254"/>
      <c r="FO110" s="254"/>
      <c r="FP110" s="254"/>
      <c r="FQ110" s="254"/>
      <c r="FR110" s="254"/>
      <c r="FS110" s="254"/>
      <c r="FT110" s="254"/>
      <c r="FU110" s="254"/>
      <c r="FV110" s="254"/>
      <c r="FW110" s="254"/>
      <c r="FX110" s="254"/>
      <c r="FY110" s="254"/>
      <c r="FZ110" s="254"/>
      <c r="GA110" s="254"/>
      <c r="GB110" s="254"/>
      <c r="GC110" s="254"/>
      <c r="GD110" s="254"/>
      <c r="GE110" s="254"/>
      <c r="GF110" s="254"/>
      <c r="GG110" s="254"/>
      <c r="GH110" s="254"/>
      <c r="GI110" s="254"/>
      <c r="GJ110" s="254"/>
      <c r="GK110" s="254"/>
      <c r="GL110" s="254"/>
      <c r="GM110" s="254"/>
      <c r="GN110" s="254"/>
      <c r="GO110" s="254"/>
      <c r="GP110" s="254"/>
      <c r="GQ110" s="254"/>
      <c r="GR110" s="254"/>
      <c r="GS110" s="254"/>
      <c r="GT110" s="254"/>
      <c r="GU110" s="254"/>
      <c r="GV110" s="254"/>
      <c r="GW110" s="254"/>
      <c r="GX110" s="254"/>
      <c r="GY110" s="254"/>
      <c r="GZ110" s="254"/>
      <c r="HA110" s="254"/>
      <c r="HB110" s="254"/>
      <c r="HC110" s="254"/>
      <c r="HD110" s="254"/>
      <c r="HE110" s="254"/>
      <c r="HF110" s="254"/>
      <c r="HG110" s="254"/>
      <c r="HH110" s="254"/>
      <c r="HI110" s="254"/>
      <c r="HJ110" s="254"/>
      <c r="HK110" s="254"/>
      <c r="HL110" s="254"/>
      <c r="HM110" s="254"/>
      <c r="HN110" s="254"/>
      <c r="HO110" s="254"/>
      <c r="HP110" s="254"/>
      <c r="HQ110" s="254"/>
      <c r="HR110" s="254"/>
      <c r="HS110" s="254"/>
      <c r="HT110" s="254"/>
      <c r="HU110" s="254"/>
      <c r="HV110" s="254"/>
      <c r="HW110" s="254"/>
      <c r="HX110" s="254"/>
      <c r="HY110" s="254"/>
      <c r="HZ110" s="254"/>
      <c r="IA110" s="254"/>
      <c r="IB110" s="254"/>
      <c r="IC110" s="254"/>
      <c r="ID110" s="254"/>
      <c r="IE110" s="254"/>
    </row>
    <row r="111" spans="1:239" s="127" customFormat="1">
      <c r="A111" s="249" t="s">
        <v>462</v>
      </c>
      <c r="B111" s="250" t="s">
        <v>480</v>
      </c>
      <c r="C111" s="528">
        <v>66715300410</v>
      </c>
      <c r="D111" s="238" t="s">
        <v>896</v>
      </c>
      <c r="E111" s="238">
        <v>2</v>
      </c>
      <c r="F111" s="242" t="s">
        <v>683</v>
      </c>
      <c r="G111" s="241" t="s">
        <v>684</v>
      </c>
      <c r="H111" s="241" t="s">
        <v>633</v>
      </c>
      <c r="I111" s="534">
        <v>130.81</v>
      </c>
      <c r="J111" s="494" t="s">
        <v>633</v>
      </c>
      <c r="K111" s="495">
        <v>157.76</v>
      </c>
      <c r="L111" s="496">
        <v>25.05</v>
      </c>
      <c r="M111" s="495">
        <v>164.16</v>
      </c>
      <c r="N111" s="495">
        <v>2.68</v>
      </c>
      <c r="O111" s="495">
        <v>0</v>
      </c>
      <c r="P111" s="495">
        <f t="shared" si="4"/>
        <v>2.68</v>
      </c>
      <c r="Q111" s="497">
        <f>112.2</f>
        <v>112.2</v>
      </c>
      <c r="R111" s="497">
        <v>75.150000000000006</v>
      </c>
      <c r="S111" s="497">
        <v>0</v>
      </c>
      <c r="T111" s="495">
        <v>0</v>
      </c>
      <c r="U111" s="495">
        <v>0</v>
      </c>
      <c r="V111" s="495">
        <f t="shared" si="3"/>
        <v>0</v>
      </c>
      <c r="W111" s="498"/>
      <c r="X111" s="499">
        <v>0</v>
      </c>
      <c r="Y111" s="497">
        <v>0</v>
      </c>
      <c r="Z111" s="497">
        <v>0</v>
      </c>
      <c r="AA111" s="497">
        <v>0</v>
      </c>
      <c r="AB111" s="497">
        <f t="shared" si="5"/>
        <v>297.64999999999998</v>
      </c>
      <c r="AC111" s="529"/>
    </row>
    <row r="112" spans="1:239" s="127" customFormat="1">
      <c r="A112" s="249" t="s">
        <v>462</v>
      </c>
      <c r="B112" s="250" t="s">
        <v>480</v>
      </c>
      <c r="C112" s="528" t="s">
        <v>897</v>
      </c>
      <c r="D112" s="238" t="s">
        <v>898</v>
      </c>
      <c r="E112" s="238">
        <v>2</v>
      </c>
      <c r="F112" s="242" t="s">
        <v>683</v>
      </c>
      <c r="G112" s="241" t="s">
        <v>684</v>
      </c>
      <c r="H112" s="241" t="s">
        <v>633</v>
      </c>
      <c r="I112" s="534">
        <v>140.34</v>
      </c>
      <c r="J112" s="494" t="s">
        <v>633</v>
      </c>
      <c r="K112" s="495">
        <v>157.76</v>
      </c>
      <c r="L112" s="496">
        <v>25.05</v>
      </c>
      <c r="M112" s="495">
        <v>164.16</v>
      </c>
      <c r="N112" s="495">
        <v>2.68</v>
      </c>
      <c r="O112" s="495">
        <v>0</v>
      </c>
      <c r="P112" s="495">
        <f t="shared" si="4"/>
        <v>2.68</v>
      </c>
      <c r="Q112" s="497">
        <f>212.4+70.8</f>
        <v>283.2</v>
      </c>
      <c r="R112" s="497">
        <v>75.150000000000006</v>
      </c>
      <c r="S112" s="497">
        <v>0</v>
      </c>
      <c r="T112" s="495">
        <v>0</v>
      </c>
      <c r="U112" s="495">
        <v>0</v>
      </c>
      <c r="V112" s="495">
        <f t="shared" si="3"/>
        <v>0</v>
      </c>
      <c r="W112" s="498"/>
      <c r="X112" s="499">
        <v>0</v>
      </c>
      <c r="Y112" s="497">
        <v>0</v>
      </c>
      <c r="Z112" s="497">
        <v>0</v>
      </c>
      <c r="AA112" s="497">
        <v>0</v>
      </c>
      <c r="AB112" s="497">
        <f t="shared" si="5"/>
        <v>307.18</v>
      </c>
      <c r="AC112" s="529"/>
    </row>
    <row r="113" spans="1:29" s="127" customFormat="1">
      <c r="A113" s="249" t="s">
        <v>462</v>
      </c>
      <c r="B113" s="250" t="s">
        <v>480</v>
      </c>
      <c r="C113" s="528">
        <v>71197891471</v>
      </c>
      <c r="D113" s="238" t="s">
        <v>899</v>
      </c>
      <c r="E113" s="238">
        <v>3</v>
      </c>
      <c r="F113" s="244" t="s">
        <v>689</v>
      </c>
      <c r="G113" s="241" t="s">
        <v>684</v>
      </c>
      <c r="H113" s="241" t="s">
        <v>633</v>
      </c>
      <c r="I113" s="534">
        <v>92.31</v>
      </c>
      <c r="J113" s="494" t="s">
        <v>633</v>
      </c>
      <c r="K113" s="495">
        <v>157.76</v>
      </c>
      <c r="L113" s="496">
        <v>22</v>
      </c>
      <c r="M113" s="495">
        <v>164.16</v>
      </c>
      <c r="N113" s="495">
        <v>2.68</v>
      </c>
      <c r="O113" s="495">
        <v>0</v>
      </c>
      <c r="P113" s="495">
        <f t="shared" si="4"/>
        <v>2.68</v>
      </c>
      <c r="Q113" s="497">
        <f>90+30</f>
        <v>120</v>
      </c>
      <c r="R113" s="497">
        <v>66</v>
      </c>
      <c r="S113" s="497">
        <v>0</v>
      </c>
      <c r="T113" s="495">
        <v>0</v>
      </c>
      <c r="U113" s="495">
        <v>0</v>
      </c>
      <c r="V113" s="495">
        <f t="shared" si="3"/>
        <v>0</v>
      </c>
      <c r="W113" s="498"/>
      <c r="X113" s="499">
        <v>0</v>
      </c>
      <c r="Y113" s="497">
        <v>0</v>
      </c>
      <c r="Z113" s="497">
        <v>0</v>
      </c>
      <c r="AA113" s="497">
        <v>0</v>
      </c>
      <c r="AB113" s="497">
        <f t="shared" si="5"/>
        <v>259.14999999999998</v>
      </c>
      <c r="AC113" s="529"/>
    </row>
    <row r="114" spans="1:29" s="127" customFormat="1">
      <c r="A114" s="249" t="s">
        <v>462</v>
      </c>
      <c r="B114" s="250" t="s">
        <v>480</v>
      </c>
      <c r="C114" s="528" t="s">
        <v>900</v>
      </c>
      <c r="D114" s="238" t="s">
        <v>901</v>
      </c>
      <c r="E114" s="238">
        <v>3</v>
      </c>
      <c r="F114" s="244" t="s">
        <v>728</v>
      </c>
      <c r="G114" s="241" t="s">
        <v>684</v>
      </c>
      <c r="H114" s="241" t="s">
        <v>633</v>
      </c>
      <c r="I114" s="534">
        <v>149.13</v>
      </c>
      <c r="J114" s="494" t="s">
        <v>633</v>
      </c>
      <c r="K114" s="495">
        <v>157.76</v>
      </c>
      <c r="L114" s="496">
        <v>25.09</v>
      </c>
      <c r="M114" s="495">
        <v>164.16</v>
      </c>
      <c r="N114" s="495">
        <v>2.68</v>
      </c>
      <c r="O114" s="495">
        <v>0</v>
      </c>
      <c r="P114" s="495">
        <f t="shared" si="4"/>
        <v>2.68</v>
      </c>
      <c r="Q114" s="497">
        <v>0</v>
      </c>
      <c r="R114" s="497">
        <v>0</v>
      </c>
      <c r="S114" s="497">
        <v>0</v>
      </c>
      <c r="T114" s="495">
        <v>0</v>
      </c>
      <c r="U114" s="495">
        <v>0</v>
      </c>
      <c r="V114" s="495">
        <f t="shared" si="3"/>
        <v>0</v>
      </c>
      <c r="W114" s="498"/>
      <c r="X114" s="499">
        <v>0</v>
      </c>
      <c r="Y114" s="497">
        <v>0</v>
      </c>
      <c r="Z114" s="497">
        <v>0</v>
      </c>
      <c r="AA114" s="497">
        <v>0</v>
      </c>
      <c r="AB114" s="497">
        <f t="shared" si="5"/>
        <v>315.97000000000003</v>
      </c>
      <c r="AC114" s="529"/>
    </row>
    <row r="115" spans="1:29" s="127" customFormat="1">
      <c r="A115" s="249" t="s">
        <v>462</v>
      </c>
      <c r="B115" s="250" t="s">
        <v>480</v>
      </c>
      <c r="C115" s="528" t="s">
        <v>902</v>
      </c>
      <c r="D115" s="238" t="s">
        <v>903</v>
      </c>
      <c r="E115" s="238">
        <v>3</v>
      </c>
      <c r="F115" s="244" t="s">
        <v>728</v>
      </c>
      <c r="G115" s="241" t="s">
        <v>684</v>
      </c>
      <c r="H115" s="241" t="s">
        <v>633</v>
      </c>
      <c r="I115" s="534">
        <v>124.38</v>
      </c>
      <c r="J115" s="494" t="s">
        <v>633</v>
      </c>
      <c r="K115" s="495">
        <v>157.76</v>
      </c>
      <c r="L115" s="496">
        <v>25.09</v>
      </c>
      <c r="M115" s="495">
        <v>164.16</v>
      </c>
      <c r="N115" s="495">
        <v>2.68</v>
      </c>
      <c r="O115" s="495">
        <v>0</v>
      </c>
      <c r="P115" s="495">
        <f t="shared" si="4"/>
        <v>2.68</v>
      </c>
      <c r="Q115" s="497">
        <v>0</v>
      </c>
      <c r="R115" s="497">
        <v>0</v>
      </c>
      <c r="S115" s="497">
        <v>0</v>
      </c>
      <c r="T115" s="495">
        <v>0</v>
      </c>
      <c r="U115" s="495">
        <v>0</v>
      </c>
      <c r="V115" s="495">
        <f t="shared" si="3"/>
        <v>0</v>
      </c>
      <c r="W115" s="498"/>
      <c r="X115" s="499">
        <v>0</v>
      </c>
      <c r="Y115" s="497">
        <v>0</v>
      </c>
      <c r="Z115" s="497">
        <v>0</v>
      </c>
      <c r="AA115" s="497">
        <v>0</v>
      </c>
      <c r="AB115" s="497">
        <f t="shared" si="5"/>
        <v>291.22000000000003</v>
      </c>
      <c r="AC115" s="529"/>
    </row>
    <row r="116" spans="1:29" s="127" customFormat="1">
      <c r="A116" s="249" t="s">
        <v>462</v>
      </c>
      <c r="B116" s="250" t="s">
        <v>480</v>
      </c>
      <c r="C116" s="528" t="s">
        <v>904</v>
      </c>
      <c r="D116" s="238" t="s">
        <v>905</v>
      </c>
      <c r="E116" s="238">
        <v>2</v>
      </c>
      <c r="F116" s="242" t="s">
        <v>683</v>
      </c>
      <c r="G116" s="241" t="s">
        <v>684</v>
      </c>
      <c r="H116" s="241" t="s">
        <v>633</v>
      </c>
      <c r="I116" s="534">
        <v>143.35</v>
      </c>
      <c r="J116" s="494" t="s">
        <v>633</v>
      </c>
      <c r="K116" s="495">
        <v>157.76</v>
      </c>
      <c r="L116" s="496">
        <v>25.05</v>
      </c>
      <c r="M116" s="495">
        <v>164.16</v>
      </c>
      <c r="N116" s="495">
        <v>2.68</v>
      </c>
      <c r="O116" s="495">
        <v>0</v>
      </c>
      <c r="P116" s="495">
        <f t="shared" si="4"/>
        <v>2.68</v>
      </c>
      <c r="Q116" s="497">
        <f>194.7+60</f>
        <v>254.7</v>
      </c>
      <c r="R116" s="497">
        <v>75.150000000000006</v>
      </c>
      <c r="S116" s="497">
        <v>0</v>
      </c>
      <c r="T116" s="495">
        <v>64</v>
      </c>
      <c r="U116" s="495">
        <v>0</v>
      </c>
      <c r="V116" s="495">
        <f t="shared" si="3"/>
        <v>64</v>
      </c>
      <c r="W116" s="498" t="s">
        <v>762</v>
      </c>
      <c r="X116" s="499">
        <v>0</v>
      </c>
      <c r="Y116" s="497">
        <v>0</v>
      </c>
      <c r="Z116" s="497">
        <v>0</v>
      </c>
      <c r="AA116" s="497">
        <v>0</v>
      </c>
      <c r="AB116" s="497">
        <f t="shared" si="5"/>
        <v>374.19</v>
      </c>
      <c r="AC116" s="529"/>
    </row>
    <row r="117" spans="1:29" s="127" customFormat="1">
      <c r="A117" s="249" t="s">
        <v>462</v>
      </c>
      <c r="B117" s="250" t="s">
        <v>480</v>
      </c>
      <c r="C117" s="528" t="s">
        <v>906</v>
      </c>
      <c r="D117" s="238" t="s">
        <v>907</v>
      </c>
      <c r="E117" s="238">
        <v>3</v>
      </c>
      <c r="F117" s="242" t="s">
        <v>689</v>
      </c>
      <c r="G117" s="241" t="s">
        <v>684</v>
      </c>
      <c r="H117" s="241" t="s">
        <v>633</v>
      </c>
      <c r="I117" s="493">
        <v>111.2</v>
      </c>
      <c r="J117" s="494" t="s">
        <v>633</v>
      </c>
      <c r="K117" s="495">
        <v>157.76</v>
      </c>
      <c r="L117" s="496">
        <v>22</v>
      </c>
      <c r="M117" s="495">
        <v>164.16</v>
      </c>
      <c r="N117" s="495">
        <v>2.68</v>
      </c>
      <c r="O117" s="495">
        <v>0</v>
      </c>
      <c r="P117" s="495">
        <f t="shared" si="4"/>
        <v>2.68</v>
      </c>
      <c r="Q117" s="497">
        <v>0</v>
      </c>
      <c r="R117" s="497">
        <v>0</v>
      </c>
      <c r="S117" s="497">
        <v>0</v>
      </c>
      <c r="T117" s="495">
        <v>0</v>
      </c>
      <c r="U117" s="495">
        <v>0</v>
      </c>
      <c r="V117" s="495">
        <f t="shared" si="3"/>
        <v>0</v>
      </c>
      <c r="W117" s="498"/>
      <c r="X117" s="499">
        <v>0</v>
      </c>
      <c r="Y117" s="497">
        <v>0</v>
      </c>
      <c r="Z117" s="497">
        <v>0</v>
      </c>
      <c r="AA117" s="497">
        <v>0</v>
      </c>
      <c r="AB117" s="497">
        <f t="shared" si="5"/>
        <v>278.04000000000002</v>
      </c>
      <c r="AC117" s="529"/>
    </row>
    <row r="118" spans="1:29" s="127" customFormat="1">
      <c r="A118" s="249" t="s">
        <v>462</v>
      </c>
      <c r="B118" s="250" t="s">
        <v>480</v>
      </c>
      <c r="C118" s="241" t="s">
        <v>908</v>
      </c>
      <c r="D118" s="238" t="s">
        <v>909</v>
      </c>
      <c r="E118" s="238">
        <v>2</v>
      </c>
      <c r="F118" s="242" t="s">
        <v>683</v>
      </c>
      <c r="G118" s="241" t="s">
        <v>684</v>
      </c>
      <c r="H118" s="241" t="s">
        <v>633</v>
      </c>
      <c r="I118" s="493">
        <v>110.6</v>
      </c>
      <c r="J118" s="494" t="s">
        <v>633</v>
      </c>
      <c r="K118" s="495">
        <v>157.76</v>
      </c>
      <c r="L118" s="496">
        <v>25.05</v>
      </c>
      <c r="M118" s="495">
        <v>164.16</v>
      </c>
      <c r="N118" s="495">
        <v>2.68</v>
      </c>
      <c r="O118" s="495">
        <v>0</v>
      </c>
      <c r="P118" s="495">
        <v>2.68</v>
      </c>
      <c r="Q118" s="497">
        <f>165+40.8</f>
        <v>205.8</v>
      </c>
      <c r="R118" s="497">
        <v>75.150000000000006</v>
      </c>
      <c r="S118" s="497">
        <v>0</v>
      </c>
      <c r="T118" s="495">
        <v>0</v>
      </c>
      <c r="U118" s="495">
        <v>0</v>
      </c>
      <c r="V118" s="495">
        <v>125.25</v>
      </c>
      <c r="W118" s="498"/>
      <c r="X118" s="499">
        <v>0</v>
      </c>
      <c r="Y118" s="497">
        <v>0</v>
      </c>
      <c r="Z118" s="497">
        <v>0</v>
      </c>
      <c r="AA118" s="497">
        <v>0</v>
      </c>
      <c r="AB118" s="497">
        <f t="shared" si="5"/>
        <v>402.69000000000005</v>
      </c>
      <c r="AC118" s="529"/>
    </row>
    <row r="119" spans="1:29" s="127" customFormat="1">
      <c r="A119" s="249" t="s">
        <v>462</v>
      </c>
      <c r="B119" s="250" t="s">
        <v>480</v>
      </c>
      <c r="C119" s="528">
        <v>11141755440</v>
      </c>
      <c r="D119" s="238" t="s">
        <v>910</v>
      </c>
      <c r="E119" s="238">
        <v>3</v>
      </c>
      <c r="F119" s="242" t="s">
        <v>911</v>
      </c>
      <c r="G119" s="241" t="s">
        <v>684</v>
      </c>
      <c r="H119" s="241" t="s">
        <v>633</v>
      </c>
      <c r="I119" s="534">
        <v>188.68</v>
      </c>
      <c r="J119" s="494" t="s">
        <v>633</v>
      </c>
      <c r="K119" s="495">
        <v>157.76</v>
      </c>
      <c r="L119" s="496">
        <v>41.4</v>
      </c>
      <c r="M119" s="495">
        <v>164.16</v>
      </c>
      <c r="N119" s="495">
        <v>2.68</v>
      </c>
      <c r="O119" s="495">
        <v>0</v>
      </c>
      <c r="P119" s="495">
        <f t="shared" ref="P119:P136" si="6">N119-O119</f>
        <v>2.68</v>
      </c>
      <c r="Q119" s="497">
        <v>0</v>
      </c>
      <c r="R119" s="497">
        <v>0</v>
      </c>
      <c r="S119" s="497">
        <v>0</v>
      </c>
      <c r="T119" s="495">
        <v>0</v>
      </c>
      <c r="U119" s="495">
        <v>0</v>
      </c>
      <c r="V119" s="495">
        <f t="shared" si="3"/>
        <v>0</v>
      </c>
      <c r="W119" s="498"/>
      <c r="X119" s="499">
        <v>0</v>
      </c>
      <c r="Y119" s="497">
        <v>0</v>
      </c>
      <c r="Z119" s="497">
        <v>0</v>
      </c>
      <c r="AA119" s="497">
        <v>0</v>
      </c>
      <c r="AB119" s="497">
        <f t="shared" si="5"/>
        <v>355.52</v>
      </c>
      <c r="AC119" s="529"/>
    </row>
    <row r="120" spans="1:29" s="127" customFormat="1">
      <c r="A120" s="249" t="s">
        <v>462</v>
      </c>
      <c r="B120" s="250" t="s">
        <v>480</v>
      </c>
      <c r="C120" s="528">
        <v>82203210400</v>
      </c>
      <c r="D120" s="238" t="s">
        <v>912</v>
      </c>
      <c r="E120" s="238">
        <v>2</v>
      </c>
      <c r="F120" s="242" t="s">
        <v>697</v>
      </c>
      <c r="G120" s="241" t="s">
        <v>684</v>
      </c>
      <c r="H120" s="241" t="s">
        <v>633</v>
      </c>
      <c r="I120" s="534">
        <v>296.54000000000002</v>
      </c>
      <c r="J120" s="494" t="s">
        <v>633</v>
      </c>
      <c r="K120" s="495">
        <v>157.76</v>
      </c>
      <c r="L120" s="496">
        <v>0</v>
      </c>
      <c r="M120" s="495">
        <v>164.16</v>
      </c>
      <c r="N120" s="495">
        <v>4.3600000000000003</v>
      </c>
      <c r="O120" s="495">
        <v>0</v>
      </c>
      <c r="P120" s="495">
        <f t="shared" si="6"/>
        <v>4.3600000000000003</v>
      </c>
      <c r="Q120" s="497">
        <f>81.6</f>
        <v>81.599999999999994</v>
      </c>
      <c r="R120" s="497">
        <v>125.41</v>
      </c>
      <c r="S120" s="497">
        <v>0</v>
      </c>
      <c r="T120" s="495">
        <v>0</v>
      </c>
      <c r="U120" s="495">
        <v>0</v>
      </c>
      <c r="V120" s="495">
        <f t="shared" si="3"/>
        <v>0</v>
      </c>
      <c r="W120" s="498"/>
      <c r="X120" s="499">
        <v>0</v>
      </c>
      <c r="Y120" s="497">
        <v>0</v>
      </c>
      <c r="Z120" s="497">
        <v>0</v>
      </c>
      <c r="AA120" s="497">
        <v>0</v>
      </c>
      <c r="AB120" s="497">
        <f t="shared" si="5"/>
        <v>465.06000000000006</v>
      </c>
      <c r="AC120" s="529"/>
    </row>
    <row r="121" spans="1:29" s="127" customFormat="1">
      <c r="A121" s="249" t="s">
        <v>462</v>
      </c>
      <c r="B121" s="250" t="s">
        <v>480</v>
      </c>
      <c r="C121" s="528" t="s">
        <v>913</v>
      </c>
      <c r="D121" s="238" t="s">
        <v>914</v>
      </c>
      <c r="E121" s="238">
        <v>3</v>
      </c>
      <c r="F121" s="242" t="s">
        <v>723</v>
      </c>
      <c r="G121" s="241" t="s">
        <v>684</v>
      </c>
      <c r="H121" s="241" t="s">
        <v>633</v>
      </c>
      <c r="I121" s="534">
        <v>132.04</v>
      </c>
      <c r="J121" s="494" t="s">
        <v>633</v>
      </c>
      <c r="K121" s="495">
        <v>157.76</v>
      </c>
      <c r="L121" s="496">
        <v>22</v>
      </c>
      <c r="M121" s="495">
        <v>164.16</v>
      </c>
      <c r="N121" s="495">
        <v>2.68</v>
      </c>
      <c r="O121" s="495">
        <v>0</v>
      </c>
      <c r="P121" s="495">
        <f t="shared" si="6"/>
        <v>2.68</v>
      </c>
      <c r="Q121" s="497">
        <v>0</v>
      </c>
      <c r="R121" s="497">
        <v>0</v>
      </c>
      <c r="S121" s="497">
        <v>0</v>
      </c>
      <c r="T121" s="495">
        <v>64</v>
      </c>
      <c r="U121" s="495">
        <v>0</v>
      </c>
      <c r="V121" s="495">
        <f t="shared" si="3"/>
        <v>64</v>
      </c>
      <c r="W121" s="498" t="s">
        <v>762</v>
      </c>
      <c r="X121" s="499">
        <v>0</v>
      </c>
      <c r="Y121" s="497">
        <v>0</v>
      </c>
      <c r="Z121" s="497">
        <v>0</v>
      </c>
      <c r="AA121" s="497">
        <v>0</v>
      </c>
      <c r="AB121" s="497">
        <f t="shared" si="5"/>
        <v>362.88</v>
      </c>
      <c r="AC121" s="529"/>
    </row>
    <row r="122" spans="1:29" s="127" customFormat="1">
      <c r="A122" s="249" t="s">
        <v>462</v>
      </c>
      <c r="B122" s="250" t="s">
        <v>480</v>
      </c>
      <c r="C122" s="528" t="s">
        <v>915</v>
      </c>
      <c r="D122" s="239" t="s">
        <v>916</v>
      </c>
      <c r="E122" s="238">
        <v>3</v>
      </c>
      <c r="F122" s="244" t="s">
        <v>761</v>
      </c>
      <c r="G122" s="241" t="s">
        <v>684</v>
      </c>
      <c r="H122" s="241" t="s">
        <v>633</v>
      </c>
      <c r="I122" s="534">
        <v>133.43</v>
      </c>
      <c r="J122" s="494" t="s">
        <v>633</v>
      </c>
      <c r="K122" s="495">
        <v>157.76</v>
      </c>
      <c r="L122" s="496">
        <v>22</v>
      </c>
      <c r="M122" s="495">
        <v>164.16</v>
      </c>
      <c r="N122" s="495">
        <v>2.68</v>
      </c>
      <c r="O122" s="495">
        <v>0</v>
      </c>
      <c r="P122" s="495">
        <f t="shared" si="6"/>
        <v>2.68</v>
      </c>
      <c r="Q122" s="497">
        <f>122.4+40.8</f>
        <v>163.19999999999999</v>
      </c>
      <c r="R122" s="497">
        <v>66</v>
      </c>
      <c r="S122" s="497">
        <v>0</v>
      </c>
      <c r="T122" s="495">
        <v>0</v>
      </c>
      <c r="U122" s="495">
        <v>0</v>
      </c>
      <c r="V122" s="495">
        <f t="shared" si="3"/>
        <v>0</v>
      </c>
      <c r="W122" s="498"/>
      <c r="X122" s="499">
        <v>0</v>
      </c>
      <c r="Y122" s="497">
        <v>0</v>
      </c>
      <c r="Z122" s="497">
        <v>0</v>
      </c>
      <c r="AA122" s="497">
        <v>0</v>
      </c>
      <c r="AB122" s="497">
        <f t="shared" si="5"/>
        <v>300.27</v>
      </c>
      <c r="AC122" s="529"/>
    </row>
    <row r="123" spans="1:29" s="127" customFormat="1">
      <c r="A123" s="249" t="s">
        <v>462</v>
      </c>
      <c r="B123" s="250" t="s">
        <v>480</v>
      </c>
      <c r="C123" s="532">
        <v>50934384487</v>
      </c>
      <c r="D123" s="239" t="s">
        <v>917</v>
      </c>
      <c r="E123" s="239">
        <v>2</v>
      </c>
      <c r="F123" s="242" t="s">
        <v>709</v>
      </c>
      <c r="G123" s="241" t="s">
        <v>684</v>
      </c>
      <c r="H123" s="241" t="s">
        <v>633</v>
      </c>
      <c r="I123" s="493">
        <v>195.3</v>
      </c>
      <c r="J123" s="494" t="s">
        <v>633</v>
      </c>
      <c r="K123" s="495">
        <v>157.76</v>
      </c>
      <c r="L123" s="496">
        <v>0</v>
      </c>
      <c r="M123" s="495">
        <v>164.16</v>
      </c>
      <c r="N123" s="495">
        <v>5.36</v>
      </c>
      <c r="O123" s="495">
        <v>0</v>
      </c>
      <c r="P123" s="495">
        <f t="shared" si="6"/>
        <v>5.36</v>
      </c>
      <c r="Q123" s="497">
        <v>0</v>
      </c>
      <c r="R123" s="497">
        <v>0</v>
      </c>
      <c r="S123" s="497">
        <v>0</v>
      </c>
      <c r="T123" s="495">
        <v>0</v>
      </c>
      <c r="U123" s="495">
        <v>0</v>
      </c>
      <c r="V123" s="495">
        <f t="shared" si="3"/>
        <v>0</v>
      </c>
      <c r="W123" s="498"/>
      <c r="X123" s="499">
        <v>0</v>
      </c>
      <c r="Y123" s="497">
        <v>0</v>
      </c>
      <c r="Z123" s="497">
        <v>0</v>
      </c>
      <c r="AA123" s="497">
        <v>0</v>
      </c>
      <c r="AB123" s="497">
        <f t="shared" si="5"/>
        <v>364.82000000000005</v>
      </c>
      <c r="AC123" s="529"/>
    </row>
    <row r="124" spans="1:29" s="127" customFormat="1">
      <c r="A124" s="249" t="s">
        <v>462</v>
      </c>
      <c r="B124" s="250" t="s">
        <v>480</v>
      </c>
      <c r="C124" s="528" t="s">
        <v>918</v>
      </c>
      <c r="D124" s="238" t="s">
        <v>919</v>
      </c>
      <c r="E124" s="238">
        <v>2</v>
      </c>
      <c r="F124" s="242" t="s">
        <v>683</v>
      </c>
      <c r="G124" s="241" t="s">
        <v>684</v>
      </c>
      <c r="H124" s="241" t="s">
        <v>633</v>
      </c>
      <c r="I124" s="534">
        <v>144.85</v>
      </c>
      <c r="J124" s="494" t="s">
        <v>633</v>
      </c>
      <c r="K124" s="495">
        <v>157.76</v>
      </c>
      <c r="L124" s="496">
        <v>25.05</v>
      </c>
      <c r="M124" s="495">
        <v>164.16</v>
      </c>
      <c r="N124" s="495">
        <v>2.68</v>
      </c>
      <c r="O124" s="495">
        <v>0</v>
      </c>
      <c r="P124" s="495">
        <f t="shared" si="6"/>
        <v>2.68</v>
      </c>
      <c r="Q124" s="497">
        <v>120</v>
      </c>
      <c r="R124" s="497">
        <v>75.150000000000006</v>
      </c>
      <c r="S124" s="497">
        <v>0</v>
      </c>
      <c r="T124" s="495">
        <v>0</v>
      </c>
      <c r="U124" s="495">
        <v>0</v>
      </c>
      <c r="V124" s="495">
        <f t="shared" si="3"/>
        <v>0</v>
      </c>
      <c r="W124" s="498"/>
      <c r="X124" s="499">
        <v>0</v>
      </c>
      <c r="Y124" s="497">
        <v>0</v>
      </c>
      <c r="Z124" s="497">
        <v>0</v>
      </c>
      <c r="AA124" s="497">
        <v>0</v>
      </c>
      <c r="AB124" s="497">
        <f t="shared" si="5"/>
        <v>311.69</v>
      </c>
      <c r="AC124" s="529"/>
    </row>
    <row r="125" spans="1:29" s="127" customFormat="1">
      <c r="A125" s="249" t="s">
        <v>462</v>
      </c>
      <c r="B125" s="250" t="s">
        <v>480</v>
      </c>
      <c r="C125" s="528" t="s">
        <v>920</v>
      </c>
      <c r="D125" s="238" t="s">
        <v>921</v>
      </c>
      <c r="E125" s="238">
        <v>2</v>
      </c>
      <c r="F125" s="244" t="s">
        <v>714</v>
      </c>
      <c r="G125" s="241" t="s">
        <v>684</v>
      </c>
      <c r="H125" s="241" t="s">
        <v>633</v>
      </c>
      <c r="I125" s="534">
        <v>142.44</v>
      </c>
      <c r="J125" s="494" t="s">
        <v>633</v>
      </c>
      <c r="K125" s="495">
        <v>157.76</v>
      </c>
      <c r="L125" s="496">
        <v>24.18</v>
      </c>
      <c r="M125" s="495">
        <v>164.16</v>
      </c>
      <c r="N125" s="495">
        <v>2.68</v>
      </c>
      <c r="O125" s="495">
        <v>0</v>
      </c>
      <c r="P125" s="495">
        <f t="shared" si="6"/>
        <v>2.68</v>
      </c>
      <c r="Q125" s="497">
        <v>0</v>
      </c>
      <c r="R125" s="497">
        <v>0</v>
      </c>
      <c r="S125" s="497">
        <v>0</v>
      </c>
      <c r="T125" s="495">
        <v>0</v>
      </c>
      <c r="U125" s="495">
        <v>0</v>
      </c>
      <c r="V125" s="495">
        <f t="shared" si="3"/>
        <v>0</v>
      </c>
      <c r="W125" s="498"/>
      <c r="X125" s="499">
        <v>0</v>
      </c>
      <c r="Y125" s="497">
        <v>0</v>
      </c>
      <c r="Z125" s="497">
        <v>0</v>
      </c>
      <c r="AA125" s="497">
        <v>0</v>
      </c>
      <c r="AB125" s="497">
        <f t="shared" si="5"/>
        <v>309.27999999999997</v>
      </c>
      <c r="AC125" s="529"/>
    </row>
    <row r="126" spans="1:29" s="127" customFormat="1">
      <c r="A126" s="249" t="s">
        <v>462</v>
      </c>
      <c r="B126" s="250" t="s">
        <v>480</v>
      </c>
      <c r="C126" s="528" t="s">
        <v>922</v>
      </c>
      <c r="D126" s="238" t="s">
        <v>923</v>
      </c>
      <c r="E126" s="238">
        <v>2</v>
      </c>
      <c r="F126" s="244" t="s">
        <v>740</v>
      </c>
      <c r="G126" s="241" t="s">
        <v>684</v>
      </c>
      <c r="H126" s="241" t="s">
        <v>633</v>
      </c>
      <c r="I126" s="534">
        <v>318.47000000000003</v>
      </c>
      <c r="J126" s="494" t="s">
        <v>633</v>
      </c>
      <c r="K126" s="495">
        <v>157.76</v>
      </c>
      <c r="L126" s="496">
        <v>0</v>
      </c>
      <c r="M126" s="495">
        <v>164.16</v>
      </c>
      <c r="N126" s="495">
        <v>2.68</v>
      </c>
      <c r="O126" s="495">
        <v>0</v>
      </c>
      <c r="P126" s="495">
        <f t="shared" si="6"/>
        <v>2.68</v>
      </c>
      <c r="Q126" s="497">
        <v>0</v>
      </c>
      <c r="R126" s="497">
        <v>0</v>
      </c>
      <c r="S126" s="497">
        <v>0</v>
      </c>
      <c r="T126" s="495">
        <v>0</v>
      </c>
      <c r="U126" s="495">
        <v>0</v>
      </c>
      <c r="V126" s="495">
        <v>0</v>
      </c>
      <c r="W126" s="498"/>
      <c r="X126" s="499">
        <v>0</v>
      </c>
      <c r="Y126" s="497">
        <v>0</v>
      </c>
      <c r="Z126" s="497">
        <v>0</v>
      </c>
      <c r="AA126" s="497">
        <v>0</v>
      </c>
      <c r="AB126" s="497">
        <f t="shared" si="5"/>
        <v>485.31000000000006</v>
      </c>
      <c r="AC126" s="529"/>
    </row>
    <row r="127" spans="1:29" s="127" customFormat="1">
      <c r="A127" s="249" t="s">
        <v>462</v>
      </c>
      <c r="B127" s="250" t="s">
        <v>480</v>
      </c>
      <c r="C127" s="528" t="s">
        <v>924</v>
      </c>
      <c r="D127" s="239" t="s">
        <v>925</v>
      </c>
      <c r="E127" s="238">
        <v>2</v>
      </c>
      <c r="F127" s="242" t="s">
        <v>709</v>
      </c>
      <c r="G127" s="241" t="s">
        <v>684</v>
      </c>
      <c r="H127" s="241" t="s">
        <v>633</v>
      </c>
      <c r="I127" s="493">
        <v>184.9</v>
      </c>
      <c r="J127" s="494" t="s">
        <v>633</v>
      </c>
      <c r="K127" s="495">
        <v>157.76</v>
      </c>
      <c r="L127" s="496">
        <v>2.4300000000000002</v>
      </c>
      <c r="M127" s="495">
        <v>164.16</v>
      </c>
      <c r="N127" s="495">
        <v>5.36</v>
      </c>
      <c r="O127" s="495">
        <v>0</v>
      </c>
      <c r="P127" s="495">
        <f t="shared" si="6"/>
        <v>5.36</v>
      </c>
      <c r="Q127" s="497">
        <v>0</v>
      </c>
      <c r="R127" s="497">
        <v>0</v>
      </c>
      <c r="S127" s="497">
        <v>0</v>
      </c>
      <c r="T127" s="495">
        <v>0</v>
      </c>
      <c r="U127" s="495">
        <v>0</v>
      </c>
      <c r="V127" s="495">
        <f t="shared" si="3"/>
        <v>0</v>
      </c>
      <c r="W127" s="498"/>
      <c r="X127" s="499">
        <v>0</v>
      </c>
      <c r="Y127" s="497">
        <v>0</v>
      </c>
      <c r="Z127" s="497">
        <v>0</v>
      </c>
      <c r="AA127" s="497">
        <v>0</v>
      </c>
      <c r="AB127" s="497">
        <f t="shared" si="5"/>
        <v>354.42</v>
      </c>
      <c r="AC127" s="529"/>
    </row>
    <row r="128" spans="1:29" s="127" customFormat="1">
      <c r="A128" s="249" t="s">
        <v>462</v>
      </c>
      <c r="B128" s="250" t="s">
        <v>480</v>
      </c>
      <c r="C128" s="528" t="s">
        <v>926</v>
      </c>
      <c r="D128" s="238" t="s">
        <v>927</v>
      </c>
      <c r="E128" s="238">
        <v>2</v>
      </c>
      <c r="F128" s="244" t="s">
        <v>740</v>
      </c>
      <c r="G128" s="241" t="s">
        <v>684</v>
      </c>
      <c r="H128" s="241" t="s">
        <v>633</v>
      </c>
      <c r="I128" s="534">
        <v>274.37</v>
      </c>
      <c r="J128" s="494" t="s">
        <v>633</v>
      </c>
      <c r="K128" s="495">
        <v>157.76</v>
      </c>
      <c r="L128" s="496">
        <v>16.05</v>
      </c>
      <c r="M128" s="495">
        <v>164.16</v>
      </c>
      <c r="N128" s="495">
        <v>2.68</v>
      </c>
      <c r="O128" s="495">
        <v>0</v>
      </c>
      <c r="P128" s="495">
        <f t="shared" si="6"/>
        <v>2.68</v>
      </c>
      <c r="Q128" s="497">
        <v>0</v>
      </c>
      <c r="R128" s="497">
        <v>0</v>
      </c>
      <c r="S128" s="497">
        <v>0</v>
      </c>
      <c r="T128" s="495">
        <v>0</v>
      </c>
      <c r="U128" s="495">
        <v>0</v>
      </c>
      <c r="V128" s="495">
        <f t="shared" si="3"/>
        <v>0</v>
      </c>
      <c r="W128" s="498"/>
      <c r="X128" s="499">
        <v>0</v>
      </c>
      <c r="Y128" s="497">
        <v>0</v>
      </c>
      <c r="Z128" s="497">
        <v>0</v>
      </c>
      <c r="AA128" s="497">
        <v>0</v>
      </c>
      <c r="AB128" s="497">
        <f t="shared" si="5"/>
        <v>441.21000000000004</v>
      </c>
      <c r="AC128" s="529"/>
    </row>
    <row r="129" spans="1:29" s="127" customFormat="1">
      <c r="A129" s="249" t="s">
        <v>462</v>
      </c>
      <c r="B129" s="250" t="s">
        <v>480</v>
      </c>
      <c r="C129" s="528" t="s">
        <v>928</v>
      </c>
      <c r="D129" s="238" t="s">
        <v>929</v>
      </c>
      <c r="E129" s="238">
        <v>2</v>
      </c>
      <c r="F129" s="242" t="s">
        <v>683</v>
      </c>
      <c r="G129" s="241" t="s">
        <v>684</v>
      </c>
      <c r="H129" s="241" t="s">
        <v>633</v>
      </c>
      <c r="I129" s="534">
        <v>102.54</v>
      </c>
      <c r="J129" s="494" t="s">
        <v>633</v>
      </c>
      <c r="K129" s="495">
        <v>157.76</v>
      </c>
      <c r="L129" s="496">
        <v>25.05</v>
      </c>
      <c r="M129" s="495">
        <v>164.16</v>
      </c>
      <c r="N129" s="495">
        <v>2.68</v>
      </c>
      <c r="O129" s="495">
        <v>0</v>
      </c>
      <c r="P129" s="495">
        <f t="shared" si="6"/>
        <v>2.68</v>
      </c>
      <c r="Q129" s="497">
        <v>0</v>
      </c>
      <c r="R129" s="497">
        <v>0</v>
      </c>
      <c r="S129" s="497">
        <v>0</v>
      </c>
      <c r="T129" s="495">
        <v>0</v>
      </c>
      <c r="U129" s="495">
        <v>0</v>
      </c>
      <c r="V129" s="495">
        <f t="shared" si="3"/>
        <v>0</v>
      </c>
      <c r="W129" s="498" t="s">
        <v>930</v>
      </c>
      <c r="X129" s="499">
        <v>0</v>
      </c>
      <c r="Y129" s="497">
        <v>0</v>
      </c>
      <c r="Z129" s="497">
        <v>0</v>
      </c>
      <c r="AA129" s="497">
        <v>0</v>
      </c>
      <c r="AB129" s="497">
        <f t="shared" si="5"/>
        <v>269.38</v>
      </c>
      <c r="AC129" s="529"/>
    </row>
    <row r="130" spans="1:29" s="127" customFormat="1">
      <c r="A130" s="249" t="s">
        <v>462</v>
      </c>
      <c r="B130" s="250" t="s">
        <v>480</v>
      </c>
      <c r="C130" s="528" t="s">
        <v>931</v>
      </c>
      <c r="D130" s="238" t="s">
        <v>932</v>
      </c>
      <c r="E130" s="238">
        <v>3</v>
      </c>
      <c r="F130" s="242" t="s">
        <v>723</v>
      </c>
      <c r="G130" s="241" t="s">
        <v>684</v>
      </c>
      <c r="H130" s="241" t="s">
        <v>633</v>
      </c>
      <c r="I130" s="493">
        <v>117.8</v>
      </c>
      <c r="J130" s="494" t="s">
        <v>633</v>
      </c>
      <c r="K130" s="495">
        <v>157.76</v>
      </c>
      <c r="L130" s="496">
        <v>22</v>
      </c>
      <c r="M130" s="495">
        <v>164.16</v>
      </c>
      <c r="N130" s="495">
        <v>2.68</v>
      </c>
      <c r="O130" s="495">
        <v>0</v>
      </c>
      <c r="P130" s="495">
        <f t="shared" si="6"/>
        <v>2.68</v>
      </c>
      <c r="Q130" s="497">
        <f>194.7+70.8</f>
        <v>265.5</v>
      </c>
      <c r="R130" s="497">
        <v>66</v>
      </c>
      <c r="S130" s="497">
        <v>0</v>
      </c>
      <c r="T130" s="495">
        <v>64</v>
      </c>
      <c r="U130" s="495">
        <v>0</v>
      </c>
      <c r="V130" s="495">
        <f t="shared" ref="V130:V136" si="7">T130-U130</f>
        <v>64</v>
      </c>
      <c r="W130" s="498" t="s">
        <v>930</v>
      </c>
      <c r="X130" s="499">
        <v>0</v>
      </c>
      <c r="Y130" s="497">
        <v>0</v>
      </c>
      <c r="Z130" s="497">
        <v>0</v>
      </c>
      <c r="AA130" s="497">
        <v>0</v>
      </c>
      <c r="AB130" s="497">
        <f t="shared" si="5"/>
        <v>348.64</v>
      </c>
      <c r="AC130" s="529"/>
    </row>
    <row r="131" spans="1:29" s="127" customFormat="1">
      <c r="A131" s="249" t="s">
        <v>462</v>
      </c>
      <c r="B131" s="250" t="s">
        <v>480</v>
      </c>
      <c r="C131" s="528" t="s">
        <v>933</v>
      </c>
      <c r="D131" s="238" t="s">
        <v>934</v>
      </c>
      <c r="E131" s="238">
        <v>3</v>
      </c>
      <c r="F131" s="244" t="s">
        <v>935</v>
      </c>
      <c r="G131" s="241" t="s">
        <v>684</v>
      </c>
      <c r="H131" s="241" t="s">
        <v>633</v>
      </c>
      <c r="I131" s="534">
        <v>108.51</v>
      </c>
      <c r="J131" s="494" t="s">
        <v>633</v>
      </c>
      <c r="K131" s="495">
        <v>157.76</v>
      </c>
      <c r="L131" s="496">
        <v>22</v>
      </c>
      <c r="M131" s="495">
        <v>164.16</v>
      </c>
      <c r="N131" s="495">
        <v>2.68</v>
      </c>
      <c r="O131" s="495">
        <v>0</v>
      </c>
      <c r="P131" s="495">
        <f t="shared" si="6"/>
        <v>2.68</v>
      </c>
      <c r="Q131" s="497">
        <v>224.4</v>
      </c>
      <c r="R131" s="497">
        <v>66</v>
      </c>
      <c r="S131" s="497">
        <v>0</v>
      </c>
      <c r="T131" s="495">
        <v>64</v>
      </c>
      <c r="U131" s="495">
        <v>0</v>
      </c>
      <c r="V131" s="495">
        <f t="shared" si="7"/>
        <v>64</v>
      </c>
      <c r="W131" s="498" t="s">
        <v>762</v>
      </c>
      <c r="X131" s="499">
        <v>0</v>
      </c>
      <c r="Y131" s="497">
        <v>0</v>
      </c>
      <c r="Z131" s="497">
        <v>0</v>
      </c>
      <c r="AA131" s="497">
        <v>0</v>
      </c>
      <c r="AB131" s="497">
        <f t="shared" si="5"/>
        <v>339.35</v>
      </c>
      <c r="AC131" s="529"/>
    </row>
    <row r="132" spans="1:29" s="127" customFormat="1">
      <c r="A132" s="249" t="s">
        <v>462</v>
      </c>
      <c r="B132" s="250" t="s">
        <v>480</v>
      </c>
      <c r="C132" s="528" t="s">
        <v>936</v>
      </c>
      <c r="D132" s="238" t="s">
        <v>937</v>
      </c>
      <c r="E132" s="238">
        <v>2</v>
      </c>
      <c r="F132" s="242" t="s">
        <v>683</v>
      </c>
      <c r="G132" s="241" t="s">
        <v>684</v>
      </c>
      <c r="H132" s="241" t="s">
        <v>633</v>
      </c>
      <c r="I132" s="493">
        <v>117.8</v>
      </c>
      <c r="J132" s="494" t="s">
        <v>633</v>
      </c>
      <c r="K132" s="495">
        <v>157.76</v>
      </c>
      <c r="L132" s="496">
        <v>25.05</v>
      </c>
      <c r="M132" s="495">
        <v>164.16</v>
      </c>
      <c r="N132" s="495">
        <v>2.68</v>
      </c>
      <c r="O132" s="495">
        <v>0</v>
      </c>
      <c r="P132" s="495">
        <f t="shared" si="6"/>
        <v>2.68</v>
      </c>
      <c r="Q132" s="497">
        <v>120</v>
      </c>
      <c r="R132" s="497">
        <v>75.150000000000006</v>
      </c>
      <c r="S132" s="497">
        <v>0</v>
      </c>
      <c r="T132" s="495">
        <v>0</v>
      </c>
      <c r="U132" s="495">
        <v>0</v>
      </c>
      <c r="V132" s="495">
        <f t="shared" si="7"/>
        <v>0</v>
      </c>
      <c r="W132" s="498"/>
      <c r="X132" s="499">
        <v>0</v>
      </c>
      <c r="Y132" s="497">
        <v>0</v>
      </c>
      <c r="Z132" s="497">
        <v>0</v>
      </c>
      <c r="AA132" s="497">
        <v>0</v>
      </c>
      <c r="AB132" s="497">
        <f t="shared" ref="AB132:AB136" si="8">SUM(Z132,V132,S132,P132,M132,J132,I132)</f>
        <v>284.64</v>
      </c>
      <c r="AC132" s="529"/>
    </row>
    <row r="133" spans="1:29" s="127" customFormat="1">
      <c r="A133" s="249" t="s">
        <v>462</v>
      </c>
      <c r="B133" s="250" t="s">
        <v>480</v>
      </c>
      <c r="C133" s="528">
        <v>76931382420</v>
      </c>
      <c r="D133" s="238" t="s">
        <v>938</v>
      </c>
      <c r="E133" s="238">
        <v>2</v>
      </c>
      <c r="F133" s="242" t="s">
        <v>709</v>
      </c>
      <c r="G133" s="241" t="s">
        <v>684</v>
      </c>
      <c r="H133" s="241" t="s">
        <v>633</v>
      </c>
      <c r="I133" s="534">
        <v>209.31</v>
      </c>
      <c r="J133" s="494" t="s">
        <v>633</v>
      </c>
      <c r="K133" s="495">
        <v>157.76</v>
      </c>
      <c r="L133" s="496">
        <v>2.4300000000000002</v>
      </c>
      <c r="M133" s="495">
        <v>164.16</v>
      </c>
      <c r="N133" s="495">
        <v>5.36</v>
      </c>
      <c r="O133" s="495">
        <v>0</v>
      </c>
      <c r="P133" s="495">
        <f t="shared" si="6"/>
        <v>5.36</v>
      </c>
      <c r="Q133" s="497">
        <v>0</v>
      </c>
      <c r="R133" s="497">
        <v>0</v>
      </c>
      <c r="S133" s="497">
        <v>0</v>
      </c>
      <c r="T133" s="495">
        <v>0</v>
      </c>
      <c r="U133" s="495">
        <v>0</v>
      </c>
      <c r="V133" s="495">
        <f t="shared" si="7"/>
        <v>0</v>
      </c>
      <c r="W133" s="498"/>
      <c r="X133" s="499">
        <v>0</v>
      </c>
      <c r="Y133" s="497">
        <v>0</v>
      </c>
      <c r="Z133" s="497">
        <v>0</v>
      </c>
      <c r="AA133" s="497">
        <v>0</v>
      </c>
      <c r="AB133" s="497">
        <f t="shared" si="8"/>
        <v>378.83000000000004</v>
      </c>
      <c r="AC133" s="529"/>
    </row>
    <row r="134" spans="1:29" s="127" customFormat="1">
      <c r="A134" s="249" t="s">
        <v>462</v>
      </c>
      <c r="B134" s="250" t="s">
        <v>480</v>
      </c>
      <c r="C134" s="528" t="s">
        <v>939</v>
      </c>
      <c r="D134" s="238" t="s">
        <v>940</v>
      </c>
      <c r="E134" s="238">
        <v>2</v>
      </c>
      <c r="F134" s="242" t="s">
        <v>683</v>
      </c>
      <c r="G134" s="241" t="s">
        <v>684</v>
      </c>
      <c r="H134" s="241" t="s">
        <v>633</v>
      </c>
      <c r="I134" s="493">
        <v>117.8</v>
      </c>
      <c r="J134" s="494" t="s">
        <v>633</v>
      </c>
      <c r="K134" s="495">
        <v>157.76</v>
      </c>
      <c r="L134" s="496">
        <v>25.05</v>
      </c>
      <c r="M134" s="495">
        <v>164.16</v>
      </c>
      <c r="N134" s="495">
        <v>2.68</v>
      </c>
      <c r="O134" s="495">
        <v>0</v>
      </c>
      <c r="P134" s="495">
        <f t="shared" si="6"/>
        <v>2.68</v>
      </c>
      <c r="Q134" s="497">
        <v>153</v>
      </c>
      <c r="R134" s="497">
        <v>57.62</v>
      </c>
      <c r="S134" s="497">
        <v>0</v>
      </c>
      <c r="T134" s="495">
        <v>0</v>
      </c>
      <c r="U134" s="495">
        <v>0</v>
      </c>
      <c r="V134" s="495">
        <f t="shared" si="7"/>
        <v>0</v>
      </c>
      <c r="W134" s="498"/>
      <c r="X134" s="499">
        <v>0</v>
      </c>
      <c r="Y134" s="497">
        <v>0</v>
      </c>
      <c r="Z134" s="497">
        <v>0</v>
      </c>
      <c r="AA134" s="497">
        <v>0</v>
      </c>
      <c r="AB134" s="497">
        <f t="shared" si="8"/>
        <v>284.64</v>
      </c>
      <c r="AC134" s="529"/>
    </row>
    <row r="135" spans="1:29" s="127" customFormat="1">
      <c r="A135" s="249" t="s">
        <v>462</v>
      </c>
      <c r="B135" s="250" t="s">
        <v>480</v>
      </c>
      <c r="C135" s="528" t="s">
        <v>941</v>
      </c>
      <c r="D135" s="238" t="s">
        <v>942</v>
      </c>
      <c r="E135" s="238">
        <v>2</v>
      </c>
      <c r="F135" s="242" t="s">
        <v>683</v>
      </c>
      <c r="G135" s="241" t="s">
        <v>684</v>
      </c>
      <c r="H135" s="241" t="s">
        <v>633</v>
      </c>
      <c r="I135" s="493">
        <v>119.3</v>
      </c>
      <c r="J135" s="494" t="s">
        <v>633</v>
      </c>
      <c r="K135" s="495">
        <v>157.76</v>
      </c>
      <c r="L135" s="496">
        <v>25.05</v>
      </c>
      <c r="M135" s="495">
        <v>164.16</v>
      </c>
      <c r="N135" s="495">
        <v>2.68</v>
      </c>
      <c r="O135" s="495">
        <v>0</v>
      </c>
      <c r="P135" s="495">
        <f t="shared" si="6"/>
        <v>2.68</v>
      </c>
      <c r="Q135" s="497">
        <v>112.5</v>
      </c>
      <c r="R135" s="497">
        <v>75.150000000000006</v>
      </c>
      <c r="S135" s="497">
        <v>0</v>
      </c>
      <c r="T135" s="495">
        <v>0</v>
      </c>
      <c r="U135" s="495">
        <v>0</v>
      </c>
      <c r="V135" s="495">
        <f t="shared" si="7"/>
        <v>0</v>
      </c>
      <c r="W135" s="498"/>
      <c r="X135" s="499">
        <v>0</v>
      </c>
      <c r="Y135" s="497">
        <v>0</v>
      </c>
      <c r="Z135" s="497">
        <v>0</v>
      </c>
      <c r="AA135" s="497">
        <v>0</v>
      </c>
      <c r="AB135" s="497">
        <f t="shared" si="8"/>
        <v>286.14</v>
      </c>
      <c r="AC135" s="529"/>
    </row>
    <row r="136" spans="1:29" s="127" customFormat="1">
      <c r="A136" s="249" t="s">
        <v>462</v>
      </c>
      <c r="B136" s="250" t="s">
        <v>480</v>
      </c>
      <c r="C136" s="528">
        <v>89866681491</v>
      </c>
      <c r="D136" s="238" t="s">
        <v>943</v>
      </c>
      <c r="E136" s="238">
        <v>2</v>
      </c>
      <c r="F136" s="242" t="s">
        <v>683</v>
      </c>
      <c r="G136" s="241" t="s">
        <v>684</v>
      </c>
      <c r="H136" s="241" t="s">
        <v>633</v>
      </c>
      <c r="I136" s="493">
        <v>117.8</v>
      </c>
      <c r="J136" s="494" t="s">
        <v>633</v>
      </c>
      <c r="K136" s="495">
        <v>157.76</v>
      </c>
      <c r="L136" s="496">
        <v>25.05</v>
      </c>
      <c r="M136" s="495">
        <v>164.16</v>
      </c>
      <c r="N136" s="495">
        <v>2.68</v>
      </c>
      <c r="O136" s="495">
        <v>0</v>
      </c>
      <c r="P136" s="495">
        <f t="shared" si="6"/>
        <v>2.68</v>
      </c>
      <c r="Q136" s="497">
        <v>189</v>
      </c>
      <c r="R136" s="497">
        <v>47.97</v>
      </c>
      <c r="S136" s="497">
        <v>0</v>
      </c>
      <c r="T136" s="495">
        <v>250.51</v>
      </c>
      <c r="U136" s="495">
        <v>0</v>
      </c>
      <c r="V136" s="495">
        <f t="shared" si="7"/>
        <v>250.51</v>
      </c>
      <c r="W136" s="498"/>
      <c r="X136" s="499">
        <v>0</v>
      </c>
      <c r="Y136" s="497">
        <v>0</v>
      </c>
      <c r="Z136" s="497">
        <v>0</v>
      </c>
      <c r="AA136" s="497">
        <v>0</v>
      </c>
      <c r="AB136" s="497">
        <f t="shared" si="8"/>
        <v>535.15</v>
      </c>
      <c r="AC136" s="529"/>
    </row>
    <row r="137" spans="1:29" s="127" customFormat="1">
      <c r="A137" s="255"/>
      <c r="B137" s="256"/>
      <c r="C137" s="255"/>
      <c r="D137" s="257"/>
      <c r="E137" s="258"/>
      <c r="F137" s="255"/>
      <c r="G137" s="255"/>
      <c r="H137" s="255"/>
      <c r="I137" s="501"/>
      <c r="J137" s="501"/>
      <c r="K137" s="495"/>
      <c r="L137" s="502">
        <v>0</v>
      </c>
      <c r="M137" s="502">
        <v>0</v>
      </c>
      <c r="N137" s="502">
        <v>0</v>
      </c>
      <c r="O137" s="502">
        <v>0</v>
      </c>
      <c r="P137" s="502">
        <v>0</v>
      </c>
      <c r="Q137" s="502">
        <v>0</v>
      </c>
      <c r="R137" s="502">
        <v>0</v>
      </c>
      <c r="S137" s="502">
        <v>0</v>
      </c>
      <c r="T137" s="502">
        <v>0</v>
      </c>
      <c r="U137" s="502">
        <v>0</v>
      </c>
      <c r="V137" s="502">
        <v>0</v>
      </c>
      <c r="W137" s="502"/>
      <c r="X137" s="502">
        <v>0</v>
      </c>
      <c r="Y137" s="502">
        <v>0</v>
      </c>
      <c r="Z137" s="497">
        <v>0</v>
      </c>
      <c r="AA137" s="502"/>
      <c r="AB137" s="502">
        <v>0</v>
      </c>
      <c r="AC137" s="529"/>
    </row>
    <row r="138" spans="1:29" s="127" customFormat="1">
      <c r="A138" s="255"/>
      <c r="B138" s="256"/>
      <c r="C138" s="255"/>
      <c r="D138" s="257"/>
      <c r="E138" s="258"/>
      <c r="F138" s="255"/>
      <c r="G138" s="255"/>
      <c r="H138" s="255"/>
      <c r="I138" s="501"/>
      <c r="J138" s="501"/>
      <c r="K138" s="495"/>
      <c r="L138" s="502">
        <v>0</v>
      </c>
      <c r="M138" s="502">
        <v>0</v>
      </c>
      <c r="N138" s="502">
        <v>0</v>
      </c>
      <c r="O138" s="502">
        <v>0</v>
      </c>
      <c r="P138" s="502">
        <v>0</v>
      </c>
      <c r="Q138" s="502">
        <v>0</v>
      </c>
      <c r="R138" s="502">
        <v>0</v>
      </c>
      <c r="S138" s="502">
        <v>0</v>
      </c>
      <c r="T138" s="502">
        <v>0</v>
      </c>
      <c r="U138" s="502">
        <v>0</v>
      </c>
      <c r="V138" s="502">
        <v>0</v>
      </c>
      <c r="W138" s="502"/>
      <c r="X138" s="502">
        <v>0</v>
      </c>
      <c r="Y138" s="502">
        <v>0</v>
      </c>
      <c r="Z138" s="497">
        <v>0</v>
      </c>
      <c r="AA138" s="502"/>
      <c r="AB138" s="502">
        <v>0</v>
      </c>
      <c r="AC138" s="529"/>
    </row>
    <row r="139" spans="1:29" s="127" customFormat="1">
      <c r="A139" s="255"/>
      <c r="B139" s="256"/>
      <c r="C139" s="255"/>
      <c r="D139" s="257"/>
      <c r="E139" s="258"/>
      <c r="F139" s="255"/>
      <c r="G139" s="255"/>
      <c r="H139" s="255"/>
      <c r="I139" s="501"/>
      <c r="J139" s="501"/>
      <c r="K139" s="495"/>
      <c r="L139" s="502">
        <v>0</v>
      </c>
      <c r="M139" s="502">
        <v>0</v>
      </c>
      <c r="N139" s="502">
        <v>0</v>
      </c>
      <c r="O139" s="502">
        <v>0</v>
      </c>
      <c r="P139" s="502">
        <v>0</v>
      </c>
      <c r="Q139" s="502">
        <v>0</v>
      </c>
      <c r="R139" s="502">
        <v>0</v>
      </c>
      <c r="S139" s="502">
        <v>0</v>
      </c>
      <c r="T139" s="502">
        <v>0</v>
      </c>
      <c r="U139" s="502">
        <v>0</v>
      </c>
      <c r="V139" s="502">
        <v>0</v>
      </c>
      <c r="W139" s="502"/>
      <c r="X139" s="502">
        <v>0</v>
      </c>
      <c r="Y139" s="502">
        <v>0</v>
      </c>
      <c r="Z139" s="497">
        <v>0</v>
      </c>
      <c r="AA139" s="502"/>
      <c r="AB139" s="502">
        <v>0</v>
      </c>
      <c r="AC139" s="529"/>
    </row>
    <row r="140" spans="1:29" s="127" customFormat="1">
      <c r="A140" s="255"/>
      <c r="B140" s="256"/>
      <c r="C140" s="255"/>
      <c r="D140" s="257"/>
      <c r="E140" s="258"/>
      <c r="F140" s="255"/>
      <c r="G140" s="255"/>
      <c r="H140" s="255"/>
      <c r="I140" s="501"/>
      <c r="J140" s="501"/>
      <c r="K140" s="495"/>
      <c r="L140" s="502">
        <v>0</v>
      </c>
      <c r="M140" s="502">
        <v>0</v>
      </c>
      <c r="N140" s="502">
        <v>0</v>
      </c>
      <c r="O140" s="502">
        <v>0</v>
      </c>
      <c r="P140" s="502">
        <v>0</v>
      </c>
      <c r="Q140" s="502">
        <v>0</v>
      </c>
      <c r="R140" s="502">
        <v>0</v>
      </c>
      <c r="S140" s="502">
        <v>0</v>
      </c>
      <c r="T140" s="502">
        <v>0</v>
      </c>
      <c r="U140" s="502">
        <v>0</v>
      </c>
      <c r="V140" s="502">
        <v>0</v>
      </c>
      <c r="W140" s="502"/>
      <c r="X140" s="502">
        <v>0</v>
      </c>
      <c r="Y140" s="502">
        <v>0</v>
      </c>
      <c r="Z140" s="497">
        <v>0</v>
      </c>
      <c r="AA140" s="502"/>
      <c r="AB140" s="502">
        <v>0</v>
      </c>
      <c r="AC140" s="529"/>
    </row>
    <row r="141" spans="1:29" s="127" customFormat="1">
      <c r="A141" s="255"/>
      <c r="B141" s="256"/>
      <c r="C141" s="255"/>
      <c r="D141" s="257"/>
      <c r="E141" s="258"/>
      <c r="F141" s="255"/>
      <c r="G141" s="255"/>
      <c r="H141" s="255"/>
      <c r="I141" s="501"/>
      <c r="J141" s="501"/>
      <c r="K141" s="495"/>
      <c r="L141" s="502">
        <v>0</v>
      </c>
      <c r="M141" s="502">
        <v>0</v>
      </c>
      <c r="N141" s="502">
        <v>0</v>
      </c>
      <c r="O141" s="502">
        <v>0</v>
      </c>
      <c r="P141" s="502">
        <v>0</v>
      </c>
      <c r="Q141" s="502">
        <v>0</v>
      </c>
      <c r="R141" s="502">
        <v>0</v>
      </c>
      <c r="S141" s="502">
        <v>0</v>
      </c>
      <c r="T141" s="502">
        <v>0</v>
      </c>
      <c r="U141" s="502">
        <v>0</v>
      </c>
      <c r="V141" s="502">
        <v>0</v>
      </c>
      <c r="W141" s="502"/>
      <c r="X141" s="502">
        <v>0</v>
      </c>
      <c r="Y141" s="502">
        <v>0</v>
      </c>
      <c r="Z141" s="497">
        <v>0</v>
      </c>
      <c r="AA141" s="502"/>
      <c r="AB141" s="502">
        <v>0</v>
      </c>
      <c r="AC141" s="529"/>
    </row>
    <row r="142" spans="1:29" s="127" customFormat="1">
      <c r="A142" s="255"/>
      <c r="B142" s="256"/>
      <c r="C142" s="255"/>
      <c r="D142" s="257"/>
      <c r="E142" s="258"/>
      <c r="F142" s="255"/>
      <c r="G142" s="255"/>
      <c r="H142" s="255"/>
      <c r="I142" s="501"/>
      <c r="J142" s="501"/>
      <c r="K142" s="495"/>
      <c r="L142" s="502">
        <v>0</v>
      </c>
      <c r="M142" s="502">
        <v>0</v>
      </c>
      <c r="N142" s="502">
        <v>0</v>
      </c>
      <c r="O142" s="502">
        <v>0</v>
      </c>
      <c r="P142" s="502">
        <v>0</v>
      </c>
      <c r="Q142" s="502">
        <v>0</v>
      </c>
      <c r="R142" s="502">
        <v>0</v>
      </c>
      <c r="S142" s="502">
        <v>0</v>
      </c>
      <c r="T142" s="502">
        <v>0</v>
      </c>
      <c r="U142" s="502">
        <v>0</v>
      </c>
      <c r="V142" s="502">
        <v>0</v>
      </c>
      <c r="W142" s="502"/>
      <c r="X142" s="502">
        <v>0</v>
      </c>
      <c r="Y142" s="502">
        <v>0</v>
      </c>
      <c r="Z142" s="497">
        <v>0</v>
      </c>
      <c r="AA142" s="502"/>
      <c r="AB142" s="502">
        <v>0</v>
      </c>
      <c r="AC142" s="529"/>
    </row>
    <row r="143" spans="1:29" s="127" customFormat="1">
      <c r="A143" s="255"/>
      <c r="B143" s="256"/>
      <c r="C143" s="255"/>
      <c r="D143" s="254"/>
      <c r="E143" s="258"/>
      <c r="F143" s="255"/>
      <c r="G143" s="255"/>
      <c r="H143" s="255"/>
      <c r="I143" s="501"/>
      <c r="J143" s="501"/>
      <c r="K143" s="495"/>
      <c r="L143" s="502">
        <v>0</v>
      </c>
      <c r="M143" s="502">
        <v>0</v>
      </c>
      <c r="N143" s="502">
        <v>0</v>
      </c>
      <c r="O143" s="502">
        <v>0</v>
      </c>
      <c r="P143" s="502">
        <v>0</v>
      </c>
      <c r="Q143" s="502">
        <v>0</v>
      </c>
      <c r="R143" s="502">
        <v>0</v>
      </c>
      <c r="S143" s="502">
        <v>0</v>
      </c>
      <c r="T143" s="502">
        <v>0</v>
      </c>
      <c r="U143" s="502">
        <v>0</v>
      </c>
      <c r="V143" s="502">
        <v>0</v>
      </c>
      <c r="W143" s="502"/>
      <c r="X143" s="502">
        <v>0</v>
      </c>
      <c r="Y143" s="502">
        <v>0</v>
      </c>
      <c r="Z143" s="497">
        <v>0</v>
      </c>
      <c r="AA143" s="502"/>
      <c r="AB143" s="502">
        <v>0</v>
      </c>
      <c r="AC143" s="529"/>
    </row>
    <row r="144" spans="1:29" s="127" customFormat="1">
      <c r="A144" s="255"/>
      <c r="B144" s="256"/>
      <c r="C144" s="255"/>
      <c r="D144" s="257"/>
      <c r="E144" s="259"/>
      <c r="F144" s="255"/>
      <c r="G144" s="255"/>
      <c r="H144" s="255"/>
      <c r="I144" s="501"/>
      <c r="J144" s="501"/>
      <c r="K144" s="495"/>
      <c r="L144" s="502">
        <v>0</v>
      </c>
      <c r="M144" s="502">
        <v>0</v>
      </c>
      <c r="N144" s="502">
        <v>0</v>
      </c>
      <c r="O144" s="502">
        <v>0</v>
      </c>
      <c r="P144" s="502">
        <v>0</v>
      </c>
      <c r="Q144" s="502">
        <v>0</v>
      </c>
      <c r="R144" s="502">
        <v>0</v>
      </c>
      <c r="S144" s="502">
        <v>0</v>
      </c>
      <c r="T144" s="502">
        <v>0</v>
      </c>
      <c r="U144" s="502">
        <v>0</v>
      </c>
      <c r="V144" s="502">
        <v>0</v>
      </c>
      <c r="W144" s="502"/>
      <c r="X144" s="502">
        <v>0</v>
      </c>
      <c r="Y144" s="502">
        <v>0</v>
      </c>
      <c r="Z144" s="497">
        <v>0</v>
      </c>
      <c r="AA144" s="502"/>
      <c r="AB144" s="502">
        <v>0</v>
      </c>
      <c r="AC144" s="529"/>
    </row>
    <row r="145" spans="1:29" s="127" customFormat="1">
      <c r="A145" s="255"/>
      <c r="B145" s="256"/>
      <c r="C145" s="255"/>
      <c r="D145" s="257"/>
      <c r="E145" s="258"/>
      <c r="F145" s="255"/>
      <c r="G145" s="255"/>
      <c r="H145" s="255"/>
      <c r="I145" s="501"/>
      <c r="J145" s="501"/>
      <c r="K145" s="495"/>
      <c r="L145" s="502">
        <v>0</v>
      </c>
      <c r="M145" s="502">
        <v>0</v>
      </c>
      <c r="N145" s="502">
        <v>0</v>
      </c>
      <c r="O145" s="502">
        <v>0</v>
      </c>
      <c r="P145" s="502">
        <v>0</v>
      </c>
      <c r="Q145" s="502">
        <v>0</v>
      </c>
      <c r="R145" s="502">
        <v>0</v>
      </c>
      <c r="S145" s="502">
        <v>0</v>
      </c>
      <c r="T145" s="502">
        <v>0</v>
      </c>
      <c r="U145" s="502">
        <v>0</v>
      </c>
      <c r="V145" s="502">
        <v>0</v>
      </c>
      <c r="W145" s="502"/>
      <c r="X145" s="502">
        <v>0</v>
      </c>
      <c r="Y145" s="502">
        <v>0</v>
      </c>
      <c r="Z145" s="497">
        <v>0</v>
      </c>
      <c r="AA145" s="502"/>
      <c r="AB145" s="502">
        <v>0</v>
      </c>
      <c r="AC145" s="529"/>
    </row>
    <row r="146" spans="1:29" s="127" customFormat="1">
      <c r="A146" s="255"/>
      <c r="B146" s="256"/>
      <c r="C146" s="255"/>
      <c r="D146" s="257"/>
      <c r="E146" s="258"/>
      <c r="F146" s="255"/>
      <c r="G146" s="255"/>
      <c r="H146" s="255"/>
      <c r="I146" s="501"/>
      <c r="J146" s="501"/>
      <c r="K146" s="495"/>
      <c r="L146" s="502">
        <v>0</v>
      </c>
      <c r="M146" s="502">
        <v>0</v>
      </c>
      <c r="N146" s="502">
        <v>0</v>
      </c>
      <c r="O146" s="502">
        <v>0</v>
      </c>
      <c r="P146" s="502">
        <v>0</v>
      </c>
      <c r="Q146" s="502">
        <v>0</v>
      </c>
      <c r="R146" s="502">
        <v>0</v>
      </c>
      <c r="S146" s="502">
        <v>0</v>
      </c>
      <c r="T146" s="502">
        <v>0</v>
      </c>
      <c r="U146" s="502">
        <v>0</v>
      </c>
      <c r="V146" s="502">
        <v>0</v>
      </c>
      <c r="W146" s="502"/>
      <c r="X146" s="502">
        <v>0</v>
      </c>
      <c r="Y146" s="502">
        <v>0</v>
      </c>
      <c r="Z146" s="497">
        <v>0</v>
      </c>
      <c r="AA146" s="502"/>
      <c r="AB146" s="502">
        <v>0</v>
      </c>
      <c r="AC146" s="529"/>
    </row>
    <row r="147" spans="1:29" s="127" customFormat="1">
      <c r="A147" s="255"/>
      <c r="B147" s="256"/>
      <c r="C147" s="255"/>
      <c r="D147" s="257"/>
      <c r="E147" s="258"/>
      <c r="F147" s="255"/>
      <c r="G147" s="255"/>
      <c r="H147" s="255"/>
      <c r="I147" s="501"/>
      <c r="J147" s="501"/>
      <c r="K147" s="495">
        <v>151.04</v>
      </c>
      <c r="L147" s="502">
        <v>0</v>
      </c>
      <c r="M147" s="502">
        <v>0</v>
      </c>
      <c r="N147" s="502">
        <v>0</v>
      </c>
      <c r="O147" s="502">
        <v>0</v>
      </c>
      <c r="P147" s="502">
        <v>0</v>
      </c>
      <c r="Q147" s="502">
        <v>0</v>
      </c>
      <c r="R147" s="502">
        <v>0</v>
      </c>
      <c r="S147" s="502">
        <v>0</v>
      </c>
      <c r="T147" s="502">
        <v>0</v>
      </c>
      <c r="U147" s="502">
        <v>0</v>
      </c>
      <c r="V147" s="502">
        <v>0</v>
      </c>
      <c r="W147" s="502"/>
      <c r="X147" s="502">
        <v>0</v>
      </c>
      <c r="Y147" s="502">
        <v>0</v>
      </c>
      <c r="Z147" s="497">
        <v>0</v>
      </c>
      <c r="AA147" s="502"/>
      <c r="AB147" s="502">
        <v>0</v>
      </c>
      <c r="AC147" s="529"/>
    </row>
    <row r="148" spans="1:29" s="127" customFormat="1">
      <c r="A148" s="255"/>
      <c r="B148" s="256"/>
      <c r="C148" s="255"/>
      <c r="D148" s="254"/>
      <c r="E148" s="258"/>
      <c r="F148" s="255"/>
      <c r="G148" s="255"/>
      <c r="H148" s="255"/>
      <c r="I148" s="501"/>
      <c r="J148" s="501"/>
      <c r="K148" s="495">
        <v>151.04</v>
      </c>
      <c r="L148" s="502">
        <v>0</v>
      </c>
      <c r="M148" s="502">
        <v>0</v>
      </c>
      <c r="N148" s="502">
        <v>0</v>
      </c>
      <c r="O148" s="502">
        <v>0</v>
      </c>
      <c r="P148" s="502">
        <v>0</v>
      </c>
      <c r="Q148" s="502">
        <v>0</v>
      </c>
      <c r="R148" s="502">
        <v>0</v>
      </c>
      <c r="S148" s="502">
        <v>0</v>
      </c>
      <c r="T148" s="502">
        <v>0</v>
      </c>
      <c r="U148" s="502">
        <v>0</v>
      </c>
      <c r="V148" s="502">
        <v>0</v>
      </c>
      <c r="W148" s="502"/>
      <c r="X148" s="502">
        <v>0</v>
      </c>
      <c r="Y148" s="502">
        <v>0</v>
      </c>
      <c r="Z148" s="497">
        <v>0</v>
      </c>
      <c r="AA148" s="502"/>
      <c r="AB148" s="502">
        <v>0</v>
      </c>
      <c r="AC148" s="529"/>
    </row>
    <row r="149" spans="1:29" s="127" customFormat="1">
      <c r="A149" s="255"/>
      <c r="B149" s="256"/>
      <c r="C149" s="255"/>
      <c r="D149" s="254"/>
      <c r="E149" s="258"/>
      <c r="F149" s="255"/>
      <c r="G149" s="255"/>
      <c r="H149" s="255"/>
      <c r="I149" s="501"/>
      <c r="J149" s="501"/>
      <c r="K149" s="495">
        <v>151.04</v>
      </c>
      <c r="L149" s="502">
        <v>0</v>
      </c>
      <c r="M149" s="502">
        <v>0</v>
      </c>
      <c r="N149" s="502">
        <v>0</v>
      </c>
      <c r="O149" s="502">
        <v>0</v>
      </c>
      <c r="P149" s="502">
        <v>0</v>
      </c>
      <c r="Q149" s="502">
        <v>0</v>
      </c>
      <c r="R149" s="502">
        <v>0</v>
      </c>
      <c r="S149" s="502">
        <v>0</v>
      </c>
      <c r="T149" s="502">
        <v>0</v>
      </c>
      <c r="U149" s="502">
        <v>0</v>
      </c>
      <c r="V149" s="502">
        <v>0</v>
      </c>
      <c r="W149" s="502"/>
      <c r="X149" s="502">
        <v>0</v>
      </c>
      <c r="Y149" s="502">
        <v>0</v>
      </c>
      <c r="Z149" s="497">
        <v>0</v>
      </c>
      <c r="AA149" s="502"/>
      <c r="AB149" s="502">
        <v>0</v>
      </c>
      <c r="AC149" s="529"/>
    </row>
    <row r="150" spans="1:29" s="127" customFormat="1">
      <c r="A150" s="255"/>
      <c r="B150" s="256"/>
      <c r="C150" s="255"/>
      <c r="D150" s="257"/>
      <c r="E150" s="259"/>
      <c r="F150" s="255"/>
      <c r="G150" s="255"/>
      <c r="H150" s="255"/>
      <c r="I150" s="501"/>
      <c r="J150" s="501"/>
      <c r="K150" s="495">
        <v>151.04</v>
      </c>
      <c r="L150" s="502">
        <v>0</v>
      </c>
      <c r="M150" s="502">
        <v>0</v>
      </c>
      <c r="N150" s="502">
        <v>0</v>
      </c>
      <c r="O150" s="502">
        <v>0</v>
      </c>
      <c r="P150" s="502">
        <v>0</v>
      </c>
      <c r="Q150" s="502">
        <v>0</v>
      </c>
      <c r="R150" s="502">
        <v>0</v>
      </c>
      <c r="S150" s="502">
        <v>0</v>
      </c>
      <c r="T150" s="502">
        <v>0</v>
      </c>
      <c r="U150" s="502">
        <v>0</v>
      </c>
      <c r="V150" s="502">
        <v>0</v>
      </c>
      <c r="W150" s="502"/>
      <c r="X150" s="502">
        <v>0</v>
      </c>
      <c r="Y150" s="502">
        <v>0</v>
      </c>
      <c r="Z150" s="497">
        <v>0</v>
      </c>
      <c r="AA150" s="502"/>
      <c r="AB150" s="502">
        <v>0</v>
      </c>
      <c r="AC150" s="529"/>
    </row>
    <row r="151" spans="1:29" s="127" customFormat="1">
      <c r="A151" s="255"/>
      <c r="B151" s="256"/>
      <c r="C151" s="255"/>
      <c r="D151" s="257"/>
      <c r="E151" s="258"/>
      <c r="F151" s="255"/>
      <c r="G151" s="255"/>
      <c r="H151" s="255"/>
      <c r="I151" s="501"/>
      <c r="J151" s="501"/>
      <c r="K151" s="495">
        <v>151.04</v>
      </c>
      <c r="L151" s="502">
        <v>0</v>
      </c>
      <c r="M151" s="502">
        <v>0</v>
      </c>
      <c r="N151" s="502">
        <v>0</v>
      </c>
      <c r="O151" s="502">
        <v>0</v>
      </c>
      <c r="P151" s="502">
        <v>0</v>
      </c>
      <c r="Q151" s="502">
        <v>0</v>
      </c>
      <c r="R151" s="502">
        <v>0</v>
      </c>
      <c r="S151" s="502">
        <v>0</v>
      </c>
      <c r="T151" s="502">
        <v>0</v>
      </c>
      <c r="U151" s="502">
        <v>0</v>
      </c>
      <c r="V151" s="502">
        <v>0</v>
      </c>
      <c r="W151" s="502"/>
      <c r="X151" s="502">
        <v>0</v>
      </c>
      <c r="Y151" s="502">
        <v>0</v>
      </c>
      <c r="Z151" s="497">
        <v>0</v>
      </c>
      <c r="AA151" s="502"/>
      <c r="AB151" s="502">
        <v>0</v>
      </c>
      <c r="AC151" s="529"/>
    </row>
    <row r="152" spans="1:29" s="128" customFormat="1">
      <c r="A152" s="255"/>
      <c r="B152" s="256"/>
      <c r="C152" s="255"/>
      <c r="D152" s="257"/>
      <c r="E152" s="258"/>
      <c r="F152" s="255"/>
      <c r="G152" s="255"/>
      <c r="H152" s="255"/>
      <c r="I152" s="501"/>
      <c r="J152" s="501"/>
      <c r="K152" s="495">
        <v>151.04</v>
      </c>
      <c r="L152" s="502">
        <v>0</v>
      </c>
      <c r="M152" s="502">
        <v>0</v>
      </c>
      <c r="N152" s="502">
        <v>0</v>
      </c>
      <c r="O152" s="502">
        <v>0</v>
      </c>
      <c r="P152" s="502">
        <v>0</v>
      </c>
      <c r="Q152" s="502">
        <v>0</v>
      </c>
      <c r="R152" s="502">
        <v>0</v>
      </c>
      <c r="S152" s="502">
        <v>0</v>
      </c>
      <c r="T152" s="502">
        <v>0</v>
      </c>
      <c r="U152" s="502">
        <v>0</v>
      </c>
      <c r="V152" s="502">
        <v>0</v>
      </c>
      <c r="W152" s="502"/>
      <c r="X152" s="502">
        <v>0</v>
      </c>
      <c r="Y152" s="502">
        <v>0</v>
      </c>
      <c r="Z152" s="497">
        <v>0</v>
      </c>
      <c r="AA152" s="502"/>
      <c r="AB152" s="502">
        <v>0</v>
      </c>
      <c r="AC152" s="530"/>
    </row>
    <row r="153" spans="1:29" s="127" customFormat="1">
      <c r="A153" s="255"/>
      <c r="B153" s="256"/>
      <c r="C153" s="255"/>
      <c r="D153" s="257"/>
      <c r="E153" s="258"/>
      <c r="F153" s="255"/>
      <c r="G153" s="255"/>
      <c r="H153" s="255"/>
      <c r="I153" s="501"/>
      <c r="J153" s="501"/>
      <c r="K153" s="495">
        <v>151.04</v>
      </c>
      <c r="L153" s="502">
        <v>0</v>
      </c>
      <c r="M153" s="502">
        <v>0</v>
      </c>
      <c r="N153" s="502">
        <v>0</v>
      </c>
      <c r="O153" s="502">
        <v>0</v>
      </c>
      <c r="P153" s="502">
        <v>0</v>
      </c>
      <c r="Q153" s="502">
        <v>0</v>
      </c>
      <c r="R153" s="502">
        <v>0</v>
      </c>
      <c r="S153" s="502">
        <v>0</v>
      </c>
      <c r="T153" s="502">
        <v>0</v>
      </c>
      <c r="U153" s="502">
        <v>0</v>
      </c>
      <c r="V153" s="502">
        <v>0</v>
      </c>
      <c r="W153" s="502"/>
      <c r="X153" s="502">
        <v>0</v>
      </c>
      <c r="Y153" s="502">
        <v>0</v>
      </c>
      <c r="Z153" s="497">
        <v>0</v>
      </c>
      <c r="AA153" s="502"/>
      <c r="AB153" s="502">
        <v>0</v>
      </c>
      <c r="AC153" s="529"/>
    </row>
    <row r="154" spans="1:29" s="127" customFormat="1">
      <c r="A154" s="255"/>
      <c r="B154" s="256"/>
      <c r="C154" s="255"/>
      <c r="D154" s="257"/>
      <c r="E154" s="259"/>
      <c r="F154" s="255"/>
      <c r="G154" s="255"/>
      <c r="H154" s="255"/>
      <c r="I154" s="501"/>
      <c r="J154" s="501"/>
      <c r="K154" s="495">
        <v>151.04</v>
      </c>
      <c r="L154" s="502">
        <v>0</v>
      </c>
      <c r="M154" s="502">
        <v>0</v>
      </c>
      <c r="N154" s="502">
        <v>0</v>
      </c>
      <c r="O154" s="502">
        <v>0</v>
      </c>
      <c r="P154" s="502">
        <v>0</v>
      </c>
      <c r="Q154" s="502">
        <v>0</v>
      </c>
      <c r="R154" s="502">
        <v>0</v>
      </c>
      <c r="S154" s="502">
        <v>0</v>
      </c>
      <c r="T154" s="502">
        <v>0</v>
      </c>
      <c r="U154" s="502">
        <v>0</v>
      </c>
      <c r="V154" s="502">
        <v>0</v>
      </c>
      <c r="W154" s="502"/>
      <c r="X154" s="502">
        <v>0</v>
      </c>
      <c r="Y154" s="502">
        <v>0</v>
      </c>
      <c r="Z154" s="497">
        <v>0</v>
      </c>
      <c r="AA154" s="502"/>
      <c r="AB154" s="502">
        <v>0</v>
      </c>
      <c r="AC154" s="529"/>
    </row>
    <row r="155" spans="1:29" s="127" customFormat="1">
      <c r="A155" s="255"/>
      <c r="B155" s="256"/>
      <c r="C155" s="255"/>
      <c r="D155" s="257"/>
      <c r="E155" s="259"/>
      <c r="F155" s="255"/>
      <c r="G155" s="255"/>
      <c r="H155" s="255"/>
      <c r="I155" s="501"/>
      <c r="J155" s="501"/>
      <c r="K155" s="495">
        <v>151.04</v>
      </c>
      <c r="L155" s="502">
        <v>0</v>
      </c>
      <c r="M155" s="502">
        <v>0</v>
      </c>
      <c r="N155" s="502">
        <v>0</v>
      </c>
      <c r="O155" s="502">
        <v>0</v>
      </c>
      <c r="P155" s="502">
        <v>0</v>
      </c>
      <c r="Q155" s="502">
        <v>0</v>
      </c>
      <c r="R155" s="502">
        <v>0</v>
      </c>
      <c r="S155" s="502">
        <v>0</v>
      </c>
      <c r="T155" s="502">
        <v>0</v>
      </c>
      <c r="U155" s="502">
        <v>0</v>
      </c>
      <c r="V155" s="502">
        <v>0</v>
      </c>
      <c r="W155" s="502"/>
      <c r="X155" s="502">
        <v>0</v>
      </c>
      <c r="Y155" s="502">
        <v>0</v>
      </c>
      <c r="Z155" s="497">
        <v>0</v>
      </c>
      <c r="AA155" s="502"/>
      <c r="AB155" s="502">
        <v>0</v>
      </c>
      <c r="AC155" s="529"/>
    </row>
    <row r="156" spans="1:29" s="127" customFormat="1">
      <c r="A156" s="255"/>
      <c r="B156" s="256"/>
      <c r="C156" s="255"/>
      <c r="D156" s="257"/>
      <c r="E156" s="258"/>
      <c r="F156" s="255"/>
      <c r="G156" s="255"/>
      <c r="H156" s="255"/>
      <c r="I156" s="501"/>
      <c r="J156" s="501"/>
      <c r="K156" s="495">
        <v>151.04</v>
      </c>
      <c r="L156" s="502">
        <v>0</v>
      </c>
      <c r="M156" s="502">
        <v>0</v>
      </c>
      <c r="N156" s="502">
        <v>0</v>
      </c>
      <c r="O156" s="502">
        <v>0</v>
      </c>
      <c r="P156" s="502">
        <v>0</v>
      </c>
      <c r="Q156" s="502">
        <v>0</v>
      </c>
      <c r="R156" s="502">
        <v>0</v>
      </c>
      <c r="S156" s="502">
        <v>0</v>
      </c>
      <c r="T156" s="502">
        <v>0</v>
      </c>
      <c r="U156" s="502">
        <v>0</v>
      </c>
      <c r="V156" s="502">
        <v>0</v>
      </c>
      <c r="W156" s="502"/>
      <c r="X156" s="502">
        <v>0</v>
      </c>
      <c r="Y156" s="502">
        <v>0</v>
      </c>
      <c r="Z156" s="497">
        <v>0</v>
      </c>
      <c r="AA156" s="502"/>
      <c r="AB156" s="502">
        <v>0</v>
      </c>
      <c r="AC156" s="529"/>
    </row>
    <row r="157" spans="1:29" s="127" customFormat="1">
      <c r="A157" s="255"/>
      <c r="B157" s="256"/>
      <c r="C157" s="255"/>
      <c r="D157" s="257"/>
      <c r="E157" s="260"/>
      <c r="F157" s="255"/>
      <c r="G157" s="255"/>
      <c r="H157" s="255"/>
      <c r="I157" s="501"/>
      <c r="J157" s="501"/>
      <c r="K157" s="495">
        <v>151.04</v>
      </c>
      <c r="L157" s="502">
        <v>0</v>
      </c>
      <c r="M157" s="502">
        <v>0</v>
      </c>
      <c r="N157" s="502">
        <v>0</v>
      </c>
      <c r="O157" s="502">
        <v>0</v>
      </c>
      <c r="P157" s="502">
        <v>0</v>
      </c>
      <c r="Q157" s="502">
        <v>0</v>
      </c>
      <c r="R157" s="502">
        <v>0</v>
      </c>
      <c r="S157" s="502">
        <v>0</v>
      </c>
      <c r="T157" s="502">
        <v>0</v>
      </c>
      <c r="U157" s="502">
        <v>0</v>
      </c>
      <c r="V157" s="502">
        <v>0</v>
      </c>
      <c r="W157" s="502"/>
      <c r="X157" s="502">
        <v>0</v>
      </c>
      <c r="Y157" s="502">
        <v>0</v>
      </c>
      <c r="Z157" s="497">
        <v>0</v>
      </c>
      <c r="AA157" s="502"/>
      <c r="AB157" s="502">
        <v>0</v>
      </c>
      <c r="AC157" s="529"/>
    </row>
    <row r="158" spans="1:29" s="127" customFormat="1">
      <c r="A158" s="255"/>
      <c r="B158" s="256"/>
      <c r="C158" s="255"/>
      <c r="D158" s="257"/>
      <c r="E158" s="260"/>
      <c r="F158" s="255"/>
      <c r="G158" s="255"/>
      <c r="H158" s="255"/>
      <c r="I158" s="501"/>
      <c r="J158" s="501"/>
      <c r="K158" s="495">
        <v>151.04</v>
      </c>
      <c r="L158" s="502">
        <v>0</v>
      </c>
      <c r="M158" s="502">
        <v>0</v>
      </c>
      <c r="N158" s="502">
        <v>0</v>
      </c>
      <c r="O158" s="502">
        <v>0</v>
      </c>
      <c r="P158" s="502">
        <v>0</v>
      </c>
      <c r="Q158" s="502">
        <v>0</v>
      </c>
      <c r="R158" s="502">
        <v>0</v>
      </c>
      <c r="S158" s="502">
        <v>0</v>
      </c>
      <c r="T158" s="502">
        <v>0</v>
      </c>
      <c r="U158" s="502">
        <v>0</v>
      </c>
      <c r="V158" s="502">
        <v>0</v>
      </c>
      <c r="W158" s="502"/>
      <c r="X158" s="502">
        <v>0</v>
      </c>
      <c r="Y158" s="502">
        <v>0</v>
      </c>
      <c r="Z158" s="497">
        <v>0</v>
      </c>
      <c r="AA158" s="502"/>
      <c r="AB158" s="502">
        <v>0</v>
      </c>
      <c r="AC158" s="529"/>
    </row>
    <row r="159" spans="1:29" s="127" customFormat="1">
      <c r="A159" s="255"/>
      <c r="B159" s="256"/>
      <c r="C159" s="255"/>
      <c r="D159" s="257"/>
      <c r="E159" s="258"/>
      <c r="F159" s="255"/>
      <c r="G159" s="255"/>
      <c r="H159" s="255"/>
      <c r="I159" s="501"/>
      <c r="J159" s="501"/>
      <c r="K159" s="495">
        <v>151.04</v>
      </c>
      <c r="L159" s="502">
        <v>0</v>
      </c>
      <c r="M159" s="502">
        <v>0</v>
      </c>
      <c r="N159" s="502">
        <v>0</v>
      </c>
      <c r="O159" s="502">
        <v>0</v>
      </c>
      <c r="P159" s="502">
        <v>0</v>
      </c>
      <c r="Q159" s="502">
        <v>0</v>
      </c>
      <c r="R159" s="502">
        <v>0</v>
      </c>
      <c r="S159" s="502">
        <v>0</v>
      </c>
      <c r="T159" s="502">
        <v>0</v>
      </c>
      <c r="U159" s="502">
        <v>0</v>
      </c>
      <c r="V159" s="502">
        <v>0</v>
      </c>
      <c r="W159" s="502"/>
      <c r="X159" s="502">
        <v>0</v>
      </c>
      <c r="Y159" s="502">
        <v>0</v>
      </c>
      <c r="Z159" s="497">
        <v>0</v>
      </c>
      <c r="AA159" s="502"/>
      <c r="AB159" s="502">
        <v>0</v>
      </c>
      <c r="AC159" s="529"/>
    </row>
    <row r="160" spans="1:29" s="127" customFormat="1">
      <c r="A160" s="255"/>
      <c r="B160" s="256"/>
      <c r="C160" s="255"/>
      <c r="D160" s="257"/>
      <c r="E160" s="258"/>
      <c r="F160" s="255"/>
      <c r="G160" s="255"/>
      <c r="H160" s="255"/>
      <c r="I160" s="501"/>
      <c r="J160" s="501"/>
      <c r="K160" s="495">
        <v>151.04</v>
      </c>
      <c r="L160" s="502">
        <v>0</v>
      </c>
      <c r="M160" s="502">
        <v>0</v>
      </c>
      <c r="N160" s="502">
        <v>0</v>
      </c>
      <c r="O160" s="502">
        <v>0</v>
      </c>
      <c r="P160" s="502">
        <v>0</v>
      </c>
      <c r="Q160" s="502">
        <v>0</v>
      </c>
      <c r="R160" s="502">
        <v>0</v>
      </c>
      <c r="S160" s="502">
        <v>0</v>
      </c>
      <c r="T160" s="502">
        <v>0</v>
      </c>
      <c r="U160" s="502">
        <v>0</v>
      </c>
      <c r="V160" s="502">
        <v>0</v>
      </c>
      <c r="W160" s="502"/>
      <c r="X160" s="502">
        <v>0</v>
      </c>
      <c r="Y160" s="502">
        <v>0</v>
      </c>
      <c r="Z160" s="497">
        <v>0</v>
      </c>
      <c r="AA160" s="502"/>
      <c r="AB160" s="502">
        <v>0</v>
      </c>
      <c r="AC160" s="529"/>
    </row>
    <row r="161" spans="1:29" s="127" customFormat="1">
      <c r="A161" s="255"/>
      <c r="B161" s="256"/>
      <c r="C161" s="255"/>
      <c r="D161" s="257"/>
      <c r="E161" s="258"/>
      <c r="F161" s="255"/>
      <c r="G161" s="255"/>
      <c r="H161" s="255"/>
      <c r="I161" s="501"/>
      <c r="J161" s="501"/>
      <c r="K161" s="495">
        <v>151.04</v>
      </c>
      <c r="L161" s="502">
        <v>0</v>
      </c>
      <c r="M161" s="502">
        <v>0</v>
      </c>
      <c r="N161" s="502">
        <v>0</v>
      </c>
      <c r="O161" s="502">
        <v>0</v>
      </c>
      <c r="P161" s="502">
        <v>0</v>
      </c>
      <c r="Q161" s="502">
        <v>0</v>
      </c>
      <c r="R161" s="502">
        <v>0</v>
      </c>
      <c r="S161" s="502">
        <v>0</v>
      </c>
      <c r="T161" s="502">
        <v>0</v>
      </c>
      <c r="U161" s="502">
        <v>0</v>
      </c>
      <c r="V161" s="502">
        <v>0</v>
      </c>
      <c r="W161" s="502"/>
      <c r="X161" s="502">
        <v>0</v>
      </c>
      <c r="Y161" s="502">
        <v>0</v>
      </c>
      <c r="Z161" s="497">
        <v>0</v>
      </c>
      <c r="AA161" s="502"/>
      <c r="AB161" s="502">
        <v>0</v>
      </c>
      <c r="AC161" s="529"/>
    </row>
    <row r="162" spans="1:29" s="127" customFormat="1">
      <c r="A162" s="255"/>
      <c r="B162" s="256"/>
      <c r="C162" s="255"/>
      <c r="D162" s="257"/>
      <c r="E162" s="258"/>
      <c r="F162" s="255"/>
      <c r="G162" s="255"/>
      <c r="H162" s="255"/>
      <c r="I162" s="501"/>
      <c r="J162" s="501"/>
      <c r="K162" s="495">
        <v>151.04</v>
      </c>
      <c r="L162" s="502">
        <v>0</v>
      </c>
      <c r="M162" s="502">
        <v>0</v>
      </c>
      <c r="N162" s="502">
        <v>0</v>
      </c>
      <c r="O162" s="502">
        <v>0</v>
      </c>
      <c r="P162" s="502">
        <v>0</v>
      </c>
      <c r="Q162" s="502">
        <v>0</v>
      </c>
      <c r="R162" s="502">
        <v>0</v>
      </c>
      <c r="S162" s="502">
        <v>0</v>
      </c>
      <c r="T162" s="502">
        <v>0</v>
      </c>
      <c r="U162" s="502">
        <v>0</v>
      </c>
      <c r="V162" s="502">
        <v>0</v>
      </c>
      <c r="W162" s="502"/>
      <c r="X162" s="502">
        <v>0</v>
      </c>
      <c r="Y162" s="502">
        <v>0</v>
      </c>
      <c r="Z162" s="497">
        <v>0</v>
      </c>
      <c r="AA162" s="502"/>
      <c r="AB162" s="502">
        <v>0</v>
      </c>
      <c r="AC162" s="529"/>
    </row>
    <row r="163" spans="1:29" s="127" customFormat="1">
      <c r="A163" s="255"/>
      <c r="B163" s="256"/>
      <c r="C163" s="255"/>
      <c r="D163" s="257"/>
      <c r="E163" s="258"/>
      <c r="F163" s="255"/>
      <c r="G163" s="255"/>
      <c r="H163" s="255"/>
      <c r="I163" s="501"/>
      <c r="J163" s="501"/>
      <c r="K163" s="495">
        <v>151.04</v>
      </c>
      <c r="L163" s="502">
        <v>0</v>
      </c>
      <c r="M163" s="502">
        <v>0</v>
      </c>
      <c r="N163" s="502">
        <v>0</v>
      </c>
      <c r="O163" s="502">
        <v>0</v>
      </c>
      <c r="P163" s="502">
        <v>0</v>
      </c>
      <c r="Q163" s="502">
        <v>0</v>
      </c>
      <c r="R163" s="502">
        <v>0</v>
      </c>
      <c r="S163" s="502">
        <v>0</v>
      </c>
      <c r="T163" s="502">
        <v>0</v>
      </c>
      <c r="U163" s="502">
        <v>0</v>
      </c>
      <c r="V163" s="502">
        <v>0</v>
      </c>
      <c r="W163" s="502"/>
      <c r="X163" s="502">
        <v>0</v>
      </c>
      <c r="Y163" s="502">
        <v>0</v>
      </c>
      <c r="Z163" s="497">
        <v>0</v>
      </c>
      <c r="AA163" s="502"/>
      <c r="AB163" s="502">
        <v>0</v>
      </c>
      <c r="AC163" s="529"/>
    </row>
    <row r="164" spans="1:29" s="127" customFormat="1">
      <c r="A164" s="255"/>
      <c r="B164" s="256"/>
      <c r="C164" s="255"/>
      <c r="D164" s="257"/>
      <c r="E164" s="258"/>
      <c r="F164" s="255"/>
      <c r="G164" s="255"/>
      <c r="H164" s="255"/>
      <c r="I164" s="501"/>
      <c r="J164" s="501"/>
      <c r="K164" s="495">
        <v>151.04</v>
      </c>
      <c r="L164" s="502">
        <v>0</v>
      </c>
      <c r="M164" s="502">
        <v>0</v>
      </c>
      <c r="N164" s="502">
        <v>0</v>
      </c>
      <c r="O164" s="502">
        <v>0</v>
      </c>
      <c r="P164" s="502">
        <v>0</v>
      </c>
      <c r="Q164" s="502">
        <v>0</v>
      </c>
      <c r="R164" s="502">
        <v>0</v>
      </c>
      <c r="S164" s="502">
        <v>0</v>
      </c>
      <c r="T164" s="502">
        <v>0</v>
      </c>
      <c r="U164" s="502">
        <v>0</v>
      </c>
      <c r="V164" s="502">
        <v>0</v>
      </c>
      <c r="W164" s="502"/>
      <c r="X164" s="502">
        <v>0</v>
      </c>
      <c r="Y164" s="502">
        <v>0</v>
      </c>
      <c r="Z164" s="497">
        <v>0</v>
      </c>
      <c r="AA164" s="502"/>
      <c r="AB164" s="502">
        <v>0</v>
      </c>
      <c r="AC164" s="529"/>
    </row>
    <row r="165" spans="1:29" s="127" customFormat="1">
      <c r="A165" s="255"/>
      <c r="B165" s="256"/>
      <c r="C165" s="255"/>
      <c r="D165" s="257"/>
      <c r="E165" s="258"/>
      <c r="F165" s="255"/>
      <c r="G165" s="255"/>
      <c r="H165" s="255"/>
      <c r="I165" s="501"/>
      <c r="J165" s="501"/>
      <c r="K165" s="495">
        <v>151.04</v>
      </c>
      <c r="L165" s="502">
        <v>0</v>
      </c>
      <c r="M165" s="502">
        <v>0</v>
      </c>
      <c r="N165" s="502">
        <v>0</v>
      </c>
      <c r="O165" s="502">
        <v>0</v>
      </c>
      <c r="P165" s="502">
        <v>0</v>
      </c>
      <c r="Q165" s="502">
        <v>0</v>
      </c>
      <c r="R165" s="502">
        <v>0</v>
      </c>
      <c r="S165" s="502">
        <v>0</v>
      </c>
      <c r="T165" s="502">
        <v>0</v>
      </c>
      <c r="U165" s="502">
        <v>0</v>
      </c>
      <c r="V165" s="502">
        <v>0</v>
      </c>
      <c r="W165" s="502"/>
      <c r="X165" s="502">
        <v>0</v>
      </c>
      <c r="Y165" s="502">
        <v>0</v>
      </c>
      <c r="Z165" s="497">
        <v>0</v>
      </c>
      <c r="AA165" s="502"/>
      <c r="AB165" s="502">
        <v>0</v>
      </c>
      <c r="AC165" s="529"/>
    </row>
    <row r="166" spans="1:29" s="127" customFormat="1">
      <c r="A166" s="255"/>
      <c r="B166" s="256"/>
      <c r="C166" s="255"/>
      <c r="D166" s="257"/>
      <c r="E166" s="258"/>
      <c r="F166" s="255"/>
      <c r="G166" s="255"/>
      <c r="H166" s="255"/>
      <c r="I166" s="501"/>
      <c r="J166" s="501"/>
      <c r="K166" s="495">
        <v>151.04</v>
      </c>
      <c r="L166" s="502">
        <v>0</v>
      </c>
      <c r="M166" s="502">
        <v>0</v>
      </c>
      <c r="N166" s="502">
        <v>0</v>
      </c>
      <c r="O166" s="502">
        <v>0</v>
      </c>
      <c r="P166" s="502">
        <v>0</v>
      </c>
      <c r="Q166" s="502">
        <v>0</v>
      </c>
      <c r="R166" s="502">
        <v>0</v>
      </c>
      <c r="S166" s="502">
        <v>0</v>
      </c>
      <c r="T166" s="502">
        <v>0</v>
      </c>
      <c r="U166" s="502">
        <v>0</v>
      </c>
      <c r="V166" s="502">
        <v>0</v>
      </c>
      <c r="W166" s="502"/>
      <c r="X166" s="502">
        <v>0</v>
      </c>
      <c r="Y166" s="502">
        <v>0</v>
      </c>
      <c r="Z166" s="497">
        <v>0</v>
      </c>
      <c r="AA166" s="502"/>
      <c r="AB166" s="502">
        <v>0</v>
      </c>
      <c r="AC166" s="529"/>
    </row>
    <row r="167" spans="1:29" s="127" customFormat="1">
      <c r="A167" s="255"/>
      <c r="B167" s="256"/>
      <c r="C167" s="255"/>
      <c r="D167" s="257"/>
      <c r="E167" s="258"/>
      <c r="F167" s="255"/>
      <c r="G167" s="255"/>
      <c r="H167" s="255"/>
      <c r="I167" s="501"/>
      <c r="J167" s="501"/>
      <c r="K167" s="495">
        <v>151.04</v>
      </c>
      <c r="L167" s="502">
        <v>0</v>
      </c>
      <c r="M167" s="502">
        <v>0</v>
      </c>
      <c r="N167" s="502">
        <v>0</v>
      </c>
      <c r="O167" s="502">
        <v>0</v>
      </c>
      <c r="P167" s="502">
        <v>0</v>
      </c>
      <c r="Q167" s="502">
        <v>0</v>
      </c>
      <c r="R167" s="502">
        <v>0</v>
      </c>
      <c r="S167" s="502">
        <v>0</v>
      </c>
      <c r="T167" s="502">
        <v>0</v>
      </c>
      <c r="U167" s="502">
        <v>0</v>
      </c>
      <c r="V167" s="502">
        <v>0</v>
      </c>
      <c r="W167" s="502"/>
      <c r="X167" s="502">
        <v>0</v>
      </c>
      <c r="Y167" s="502">
        <v>0</v>
      </c>
      <c r="Z167" s="497">
        <v>0</v>
      </c>
      <c r="AA167" s="502"/>
      <c r="AB167" s="502">
        <v>0</v>
      </c>
      <c r="AC167" s="529"/>
    </row>
    <row r="168" spans="1:29" s="127" customFormat="1">
      <c r="A168" s="255"/>
      <c r="B168" s="256"/>
      <c r="C168" s="255"/>
      <c r="D168" s="257"/>
      <c r="E168" s="258"/>
      <c r="F168" s="255"/>
      <c r="G168" s="255"/>
      <c r="H168" s="255"/>
      <c r="I168" s="501"/>
      <c r="J168" s="501"/>
      <c r="K168" s="495">
        <v>151.04</v>
      </c>
      <c r="L168" s="502">
        <v>0</v>
      </c>
      <c r="M168" s="502">
        <v>0</v>
      </c>
      <c r="N168" s="502">
        <v>0</v>
      </c>
      <c r="O168" s="502">
        <v>0</v>
      </c>
      <c r="P168" s="502">
        <v>0</v>
      </c>
      <c r="Q168" s="502">
        <v>0</v>
      </c>
      <c r="R168" s="502">
        <v>0</v>
      </c>
      <c r="S168" s="502">
        <v>0</v>
      </c>
      <c r="T168" s="502">
        <v>0</v>
      </c>
      <c r="U168" s="502">
        <v>0</v>
      </c>
      <c r="V168" s="502">
        <v>0</v>
      </c>
      <c r="W168" s="502"/>
      <c r="X168" s="502">
        <v>0</v>
      </c>
      <c r="Y168" s="502">
        <v>0</v>
      </c>
      <c r="Z168" s="497">
        <v>0</v>
      </c>
      <c r="AA168" s="502"/>
      <c r="AB168" s="502">
        <v>0</v>
      </c>
      <c r="AC168" s="529"/>
    </row>
    <row r="169" spans="1:29" s="127" customFormat="1">
      <c r="A169" s="255"/>
      <c r="B169" s="256"/>
      <c r="C169" s="255"/>
      <c r="D169" s="257"/>
      <c r="E169" s="260"/>
      <c r="F169" s="255"/>
      <c r="G169" s="255"/>
      <c r="H169" s="255"/>
      <c r="I169" s="501"/>
      <c r="J169" s="501"/>
      <c r="K169" s="495">
        <v>151.04</v>
      </c>
      <c r="L169" s="502">
        <v>0</v>
      </c>
      <c r="M169" s="502">
        <v>0</v>
      </c>
      <c r="N169" s="502">
        <v>0</v>
      </c>
      <c r="O169" s="502">
        <v>0</v>
      </c>
      <c r="P169" s="502">
        <v>0</v>
      </c>
      <c r="Q169" s="502">
        <v>0</v>
      </c>
      <c r="R169" s="502">
        <v>0</v>
      </c>
      <c r="S169" s="502">
        <v>0</v>
      </c>
      <c r="T169" s="502">
        <v>0</v>
      </c>
      <c r="U169" s="502">
        <v>0</v>
      </c>
      <c r="V169" s="502">
        <v>0</v>
      </c>
      <c r="W169" s="502"/>
      <c r="X169" s="502">
        <v>0</v>
      </c>
      <c r="Y169" s="502">
        <v>0</v>
      </c>
      <c r="Z169" s="497">
        <v>0</v>
      </c>
      <c r="AA169" s="502"/>
      <c r="AB169" s="502">
        <v>0</v>
      </c>
      <c r="AC169" s="529"/>
    </row>
    <row r="170" spans="1:29" s="127" customFormat="1">
      <c r="A170" s="255"/>
      <c r="B170" s="256"/>
      <c r="C170" s="255"/>
      <c r="D170" s="257"/>
      <c r="E170" s="258"/>
      <c r="F170" s="255"/>
      <c r="G170" s="255"/>
      <c r="H170" s="255"/>
      <c r="I170" s="501"/>
      <c r="J170" s="501"/>
      <c r="K170" s="495">
        <v>151.04</v>
      </c>
      <c r="L170" s="502">
        <v>0</v>
      </c>
      <c r="M170" s="502">
        <v>0</v>
      </c>
      <c r="N170" s="502">
        <v>0</v>
      </c>
      <c r="O170" s="502">
        <v>0</v>
      </c>
      <c r="P170" s="502">
        <v>0</v>
      </c>
      <c r="Q170" s="502">
        <v>0</v>
      </c>
      <c r="R170" s="502">
        <v>0</v>
      </c>
      <c r="S170" s="502">
        <v>0</v>
      </c>
      <c r="T170" s="502">
        <v>0</v>
      </c>
      <c r="U170" s="502">
        <v>0</v>
      </c>
      <c r="V170" s="502">
        <v>0</v>
      </c>
      <c r="W170" s="502"/>
      <c r="X170" s="502">
        <v>0</v>
      </c>
      <c r="Y170" s="502">
        <v>0</v>
      </c>
      <c r="Z170" s="497">
        <v>0</v>
      </c>
      <c r="AA170" s="502"/>
      <c r="AB170" s="502">
        <v>0</v>
      </c>
      <c r="AC170" s="529"/>
    </row>
    <row r="171" spans="1:29" s="127" customFormat="1">
      <c r="A171" s="255"/>
      <c r="B171" s="256"/>
      <c r="C171" s="255"/>
      <c r="D171" s="257"/>
      <c r="E171" s="258"/>
      <c r="F171" s="255"/>
      <c r="G171" s="255"/>
      <c r="H171" s="255"/>
      <c r="I171" s="501"/>
      <c r="J171" s="501"/>
      <c r="K171" s="495">
        <v>151.04</v>
      </c>
      <c r="L171" s="502">
        <v>0</v>
      </c>
      <c r="M171" s="502">
        <v>0</v>
      </c>
      <c r="N171" s="502">
        <v>0</v>
      </c>
      <c r="O171" s="502">
        <v>0</v>
      </c>
      <c r="P171" s="502">
        <v>0</v>
      </c>
      <c r="Q171" s="502">
        <v>0</v>
      </c>
      <c r="R171" s="502">
        <v>0</v>
      </c>
      <c r="S171" s="502">
        <v>0</v>
      </c>
      <c r="T171" s="502">
        <v>0</v>
      </c>
      <c r="U171" s="502">
        <v>0</v>
      </c>
      <c r="V171" s="502">
        <v>0</v>
      </c>
      <c r="W171" s="502"/>
      <c r="X171" s="502">
        <v>0</v>
      </c>
      <c r="Y171" s="502">
        <v>0</v>
      </c>
      <c r="Z171" s="497">
        <v>0</v>
      </c>
      <c r="AA171" s="502"/>
      <c r="AB171" s="502">
        <v>0</v>
      </c>
      <c r="AC171" s="529"/>
    </row>
    <row r="172" spans="1:29" s="127" customFormat="1">
      <c r="A172" s="255"/>
      <c r="B172" s="256"/>
      <c r="C172" s="255"/>
      <c r="D172" s="257"/>
      <c r="E172" s="258"/>
      <c r="F172" s="255"/>
      <c r="G172" s="255"/>
      <c r="H172" s="255"/>
      <c r="I172" s="501"/>
      <c r="J172" s="501"/>
      <c r="K172" s="502">
        <v>0</v>
      </c>
      <c r="L172" s="502">
        <v>0</v>
      </c>
      <c r="M172" s="502">
        <v>0</v>
      </c>
      <c r="N172" s="502">
        <v>0</v>
      </c>
      <c r="O172" s="502">
        <v>0</v>
      </c>
      <c r="P172" s="502">
        <v>0</v>
      </c>
      <c r="Q172" s="502">
        <v>0</v>
      </c>
      <c r="R172" s="502">
        <v>0</v>
      </c>
      <c r="S172" s="502">
        <v>0</v>
      </c>
      <c r="T172" s="502">
        <v>0</v>
      </c>
      <c r="U172" s="502">
        <v>0</v>
      </c>
      <c r="V172" s="502">
        <v>0</v>
      </c>
      <c r="W172" s="502"/>
      <c r="X172" s="502">
        <v>0</v>
      </c>
      <c r="Y172" s="502">
        <v>0</v>
      </c>
      <c r="Z172" s="497">
        <v>0</v>
      </c>
      <c r="AA172" s="502"/>
      <c r="AB172" s="502">
        <v>0</v>
      </c>
      <c r="AC172" s="529"/>
    </row>
    <row r="173" spans="1:29" s="127" customFormat="1">
      <c r="A173" s="255"/>
      <c r="B173" s="256"/>
      <c r="C173" s="255"/>
      <c r="D173" s="257"/>
      <c r="E173" s="258"/>
      <c r="F173" s="255"/>
      <c r="G173" s="255"/>
      <c r="H173" s="255"/>
      <c r="I173" s="501"/>
      <c r="J173" s="501"/>
      <c r="K173" s="502">
        <v>0</v>
      </c>
      <c r="L173" s="502">
        <v>0</v>
      </c>
      <c r="M173" s="502">
        <v>0</v>
      </c>
      <c r="N173" s="502">
        <v>0</v>
      </c>
      <c r="O173" s="502">
        <v>0</v>
      </c>
      <c r="P173" s="502">
        <v>0</v>
      </c>
      <c r="Q173" s="502">
        <v>0</v>
      </c>
      <c r="R173" s="502">
        <v>0</v>
      </c>
      <c r="S173" s="502">
        <v>0</v>
      </c>
      <c r="T173" s="502">
        <v>0</v>
      </c>
      <c r="U173" s="502">
        <v>0</v>
      </c>
      <c r="V173" s="502">
        <v>0</v>
      </c>
      <c r="W173" s="502"/>
      <c r="X173" s="502">
        <v>0</v>
      </c>
      <c r="Y173" s="502">
        <v>0</v>
      </c>
      <c r="Z173" s="497">
        <v>0</v>
      </c>
      <c r="AA173" s="502"/>
      <c r="AB173" s="502">
        <v>0</v>
      </c>
      <c r="AC173" s="529"/>
    </row>
    <row r="174" spans="1:29" s="127" customFormat="1">
      <c r="A174" s="255"/>
      <c r="B174" s="256"/>
      <c r="C174" s="255"/>
      <c r="D174" s="257"/>
      <c r="E174" s="261"/>
      <c r="F174" s="255"/>
      <c r="G174" s="255"/>
      <c r="H174" s="255"/>
      <c r="I174" s="501"/>
      <c r="J174" s="501"/>
      <c r="K174" s="502">
        <v>0</v>
      </c>
      <c r="L174" s="502">
        <v>0</v>
      </c>
      <c r="M174" s="502">
        <v>0</v>
      </c>
      <c r="N174" s="502">
        <v>0</v>
      </c>
      <c r="O174" s="502">
        <v>0</v>
      </c>
      <c r="P174" s="502">
        <v>0</v>
      </c>
      <c r="Q174" s="502">
        <v>0</v>
      </c>
      <c r="R174" s="502">
        <v>0</v>
      </c>
      <c r="S174" s="502">
        <v>0</v>
      </c>
      <c r="T174" s="502">
        <v>0</v>
      </c>
      <c r="U174" s="502">
        <v>0</v>
      </c>
      <c r="V174" s="502">
        <v>0</v>
      </c>
      <c r="W174" s="502"/>
      <c r="X174" s="502">
        <v>0</v>
      </c>
      <c r="Y174" s="502">
        <v>0</v>
      </c>
      <c r="Z174" s="497">
        <v>0</v>
      </c>
      <c r="AA174" s="502"/>
      <c r="AB174" s="502">
        <v>0</v>
      </c>
      <c r="AC174" s="529"/>
    </row>
    <row r="175" spans="1:29" s="127" customFormat="1">
      <c r="A175" s="255"/>
      <c r="B175" s="256"/>
      <c r="C175" s="255"/>
      <c r="D175" s="257"/>
      <c r="E175" s="259"/>
      <c r="F175" s="255"/>
      <c r="G175" s="255"/>
      <c r="H175" s="255"/>
      <c r="I175" s="501"/>
      <c r="J175" s="501"/>
      <c r="K175" s="502">
        <v>0</v>
      </c>
      <c r="L175" s="502">
        <v>0</v>
      </c>
      <c r="M175" s="502">
        <v>0</v>
      </c>
      <c r="N175" s="502">
        <v>0</v>
      </c>
      <c r="O175" s="502">
        <v>0</v>
      </c>
      <c r="P175" s="502">
        <v>0</v>
      </c>
      <c r="Q175" s="502">
        <v>0</v>
      </c>
      <c r="R175" s="502">
        <v>0</v>
      </c>
      <c r="S175" s="502">
        <v>0</v>
      </c>
      <c r="T175" s="502">
        <v>0</v>
      </c>
      <c r="U175" s="502">
        <v>0</v>
      </c>
      <c r="V175" s="502">
        <v>0</v>
      </c>
      <c r="W175" s="502"/>
      <c r="X175" s="502">
        <v>0</v>
      </c>
      <c r="Y175" s="502">
        <v>0</v>
      </c>
      <c r="Z175" s="497">
        <v>0</v>
      </c>
      <c r="AA175" s="502"/>
      <c r="AB175" s="502">
        <v>0</v>
      </c>
      <c r="AC175" s="529"/>
    </row>
    <row r="176" spans="1:29" s="127" customFormat="1">
      <c r="A176" s="255"/>
      <c r="B176" s="256"/>
      <c r="C176" s="255"/>
      <c r="D176" s="257"/>
      <c r="E176" s="258"/>
      <c r="F176" s="255"/>
      <c r="G176" s="255"/>
      <c r="H176" s="255"/>
      <c r="I176" s="501"/>
      <c r="J176" s="501"/>
      <c r="K176" s="502">
        <v>0</v>
      </c>
      <c r="L176" s="502">
        <v>0</v>
      </c>
      <c r="M176" s="502">
        <v>0</v>
      </c>
      <c r="N176" s="502">
        <v>0</v>
      </c>
      <c r="O176" s="502">
        <v>0</v>
      </c>
      <c r="P176" s="502">
        <v>0</v>
      </c>
      <c r="Q176" s="502">
        <v>0</v>
      </c>
      <c r="R176" s="502">
        <v>0</v>
      </c>
      <c r="S176" s="502">
        <v>0</v>
      </c>
      <c r="T176" s="502">
        <v>0</v>
      </c>
      <c r="U176" s="502">
        <v>0</v>
      </c>
      <c r="V176" s="502">
        <v>0</v>
      </c>
      <c r="W176" s="502"/>
      <c r="X176" s="502">
        <v>0</v>
      </c>
      <c r="Y176" s="502">
        <v>0</v>
      </c>
      <c r="Z176" s="497">
        <v>0</v>
      </c>
      <c r="AA176" s="502"/>
      <c r="AB176" s="502">
        <v>0</v>
      </c>
      <c r="AC176" s="529"/>
    </row>
    <row r="177" spans="1:29" s="127" customFormat="1">
      <c r="A177" s="255"/>
      <c r="B177" s="256"/>
      <c r="C177" s="255"/>
      <c r="D177" s="257"/>
      <c r="E177" s="260"/>
      <c r="F177" s="255"/>
      <c r="G177" s="255"/>
      <c r="H177" s="255"/>
      <c r="I177" s="501"/>
      <c r="J177" s="501"/>
      <c r="K177" s="502">
        <v>0</v>
      </c>
      <c r="L177" s="502">
        <v>0</v>
      </c>
      <c r="M177" s="502">
        <v>0</v>
      </c>
      <c r="N177" s="502">
        <v>0</v>
      </c>
      <c r="O177" s="502">
        <v>0</v>
      </c>
      <c r="P177" s="502">
        <v>0</v>
      </c>
      <c r="Q177" s="502">
        <v>0</v>
      </c>
      <c r="R177" s="502">
        <v>0</v>
      </c>
      <c r="S177" s="502">
        <v>0</v>
      </c>
      <c r="T177" s="502">
        <v>0</v>
      </c>
      <c r="U177" s="502">
        <v>0</v>
      </c>
      <c r="V177" s="502">
        <v>0</v>
      </c>
      <c r="W177" s="502"/>
      <c r="X177" s="502">
        <v>0</v>
      </c>
      <c r="Y177" s="502">
        <v>0</v>
      </c>
      <c r="Z177" s="497">
        <v>0</v>
      </c>
      <c r="AA177" s="502"/>
      <c r="AB177" s="502">
        <v>0</v>
      </c>
      <c r="AC177" s="529"/>
    </row>
    <row r="178" spans="1:29" s="127" customFormat="1">
      <c r="A178" s="255"/>
      <c r="B178" s="256"/>
      <c r="C178" s="255"/>
      <c r="D178" s="257"/>
      <c r="E178" s="258"/>
      <c r="F178" s="255"/>
      <c r="G178" s="255"/>
      <c r="H178" s="255"/>
      <c r="I178" s="501"/>
      <c r="J178" s="501"/>
      <c r="K178" s="502">
        <v>0</v>
      </c>
      <c r="L178" s="502">
        <v>0</v>
      </c>
      <c r="M178" s="502">
        <v>0</v>
      </c>
      <c r="N178" s="502">
        <v>0</v>
      </c>
      <c r="O178" s="502">
        <v>0</v>
      </c>
      <c r="P178" s="502">
        <v>0</v>
      </c>
      <c r="Q178" s="502">
        <v>0</v>
      </c>
      <c r="R178" s="502">
        <v>0</v>
      </c>
      <c r="S178" s="502">
        <v>0</v>
      </c>
      <c r="T178" s="502">
        <v>0</v>
      </c>
      <c r="U178" s="502">
        <v>0</v>
      </c>
      <c r="V178" s="502">
        <v>0</v>
      </c>
      <c r="W178" s="502"/>
      <c r="X178" s="502">
        <v>0</v>
      </c>
      <c r="Y178" s="502">
        <v>0</v>
      </c>
      <c r="Z178" s="497">
        <v>0</v>
      </c>
      <c r="AA178" s="502"/>
      <c r="AB178" s="502">
        <v>0</v>
      </c>
      <c r="AC178" s="529"/>
    </row>
    <row r="179" spans="1:29" s="127" customFormat="1">
      <c r="A179" s="255"/>
      <c r="B179" s="256"/>
      <c r="C179" s="255"/>
      <c r="D179" s="257"/>
      <c r="E179" s="258"/>
      <c r="F179" s="255"/>
      <c r="G179" s="255"/>
      <c r="H179" s="255"/>
      <c r="I179" s="501"/>
      <c r="J179" s="501"/>
      <c r="K179" s="502">
        <v>0</v>
      </c>
      <c r="L179" s="502">
        <v>0</v>
      </c>
      <c r="M179" s="502">
        <v>0</v>
      </c>
      <c r="N179" s="502">
        <v>0</v>
      </c>
      <c r="O179" s="502">
        <v>0</v>
      </c>
      <c r="P179" s="502">
        <v>0</v>
      </c>
      <c r="Q179" s="502">
        <v>0</v>
      </c>
      <c r="R179" s="502">
        <v>0</v>
      </c>
      <c r="S179" s="502">
        <v>0</v>
      </c>
      <c r="T179" s="502">
        <v>0</v>
      </c>
      <c r="U179" s="502">
        <v>0</v>
      </c>
      <c r="V179" s="502">
        <v>0</v>
      </c>
      <c r="W179" s="502"/>
      <c r="X179" s="502">
        <v>0</v>
      </c>
      <c r="Y179" s="502">
        <v>0</v>
      </c>
      <c r="Z179" s="497">
        <v>0</v>
      </c>
      <c r="AA179" s="502"/>
      <c r="AB179" s="502">
        <v>0</v>
      </c>
      <c r="AC179" s="529"/>
    </row>
    <row r="180" spans="1:29" s="127" customFormat="1">
      <c r="A180" s="255"/>
      <c r="B180" s="256"/>
      <c r="C180" s="255"/>
      <c r="D180" s="257"/>
      <c r="E180" s="258"/>
      <c r="F180" s="255"/>
      <c r="G180" s="255"/>
      <c r="H180" s="255"/>
      <c r="I180" s="501"/>
      <c r="J180" s="501"/>
      <c r="K180" s="502">
        <v>0</v>
      </c>
      <c r="L180" s="502">
        <v>0</v>
      </c>
      <c r="M180" s="502">
        <v>0</v>
      </c>
      <c r="N180" s="502">
        <v>0</v>
      </c>
      <c r="O180" s="502">
        <v>0</v>
      </c>
      <c r="P180" s="502">
        <v>0</v>
      </c>
      <c r="Q180" s="502">
        <v>0</v>
      </c>
      <c r="R180" s="502">
        <v>0</v>
      </c>
      <c r="S180" s="502">
        <v>0</v>
      </c>
      <c r="T180" s="502">
        <v>0</v>
      </c>
      <c r="U180" s="502">
        <v>0</v>
      </c>
      <c r="V180" s="502">
        <v>0</v>
      </c>
      <c r="W180" s="502"/>
      <c r="X180" s="502">
        <v>0</v>
      </c>
      <c r="Y180" s="502">
        <v>0</v>
      </c>
      <c r="Z180" s="497">
        <v>0</v>
      </c>
      <c r="AA180" s="502"/>
      <c r="AB180" s="502">
        <v>0</v>
      </c>
      <c r="AC180" s="529"/>
    </row>
    <row r="181" spans="1:29" s="127" customFormat="1">
      <c r="A181" s="255"/>
      <c r="B181" s="256"/>
      <c r="C181" s="255"/>
      <c r="D181" s="257"/>
      <c r="E181" s="258"/>
      <c r="F181" s="255"/>
      <c r="G181" s="255"/>
      <c r="H181" s="255"/>
      <c r="I181" s="501"/>
      <c r="J181" s="501"/>
      <c r="K181" s="502">
        <v>0</v>
      </c>
      <c r="L181" s="502">
        <v>0</v>
      </c>
      <c r="M181" s="502">
        <v>0</v>
      </c>
      <c r="N181" s="502">
        <v>0</v>
      </c>
      <c r="O181" s="502">
        <v>0</v>
      </c>
      <c r="P181" s="502">
        <v>0</v>
      </c>
      <c r="Q181" s="502">
        <v>0</v>
      </c>
      <c r="R181" s="502">
        <v>0</v>
      </c>
      <c r="S181" s="502">
        <v>0</v>
      </c>
      <c r="T181" s="502">
        <v>0</v>
      </c>
      <c r="U181" s="502">
        <v>0</v>
      </c>
      <c r="V181" s="502">
        <v>0</v>
      </c>
      <c r="W181" s="502"/>
      <c r="X181" s="502">
        <v>0</v>
      </c>
      <c r="Y181" s="502">
        <v>0</v>
      </c>
      <c r="Z181" s="497">
        <v>0</v>
      </c>
      <c r="AA181" s="502"/>
      <c r="AB181" s="502">
        <v>0</v>
      </c>
      <c r="AC181" s="529"/>
    </row>
    <row r="182" spans="1:29" s="127" customFormat="1">
      <c r="A182" s="255"/>
      <c r="B182" s="256"/>
      <c r="C182" s="255"/>
      <c r="D182" s="257"/>
      <c r="E182" s="258"/>
      <c r="F182" s="255"/>
      <c r="G182" s="255"/>
      <c r="H182" s="255"/>
      <c r="I182" s="501"/>
      <c r="J182" s="501"/>
      <c r="K182" s="502">
        <v>0</v>
      </c>
      <c r="L182" s="502">
        <v>0</v>
      </c>
      <c r="M182" s="502">
        <v>0</v>
      </c>
      <c r="N182" s="502">
        <v>0</v>
      </c>
      <c r="O182" s="502">
        <v>0</v>
      </c>
      <c r="P182" s="502">
        <v>0</v>
      </c>
      <c r="Q182" s="502">
        <v>0</v>
      </c>
      <c r="R182" s="502">
        <v>0</v>
      </c>
      <c r="S182" s="502">
        <v>0</v>
      </c>
      <c r="T182" s="502">
        <v>0</v>
      </c>
      <c r="U182" s="502">
        <v>0</v>
      </c>
      <c r="V182" s="502">
        <v>0</v>
      </c>
      <c r="W182" s="502"/>
      <c r="X182" s="502">
        <v>0</v>
      </c>
      <c r="Y182" s="502">
        <v>0</v>
      </c>
      <c r="Z182" s="497">
        <v>0</v>
      </c>
      <c r="AA182" s="502"/>
      <c r="AB182" s="502">
        <v>0</v>
      </c>
      <c r="AC182" s="529"/>
    </row>
    <row r="183" spans="1:29" s="127" customFormat="1">
      <c r="A183" s="255"/>
      <c r="B183" s="256"/>
      <c r="C183" s="255"/>
      <c r="D183" s="257"/>
      <c r="E183" s="259"/>
      <c r="F183" s="255"/>
      <c r="G183" s="255"/>
      <c r="H183" s="255"/>
      <c r="I183" s="501"/>
      <c r="J183" s="501"/>
      <c r="K183" s="502">
        <v>0</v>
      </c>
      <c r="L183" s="502">
        <v>0</v>
      </c>
      <c r="M183" s="502">
        <v>0</v>
      </c>
      <c r="N183" s="502">
        <v>0</v>
      </c>
      <c r="O183" s="502">
        <v>0</v>
      </c>
      <c r="P183" s="502">
        <v>0</v>
      </c>
      <c r="Q183" s="502">
        <v>0</v>
      </c>
      <c r="R183" s="502">
        <v>0</v>
      </c>
      <c r="S183" s="502">
        <v>0</v>
      </c>
      <c r="T183" s="502">
        <v>0</v>
      </c>
      <c r="U183" s="502">
        <v>0</v>
      </c>
      <c r="V183" s="502">
        <v>0</v>
      </c>
      <c r="W183" s="502"/>
      <c r="X183" s="502">
        <v>0</v>
      </c>
      <c r="Y183" s="502">
        <v>0</v>
      </c>
      <c r="Z183" s="497">
        <v>0</v>
      </c>
      <c r="AA183" s="502"/>
      <c r="AB183" s="502">
        <v>0</v>
      </c>
      <c r="AC183" s="529"/>
    </row>
    <row r="184" spans="1:29" s="127" customFormat="1">
      <c r="A184" s="255"/>
      <c r="B184" s="256"/>
      <c r="C184" s="255"/>
      <c r="D184" s="257"/>
      <c r="E184" s="258"/>
      <c r="F184" s="255"/>
      <c r="G184" s="255"/>
      <c r="H184" s="255"/>
      <c r="I184" s="501"/>
      <c r="J184" s="501"/>
      <c r="K184" s="502">
        <v>0</v>
      </c>
      <c r="L184" s="502">
        <v>0</v>
      </c>
      <c r="M184" s="502">
        <v>0</v>
      </c>
      <c r="N184" s="502">
        <v>0</v>
      </c>
      <c r="O184" s="502">
        <v>0</v>
      </c>
      <c r="P184" s="502">
        <v>0</v>
      </c>
      <c r="Q184" s="502">
        <v>0</v>
      </c>
      <c r="R184" s="502">
        <v>0</v>
      </c>
      <c r="S184" s="502">
        <v>0</v>
      </c>
      <c r="T184" s="502">
        <v>0</v>
      </c>
      <c r="U184" s="502">
        <v>0</v>
      </c>
      <c r="V184" s="502">
        <v>0</v>
      </c>
      <c r="W184" s="502"/>
      <c r="X184" s="502">
        <v>0</v>
      </c>
      <c r="Y184" s="502">
        <v>0</v>
      </c>
      <c r="Z184" s="497">
        <v>0</v>
      </c>
      <c r="AA184" s="502"/>
      <c r="AB184" s="502">
        <v>0</v>
      </c>
      <c r="AC184" s="529"/>
    </row>
    <row r="185" spans="1:29" s="127" customFormat="1">
      <c r="A185" s="255"/>
      <c r="B185" s="256"/>
      <c r="C185" s="255"/>
      <c r="D185" s="257"/>
      <c r="E185" s="258"/>
      <c r="F185" s="255"/>
      <c r="G185" s="255"/>
      <c r="H185" s="255"/>
      <c r="I185" s="501"/>
      <c r="J185" s="501"/>
      <c r="K185" s="502">
        <v>0</v>
      </c>
      <c r="L185" s="502">
        <v>0</v>
      </c>
      <c r="M185" s="502">
        <v>0</v>
      </c>
      <c r="N185" s="502">
        <v>0</v>
      </c>
      <c r="O185" s="502">
        <v>0</v>
      </c>
      <c r="P185" s="502">
        <v>0</v>
      </c>
      <c r="Q185" s="502">
        <v>0</v>
      </c>
      <c r="R185" s="502">
        <v>0</v>
      </c>
      <c r="S185" s="502">
        <v>0</v>
      </c>
      <c r="T185" s="502">
        <v>0</v>
      </c>
      <c r="U185" s="502">
        <v>0</v>
      </c>
      <c r="V185" s="502">
        <v>0</v>
      </c>
      <c r="W185" s="502"/>
      <c r="X185" s="502">
        <v>0</v>
      </c>
      <c r="Y185" s="502">
        <v>0</v>
      </c>
      <c r="Z185" s="497">
        <v>0</v>
      </c>
      <c r="AA185" s="502"/>
      <c r="AB185" s="502">
        <v>0</v>
      </c>
      <c r="AC185" s="529"/>
    </row>
    <row r="186" spans="1:29" s="127" customFormat="1">
      <c r="A186" s="255"/>
      <c r="B186" s="256"/>
      <c r="C186" s="255"/>
      <c r="D186" s="257"/>
      <c r="E186" s="258"/>
      <c r="F186" s="255"/>
      <c r="G186" s="255"/>
      <c r="H186" s="255"/>
      <c r="I186" s="501"/>
      <c r="J186" s="501"/>
      <c r="K186" s="502">
        <v>0</v>
      </c>
      <c r="L186" s="502">
        <v>0</v>
      </c>
      <c r="M186" s="502">
        <v>0</v>
      </c>
      <c r="N186" s="502">
        <v>0</v>
      </c>
      <c r="O186" s="502">
        <v>0</v>
      </c>
      <c r="P186" s="502">
        <v>0</v>
      </c>
      <c r="Q186" s="502">
        <v>0</v>
      </c>
      <c r="R186" s="502">
        <v>0</v>
      </c>
      <c r="S186" s="502">
        <v>0</v>
      </c>
      <c r="T186" s="502">
        <v>0</v>
      </c>
      <c r="U186" s="502">
        <v>0</v>
      </c>
      <c r="V186" s="502">
        <v>0</v>
      </c>
      <c r="W186" s="502"/>
      <c r="X186" s="502">
        <v>0</v>
      </c>
      <c r="Y186" s="502">
        <v>0</v>
      </c>
      <c r="Z186" s="497">
        <v>0</v>
      </c>
      <c r="AA186" s="502"/>
      <c r="AB186" s="502">
        <v>0</v>
      </c>
      <c r="AC186" s="529"/>
    </row>
    <row r="187" spans="1:29" s="127" customFormat="1">
      <c r="A187" s="255"/>
      <c r="B187" s="256"/>
      <c r="C187" s="255"/>
      <c r="D187" s="257"/>
      <c r="E187" s="258"/>
      <c r="F187" s="255"/>
      <c r="G187" s="255"/>
      <c r="H187" s="255"/>
      <c r="I187" s="501"/>
      <c r="J187" s="501"/>
      <c r="K187" s="502">
        <v>0</v>
      </c>
      <c r="L187" s="502">
        <v>0</v>
      </c>
      <c r="M187" s="502">
        <v>0</v>
      </c>
      <c r="N187" s="502">
        <v>0</v>
      </c>
      <c r="O187" s="502">
        <v>0</v>
      </c>
      <c r="P187" s="502">
        <v>0</v>
      </c>
      <c r="Q187" s="502">
        <v>0</v>
      </c>
      <c r="R187" s="502">
        <v>0</v>
      </c>
      <c r="S187" s="502">
        <v>0</v>
      </c>
      <c r="T187" s="502">
        <v>0</v>
      </c>
      <c r="U187" s="502">
        <v>0</v>
      </c>
      <c r="V187" s="502">
        <v>0</v>
      </c>
      <c r="W187" s="502"/>
      <c r="X187" s="502">
        <v>0</v>
      </c>
      <c r="Y187" s="502">
        <v>0</v>
      </c>
      <c r="Z187" s="497">
        <v>0</v>
      </c>
      <c r="AA187" s="502"/>
      <c r="AB187" s="502">
        <v>0</v>
      </c>
      <c r="AC187" s="529"/>
    </row>
    <row r="188" spans="1:29" s="127" customFormat="1">
      <c r="A188" s="255"/>
      <c r="B188" s="256"/>
      <c r="C188" s="255"/>
      <c r="D188" s="257"/>
      <c r="E188" s="258"/>
      <c r="F188" s="255"/>
      <c r="G188" s="255"/>
      <c r="H188" s="255"/>
      <c r="I188" s="501"/>
      <c r="J188" s="501"/>
      <c r="K188" s="502">
        <v>0</v>
      </c>
      <c r="L188" s="502">
        <v>0</v>
      </c>
      <c r="M188" s="502">
        <v>0</v>
      </c>
      <c r="N188" s="502">
        <v>0</v>
      </c>
      <c r="O188" s="502">
        <v>0</v>
      </c>
      <c r="P188" s="502">
        <v>0</v>
      </c>
      <c r="Q188" s="502">
        <v>0</v>
      </c>
      <c r="R188" s="502">
        <v>0</v>
      </c>
      <c r="S188" s="502">
        <v>0</v>
      </c>
      <c r="T188" s="502">
        <v>0</v>
      </c>
      <c r="U188" s="502">
        <v>0</v>
      </c>
      <c r="V188" s="502">
        <v>0</v>
      </c>
      <c r="W188" s="502"/>
      <c r="X188" s="502">
        <v>0</v>
      </c>
      <c r="Y188" s="502">
        <v>0</v>
      </c>
      <c r="Z188" s="497">
        <v>0</v>
      </c>
      <c r="AA188" s="502"/>
      <c r="AB188" s="502">
        <v>0</v>
      </c>
      <c r="AC188" s="529"/>
    </row>
    <row r="189" spans="1:29" s="127" customFormat="1">
      <c r="A189" s="255"/>
      <c r="B189" s="256"/>
      <c r="C189" s="255"/>
      <c r="D189" s="257"/>
      <c r="E189" s="258"/>
      <c r="F189" s="255"/>
      <c r="G189" s="255"/>
      <c r="H189" s="255"/>
      <c r="I189" s="501"/>
      <c r="J189" s="501"/>
      <c r="K189" s="502">
        <v>0</v>
      </c>
      <c r="L189" s="502">
        <v>0</v>
      </c>
      <c r="M189" s="502">
        <v>0</v>
      </c>
      <c r="N189" s="502">
        <v>0</v>
      </c>
      <c r="O189" s="502">
        <v>0</v>
      </c>
      <c r="P189" s="502">
        <v>0</v>
      </c>
      <c r="Q189" s="502">
        <v>0</v>
      </c>
      <c r="R189" s="502">
        <v>0</v>
      </c>
      <c r="S189" s="502">
        <v>0</v>
      </c>
      <c r="T189" s="502">
        <v>0</v>
      </c>
      <c r="U189" s="502">
        <v>0</v>
      </c>
      <c r="V189" s="502">
        <v>0</v>
      </c>
      <c r="W189" s="502"/>
      <c r="X189" s="502">
        <v>0</v>
      </c>
      <c r="Y189" s="502">
        <v>0</v>
      </c>
      <c r="Z189" s="497">
        <v>0</v>
      </c>
      <c r="AA189" s="502"/>
      <c r="AB189" s="502">
        <v>0</v>
      </c>
      <c r="AC189" s="529"/>
    </row>
    <row r="190" spans="1:29" ht="15">
      <c r="A190" s="133"/>
      <c r="B190" s="133"/>
      <c r="C190" s="133"/>
      <c r="D190" s="133"/>
      <c r="E190" s="133"/>
      <c r="F190" s="133"/>
      <c r="G190" s="133"/>
      <c r="H190" s="133"/>
      <c r="I190" s="503"/>
      <c r="J190" s="503"/>
      <c r="K190" s="503"/>
      <c r="L190" s="503"/>
      <c r="M190" s="503"/>
      <c r="N190" s="503"/>
      <c r="O190" s="503"/>
      <c r="P190" s="503"/>
      <c r="Q190" s="503"/>
      <c r="R190" s="503"/>
      <c r="S190" s="503"/>
      <c r="T190" s="503"/>
      <c r="U190" s="503"/>
      <c r="V190" s="503"/>
      <c r="W190" s="503"/>
      <c r="X190" s="503"/>
      <c r="Y190" s="503"/>
      <c r="Z190" s="503"/>
      <c r="AA190" s="503"/>
      <c r="AB190" s="503"/>
    </row>
    <row r="191" spans="1:29">
      <c r="I191" s="504"/>
      <c r="J191" s="504"/>
      <c r="K191" s="504"/>
      <c r="L191" s="504"/>
      <c r="M191" s="504"/>
      <c r="N191" s="504"/>
      <c r="O191" s="504"/>
      <c r="P191" s="504"/>
      <c r="Q191" s="504"/>
      <c r="R191" s="505"/>
      <c r="S191" s="505"/>
      <c r="T191" s="505"/>
      <c r="U191" s="505"/>
      <c r="V191" s="505"/>
      <c r="W191" s="505"/>
      <c r="X191" s="505"/>
      <c r="Y191" s="505"/>
      <c r="Z191" s="505"/>
      <c r="AA191" s="505"/>
      <c r="AB191" s="506"/>
    </row>
    <row r="192" spans="1:29">
      <c r="I192" s="504"/>
      <c r="J192" s="504"/>
      <c r="K192" s="504"/>
      <c r="L192" s="504"/>
      <c r="M192" s="504"/>
      <c r="N192" s="504"/>
      <c r="O192" s="504"/>
      <c r="P192" s="504"/>
      <c r="Q192" s="504"/>
      <c r="R192" s="505"/>
      <c r="S192" s="505"/>
      <c r="T192" s="505"/>
      <c r="U192" s="505"/>
      <c r="V192" s="505"/>
      <c r="W192" s="505"/>
      <c r="X192" s="505"/>
      <c r="Y192" s="505"/>
      <c r="Z192" s="505"/>
      <c r="AA192" s="505"/>
      <c r="AB192" s="506"/>
    </row>
    <row r="193" spans="9:28">
      <c r="I193" s="504"/>
      <c r="J193" s="504"/>
      <c r="K193" s="504"/>
      <c r="L193" s="504"/>
      <c r="M193" s="504"/>
      <c r="N193" s="504"/>
      <c r="O193" s="504"/>
      <c r="P193" s="504"/>
      <c r="Q193" s="504"/>
      <c r="R193" s="505"/>
      <c r="S193" s="505"/>
      <c r="T193" s="505"/>
      <c r="U193" s="505"/>
      <c r="V193" s="505"/>
      <c r="W193" s="505"/>
      <c r="X193" s="505"/>
      <c r="Y193" s="505"/>
      <c r="Z193" s="505"/>
      <c r="AA193" s="505"/>
      <c r="AB193" s="506"/>
    </row>
    <row r="194" spans="9:28">
      <c r="I194" s="504"/>
      <c r="J194" s="504"/>
      <c r="K194" s="504"/>
      <c r="L194" s="504"/>
      <c r="M194" s="504"/>
      <c r="N194" s="504"/>
      <c r="O194" s="504"/>
      <c r="P194" s="504"/>
      <c r="Q194" s="504"/>
      <c r="R194" s="505"/>
      <c r="S194" s="505"/>
      <c r="T194" s="505"/>
      <c r="U194" s="505"/>
      <c r="V194" s="505"/>
      <c r="W194" s="505"/>
      <c r="X194" s="505"/>
      <c r="Y194" s="505"/>
      <c r="Z194" s="505"/>
      <c r="AA194" s="505"/>
      <c r="AB194" s="506"/>
    </row>
    <row r="195" spans="9:28">
      <c r="I195" s="504"/>
      <c r="J195" s="504"/>
      <c r="K195" s="504"/>
      <c r="L195" s="504"/>
      <c r="M195" s="504"/>
      <c r="N195" s="504"/>
      <c r="O195" s="504"/>
      <c r="P195" s="504"/>
      <c r="Q195" s="504"/>
      <c r="R195" s="505"/>
      <c r="S195" s="505"/>
      <c r="T195" s="505"/>
      <c r="U195" s="505"/>
      <c r="V195" s="505"/>
      <c r="W195" s="505"/>
      <c r="X195" s="505"/>
      <c r="Y195" s="505"/>
      <c r="Z195" s="505"/>
      <c r="AA195" s="505"/>
      <c r="AB195" s="506"/>
    </row>
    <row r="196" spans="9:28">
      <c r="I196" s="504"/>
      <c r="J196" s="504"/>
      <c r="K196" s="504"/>
      <c r="L196" s="504"/>
      <c r="M196" s="504"/>
      <c r="N196" s="504"/>
      <c r="O196" s="504"/>
      <c r="P196" s="504"/>
      <c r="Q196" s="504"/>
      <c r="R196" s="505"/>
      <c r="S196" s="505"/>
      <c r="T196" s="505"/>
      <c r="U196" s="505"/>
      <c r="V196" s="505"/>
      <c r="W196" s="505"/>
      <c r="X196" s="505"/>
      <c r="Y196" s="505"/>
      <c r="Z196" s="505"/>
      <c r="AA196" s="505"/>
      <c r="AB196" s="506"/>
    </row>
    <row r="197" spans="9:28">
      <c r="I197" s="504"/>
      <c r="J197" s="504"/>
      <c r="K197" s="504"/>
      <c r="L197" s="504"/>
      <c r="M197" s="504"/>
      <c r="N197" s="504"/>
      <c r="O197" s="504"/>
      <c r="P197" s="504"/>
      <c r="Q197" s="504"/>
      <c r="R197" s="505"/>
      <c r="S197" s="505"/>
      <c r="T197" s="505"/>
      <c r="U197" s="505"/>
      <c r="V197" s="505"/>
      <c r="W197" s="505"/>
      <c r="X197" s="505"/>
      <c r="Y197" s="505"/>
      <c r="Z197" s="505"/>
      <c r="AA197" s="505"/>
      <c r="AB197" s="506"/>
    </row>
    <row r="198" spans="9:28">
      <c r="I198" s="504"/>
      <c r="J198" s="504"/>
      <c r="K198" s="504"/>
      <c r="L198" s="504"/>
      <c r="M198" s="504"/>
      <c r="N198" s="504"/>
      <c r="O198" s="504"/>
      <c r="P198" s="504"/>
      <c r="Q198" s="504"/>
      <c r="R198" s="505"/>
      <c r="S198" s="505"/>
      <c r="T198" s="505"/>
      <c r="U198" s="505"/>
      <c r="V198" s="505"/>
      <c r="W198" s="505"/>
      <c r="X198" s="505"/>
      <c r="Y198" s="505"/>
      <c r="Z198" s="505"/>
      <c r="AA198" s="505"/>
      <c r="AB198" s="506"/>
    </row>
    <row r="199" spans="9:28">
      <c r="I199" s="504"/>
      <c r="J199" s="504"/>
      <c r="K199" s="504"/>
      <c r="L199" s="504"/>
      <c r="M199" s="504"/>
      <c r="N199" s="504"/>
      <c r="O199" s="504"/>
      <c r="P199" s="504"/>
      <c r="Q199" s="504"/>
      <c r="R199" s="505"/>
      <c r="S199" s="505"/>
      <c r="T199" s="505"/>
      <c r="U199" s="505"/>
      <c r="V199" s="505"/>
      <c r="W199" s="505"/>
      <c r="X199" s="505"/>
      <c r="Y199" s="505"/>
      <c r="Z199" s="505"/>
      <c r="AA199" s="505"/>
      <c r="AB199" s="506"/>
    </row>
    <row r="200" spans="9:28">
      <c r="I200" s="504"/>
      <c r="J200" s="504"/>
      <c r="K200" s="504"/>
      <c r="L200" s="504"/>
      <c r="M200" s="504"/>
      <c r="N200" s="504"/>
      <c r="O200" s="504"/>
      <c r="P200" s="504"/>
      <c r="Q200" s="504"/>
      <c r="R200" s="505"/>
      <c r="S200" s="505"/>
      <c r="T200" s="505"/>
      <c r="U200" s="505"/>
      <c r="V200" s="505"/>
      <c r="W200" s="505"/>
      <c r="X200" s="505"/>
      <c r="Y200" s="505"/>
      <c r="Z200" s="505"/>
      <c r="AA200" s="505"/>
      <c r="AB200" s="506"/>
    </row>
    <row r="201" spans="9:28">
      <c r="I201" s="504"/>
      <c r="J201" s="504"/>
      <c r="K201" s="504"/>
      <c r="L201" s="504"/>
      <c r="M201" s="504"/>
      <c r="N201" s="504"/>
      <c r="O201" s="504"/>
      <c r="P201" s="504"/>
      <c r="Q201" s="504"/>
      <c r="R201" s="505"/>
      <c r="S201" s="505"/>
      <c r="T201" s="505"/>
      <c r="U201" s="505"/>
      <c r="V201" s="505"/>
      <c r="W201" s="505"/>
      <c r="X201" s="505"/>
      <c r="Y201" s="505"/>
      <c r="Z201" s="505"/>
      <c r="AA201" s="505"/>
      <c r="AB201" s="506"/>
    </row>
    <row r="202" spans="9:28">
      <c r="I202" s="504"/>
      <c r="J202" s="504"/>
      <c r="K202" s="504"/>
      <c r="L202" s="504"/>
      <c r="M202" s="504"/>
      <c r="N202" s="504"/>
      <c r="O202" s="504"/>
      <c r="P202" s="504"/>
      <c r="Q202" s="504"/>
      <c r="R202" s="505"/>
      <c r="S202" s="505"/>
      <c r="T202" s="505"/>
      <c r="U202" s="505"/>
      <c r="V202" s="505"/>
      <c r="W202" s="505"/>
      <c r="X202" s="505"/>
      <c r="Y202" s="505"/>
      <c r="Z202" s="505"/>
      <c r="AA202" s="505"/>
      <c r="AB202" s="506"/>
    </row>
    <row r="203" spans="9:28">
      <c r="I203" s="504"/>
      <c r="J203" s="504"/>
      <c r="K203" s="504"/>
      <c r="L203" s="504"/>
      <c r="M203" s="504"/>
      <c r="N203" s="504"/>
      <c r="O203" s="504"/>
      <c r="P203" s="504"/>
      <c r="Q203" s="504"/>
      <c r="R203" s="505"/>
      <c r="S203" s="505"/>
      <c r="T203" s="505"/>
      <c r="U203" s="505"/>
      <c r="V203" s="505"/>
      <c r="W203" s="505"/>
      <c r="X203" s="505"/>
      <c r="Y203" s="505"/>
      <c r="Z203" s="505"/>
      <c r="AA203" s="505"/>
      <c r="AB203" s="506"/>
    </row>
    <row r="204" spans="9:28">
      <c r="I204" s="504"/>
      <c r="J204" s="504"/>
      <c r="K204" s="504"/>
      <c r="L204" s="504"/>
      <c r="M204" s="504"/>
      <c r="N204" s="504"/>
      <c r="O204" s="504"/>
      <c r="P204" s="504"/>
      <c r="Q204" s="504"/>
      <c r="R204" s="505"/>
      <c r="S204" s="505"/>
      <c r="T204" s="505"/>
      <c r="U204" s="505"/>
      <c r="V204" s="505"/>
      <c r="W204" s="505"/>
      <c r="X204" s="505"/>
      <c r="Y204" s="505"/>
      <c r="Z204" s="505"/>
      <c r="AA204" s="505"/>
      <c r="AB204" s="506"/>
    </row>
    <row r="205" spans="9:28">
      <c r="I205" s="504"/>
      <c r="J205" s="504"/>
      <c r="K205" s="504"/>
      <c r="L205" s="504"/>
      <c r="M205" s="504"/>
      <c r="N205" s="504"/>
      <c r="O205" s="504"/>
      <c r="P205" s="504"/>
      <c r="Q205" s="504"/>
      <c r="R205" s="505"/>
      <c r="S205" s="505"/>
      <c r="T205" s="505"/>
      <c r="U205" s="505"/>
      <c r="V205" s="505"/>
      <c r="W205" s="505"/>
      <c r="X205" s="505"/>
      <c r="Y205" s="505"/>
      <c r="Z205" s="505"/>
      <c r="AA205" s="505"/>
      <c r="AB205" s="506"/>
    </row>
    <row r="206" spans="9:28">
      <c r="I206" s="504"/>
      <c r="J206" s="504"/>
      <c r="K206" s="504"/>
      <c r="L206" s="504"/>
      <c r="M206" s="504"/>
      <c r="N206" s="504"/>
      <c r="O206" s="504"/>
      <c r="P206" s="504"/>
      <c r="Q206" s="504"/>
      <c r="R206" s="505"/>
      <c r="S206" s="505"/>
      <c r="T206" s="505"/>
      <c r="U206" s="505"/>
      <c r="V206" s="505"/>
      <c r="W206" s="505"/>
      <c r="X206" s="505"/>
      <c r="Y206" s="505"/>
      <c r="Z206" s="505"/>
      <c r="AA206" s="505"/>
      <c r="AB206" s="506"/>
    </row>
    <row r="207" spans="9:28">
      <c r="I207" s="504"/>
      <c r="J207" s="504"/>
      <c r="K207" s="504"/>
      <c r="L207" s="504"/>
      <c r="M207" s="504"/>
      <c r="N207" s="504"/>
      <c r="O207" s="504"/>
      <c r="P207" s="504"/>
      <c r="Q207" s="504"/>
      <c r="R207" s="505"/>
      <c r="S207" s="505"/>
      <c r="T207" s="505"/>
      <c r="U207" s="505"/>
      <c r="V207" s="505"/>
      <c r="W207" s="505"/>
      <c r="X207" s="505"/>
      <c r="Y207" s="505"/>
      <c r="Z207" s="505"/>
      <c r="AA207" s="505"/>
      <c r="AB207" s="506"/>
    </row>
    <row r="211" spans="9:23" s="133" customFormat="1" ht="15">
      <c r="I211" s="533"/>
      <c r="J211" s="533"/>
      <c r="L211" s="533"/>
      <c r="N211" s="533"/>
      <c r="Q211" s="533"/>
      <c r="R211" s="533"/>
      <c r="T211" s="533"/>
      <c r="V211" s="533"/>
      <c r="W211" s="533"/>
    </row>
  </sheetData>
  <protectedRanges>
    <protectedRange sqref="D5" name="Intervalo1_2_1_2"/>
    <protectedRange sqref="E55" name="Intervalo1_2_1_4"/>
  </protectedRanges>
  <printOptions horizontalCentered="1" verticalCentered="1"/>
  <pageMargins left="0" right="0" top="0" bottom="0" header="0.31496062992125984" footer="0.31496062992125984"/>
  <pageSetup paperSize="9" scale="23" orientation="landscape" horizontalDpi="4294967294" verticalDpi="4294967294" r:id="rId1"/>
  <rowBreaks count="1" manualBreakCount="1">
    <brk id="74" max="238" man="1"/>
  </rowBreaks>
  <colBreaks count="1" manualBreakCount="1">
    <brk id="28" max="13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59"/>
  <sheetViews>
    <sheetView tabSelected="1" topLeftCell="F79" zoomScaleNormal="100" workbookViewId="0">
      <selection activeCell="N89" sqref="N89"/>
    </sheetView>
  </sheetViews>
  <sheetFormatPr defaultRowHeight="15"/>
  <cols>
    <col min="1" max="1" width="20" style="356" customWidth="1"/>
    <col min="2" max="2" width="52.42578125" customWidth="1"/>
    <col min="3" max="3" width="18" customWidth="1"/>
    <col min="4" max="4" width="26" customWidth="1"/>
    <col min="5" max="5" width="68.140625" style="358" customWidth="1"/>
    <col min="8" max="8" width="17.42578125" customWidth="1"/>
    <col min="9" max="9" width="13.5703125" customWidth="1"/>
    <col min="10" max="10" width="38.42578125" customWidth="1"/>
    <col min="11" max="11" width="17.140625" customWidth="1"/>
    <col min="12" max="12" width="15.85546875" customWidth="1"/>
  </cols>
  <sheetData>
    <row r="1" spans="1:13" ht="47.25">
      <c r="A1" s="110" t="s">
        <v>233</v>
      </c>
      <c r="B1" s="110" t="s">
        <v>234</v>
      </c>
      <c r="C1" s="110" t="s">
        <v>261</v>
      </c>
      <c r="D1" s="110" t="s">
        <v>262</v>
      </c>
      <c r="E1" s="110" t="s">
        <v>263</v>
      </c>
      <c r="F1" s="110" t="s">
        <v>264</v>
      </c>
      <c r="G1" s="333" t="s">
        <v>265</v>
      </c>
      <c r="H1" s="333" t="s">
        <v>266</v>
      </c>
      <c r="I1" s="334" t="s">
        <v>267</v>
      </c>
      <c r="J1" s="334" t="s">
        <v>268</v>
      </c>
      <c r="K1" s="334" t="s">
        <v>269</v>
      </c>
      <c r="L1" s="335" t="s">
        <v>270</v>
      </c>
      <c r="M1" s="2"/>
    </row>
    <row r="2" spans="1:13" s="343" customFormat="1">
      <c r="A2" s="509" t="s">
        <v>462</v>
      </c>
      <c r="B2" s="510" t="s">
        <v>644</v>
      </c>
      <c r="C2" s="540" t="s">
        <v>978</v>
      </c>
      <c r="D2" s="540" t="s">
        <v>979</v>
      </c>
      <c r="E2" s="541" t="s">
        <v>965</v>
      </c>
      <c r="F2" s="541" t="s">
        <v>980</v>
      </c>
      <c r="G2" s="542" t="s">
        <v>981</v>
      </c>
      <c r="H2" s="540" t="s">
        <v>982</v>
      </c>
      <c r="I2" s="540" t="s">
        <v>983</v>
      </c>
      <c r="J2" s="540" t="s">
        <v>984</v>
      </c>
      <c r="K2" s="543">
        <v>2611606</v>
      </c>
      <c r="L2" s="544" t="s">
        <v>1303</v>
      </c>
      <c r="M2" s="342"/>
    </row>
    <row r="3" spans="1:13" s="343" customFormat="1">
      <c r="A3" s="509" t="s">
        <v>462</v>
      </c>
      <c r="B3" s="510" t="s">
        <v>644</v>
      </c>
      <c r="C3" s="540" t="s">
        <v>213</v>
      </c>
      <c r="D3" s="540" t="s">
        <v>979</v>
      </c>
      <c r="E3" s="541" t="s">
        <v>965</v>
      </c>
      <c r="F3" s="541" t="s">
        <v>980</v>
      </c>
      <c r="G3" s="542" t="s">
        <v>981</v>
      </c>
      <c r="H3" s="540" t="s">
        <v>985</v>
      </c>
      <c r="I3" s="540" t="s">
        <v>986</v>
      </c>
      <c r="J3" s="540" t="s">
        <v>987</v>
      </c>
      <c r="K3" s="543">
        <v>2611606</v>
      </c>
      <c r="L3" s="544" t="s">
        <v>1304</v>
      </c>
      <c r="M3" s="342"/>
    </row>
    <row r="4" spans="1:13" s="343" customFormat="1">
      <c r="A4" s="509" t="s">
        <v>462</v>
      </c>
      <c r="B4" s="510" t="s">
        <v>644</v>
      </c>
      <c r="C4" s="540" t="s">
        <v>213</v>
      </c>
      <c r="D4" s="540" t="s">
        <v>979</v>
      </c>
      <c r="E4" s="541" t="s">
        <v>965</v>
      </c>
      <c r="F4" s="541" t="s">
        <v>980</v>
      </c>
      <c r="G4" s="542" t="s">
        <v>981</v>
      </c>
      <c r="H4" s="540" t="s">
        <v>988</v>
      </c>
      <c r="I4" s="540" t="s">
        <v>986</v>
      </c>
      <c r="J4" s="540" t="s">
        <v>989</v>
      </c>
      <c r="K4" s="543">
        <v>2611606</v>
      </c>
      <c r="L4" s="544" t="s">
        <v>1305</v>
      </c>
      <c r="M4" s="342"/>
    </row>
    <row r="5" spans="1:13" s="343" customFormat="1">
      <c r="A5" s="509" t="s">
        <v>462</v>
      </c>
      <c r="B5" s="510" t="s">
        <v>644</v>
      </c>
      <c r="C5" s="540" t="s">
        <v>197</v>
      </c>
      <c r="D5" s="540" t="s">
        <v>979</v>
      </c>
      <c r="E5" s="541" t="s">
        <v>965</v>
      </c>
      <c r="F5" s="541" t="s">
        <v>980</v>
      </c>
      <c r="G5" s="542" t="s">
        <v>981</v>
      </c>
      <c r="H5" s="540" t="s">
        <v>990</v>
      </c>
      <c r="I5" s="540" t="s">
        <v>986</v>
      </c>
      <c r="J5" s="540" t="s">
        <v>991</v>
      </c>
      <c r="K5" s="543">
        <v>2611606</v>
      </c>
      <c r="L5" s="544" t="s">
        <v>992</v>
      </c>
      <c r="M5" s="342"/>
    </row>
    <row r="6" spans="1:13" s="343" customFormat="1">
      <c r="A6" s="509" t="s">
        <v>462</v>
      </c>
      <c r="B6" s="510" t="s">
        <v>644</v>
      </c>
      <c r="C6" s="540" t="s">
        <v>978</v>
      </c>
      <c r="D6" s="540" t="s">
        <v>645</v>
      </c>
      <c r="E6" s="541" t="s">
        <v>603</v>
      </c>
      <c r="F6" s="541" t="s">
        <v>980</v>
      </c>
      <c r="G6" s="542" t="s">
        <v>981</v>
      </c>
      <c r="H6" s="540" t="s">
        <v>993</v>
      </c>
      <c r="I6" s="540" t="s">
        <v>983</v>
      </c>
      <c r="J6" s="540" t="s">
        <v>994</v>
      </c>
      <c r="K6" s="543">
        <v>2611606</v>
      </c>
      <c r="L6" s="544" t="s">
        <v>1306</v>
      </c>
      <c r="M6" s="342"/>
    </row>
    <row r="7" spans="1:13" s="343" customFormat="1">
      <c r="A7" s="509" t="s">
        <v>462</v>
      </c>
      <c r="B7" s="510" t="s">
        <v>644</v>
      </c>
      <c r="C7" s="540" t="s">
        <v>195</v>
      </c>
      <c r="D7" s="540" t="s">
        <v>517</v>
      </c>
      <c r="E7" s="541" t="s">
        <v>995</v>
      </c>
      <c r="F7" s="541" t="s">
        <v>980</v>
      </c>
      <c r="G7" s="542" t="s">
        <v>981</v>
      </c>
      <c r="H7" s="540" t="s">
        <v>996</v>
      </c>
      <c r="I7" s="540" t="s">
        <v>997</v>
      </c>
      <c r="J7" s="540" t="s">
        <v>998</v>
      </c>
      <c r="K7" s="543">
        <v>2611606</v>
      </c>
      <c r="L7" s="544" t="s">
        <v>999</v>
      </c>
      <c r="M7" s="342"/>
    </row>
    <row r="8" spans="1:13" s="343" customFormat="1">
      <c r="A8" s="509" t="s">
        <v>462</v>
      </c>
      <c r="B8" s="510" t="s">
        <v>644</v>
      </c>
      <c r="C8" s="540" t="s">
        <v>195</v>
      </c>
      <c r="D8" s="540" t="s">
        <v>517</v>
      </c>
      <c r="E8" s="541" t="s">
        <v>995</v>
      </c>
      <c r="F8" s="541" t="s">
        <v>980</v>
      </c>
      <c r="G8" s="542" t="s">
        <v>981</v>
      </c>
      <c r="H8" s="540" t="s">
        <v>1000</v>
      </c>
      <c r="I8" s="540" t="s">
        <v>1001</v>
      </c>
      <c r="J8" s="540" t="s">
        <v>1002</v>
      </c>
      <c r="K8" s="543">
        <v>2607901</v>
      </c>
      <c r="L8" s="544" t="s">
        <v>1003</v>
      </c>
      <c r="M8" s="342"/>
    </row>
    <row r="9" spans="1:13" s="343" customFormat="1">
      <c r="A9" s="509" t="s">
        <v>462</v>
      </c>
      <c r="B9" s="510" t="s">
        <v>644</v>
      </c>
      <c r="C9" s="540" t="s">
        <v>195</v>
      </c>
      <c r="D9" s="540" t="s">
        <v>517</v>
      </c>
      <c r="E9" s="541" t="s">
        <v>995</v>
      </c>
      <c r="F9" s="541" t="s">
        <v>980</v>
      </c>
      <c r="G9" s="542" t="s">
        <v>981</v>
      </c>
      <c r="H9" s="540" t="s">
        <v>1004</v>
      </c>
      <c r="I9" s="540" t="s">
        <v>1005</v>
      </c>
      <c r="J9" s="540" t="s">
        <v>1006</v>
      </c>
      <c r="K9" s="543">
        <v>2611606</v>
      </c>
      <c r="L9" s="544" t="s">
        <v>1307</v>
      </c>
      <c r="M9" s="342"/>
    </row>
    <row r="10" spans="1:13" s="343" customFormat="1">
      <c r="A10" s="509" t="s">
        <v>462</v>
      </c>
      <c r="B10" s="510" t="s">
        <v>644</v>
      </c>
      <c r="C10" s="540" t="s">
        <v>195</v>
      </c>
      <c r="D10" s="540" t="s">
        <v>517</v>
      </c>
      <c r="E10" s="541" t="s">
        <v>995</v>
      </c>
      <c r="F10" s="541" t="s">
        <v>980</v>
      </c>
      <c r="G10" s="542" t="s">
        <v>981</v>
      </c>
      <c r="H10" s="540" t="s">
        <v>1007</v>
      </c>
      <c r="I10" s="540" t="s">
        <v>986</v>
      </c>
      <c r="J10" s="540" t="s">
        <v>1008</v>
      </c>
      <c r="K10" s="543">
        <v>2611606</v>
      </c>
      <c r="L10" s="544" t="s">
        <v>999</v>
      </c>
      <c r="M10" s="342"/>
    </row>
    <row r="11" spans="1:13" s="343" customFormat="1">
      <c r="A11" s="509" t="s">
        <v>462</v>
      </c>
      <c r="B11" s="510" t="s">
        <v>644</v>
      </c>
      <c r="C11" s="540" t="s">
        <v>978</v>
      </c>
      <c r="D11" s="540" t="s">
        <v>1009</v>
      </c>
      <c r="E11" s="541" t="s">
        <v>1010</v>
      </c>
      <c r="F11" s="541" t="s">
        <v>980</v>
      </c>
      <c r="G11" s="542" t="s">
        <v>981</v>
      </c>
      <c r="H11" s="540" t="s">
        <v>1011</v>
      </c>
      <c r="I11" s="540" t="s">
        <v>983</v>
      </c>
      <c r="J11" s="540" t="s">
        <v>1012</v>
      </c>
      <c r="K11" s="543">
        <v>2611606</v>
      </c>
      <c r="L11" s="544" t="s">
        <v>1308</v>
      </c>
      <c r="M11" s="342"/>
    </row>
    <row r="12" spans="1:13" s="343" customFormat="1">
      <c r="A12" s="509" t="s">
        <v>462</v>
      </c>
      <c r="B12" s="510" t="s">
        <v>644</v>
      </c>
      <c r="C12" s="540" t="s">
        <v>199</v>
      </c>
      <c r="D12" s="540" t="s">
        <v>1013</v>
      </c>
      <c r="E12" s="541" t="s">
        <v>1014</v>
      </c>
      <c r="F12" s="541" t="s">
        <v>980</v>
      </c>
      <c r="G12" s="542" t="s">
        <v>981</v>
      </c>
      <c r="H12" s="540" t="s">
        <v>1015</v>
      </c>
      <c r="I12" s="540" t="s">
        <v>983</v>
      </c>
      <c r="J12" s="540" t="s">
        <v>1016</v>
      </c>
      <c r="K12" s="543">
        <v>2611606</v>
      </c>
      <c r="L12" s="544" t="s">
        <v>1017</v>
      </c>
      <c r="M12" s="342"/>
    </row>
    <row r="13" spans="1:13" s="343" customFormat="1">
      <c r="A13" s="509" t="s">
        <v>462</v>
      </c>
      <c r="B13" s="510" t="s">
        <v>644</v>
      </c>
      <c r="C13" s="540" t="s">
        <v>199</v>
      </c>
      <c r="D13" s="540" t="s">
        <v>1013</v>
      </c>
      <c r="E13" s="541" t="s">
        <v>1014</v>
      </c>
      <c r="F13" s="541" t="s">
        <v>980</v>
      </c>
      <c r="G13" s="542" t="s">
        <v>981</v>
      </c>
      <c r="H13" s="540" t="s">
        <v>1018</v>
      </c>
      <c r="I13" s="540" t="s">
        <v>983</v>
      </c>
      <c r="J13" s="540" t="s">
        <v>1019</v>
      </c>
      <c r="K13" s="543">
        <v>2611606</v>
      </c>
      <c r="L13" s="544" t="s">
        <v>1309</v>
      </c>
      <c r="M13" s="342"/>
    </row>
    <row r="14" spans="1:13" s="343" customFormat="1">
      <c r="A14" s="509" t="s">
        <v>462</v>
      </c>
      <c r="B14" s="510" t="s">
        <v>644</v>
      </c>
      <c r="C14" s="540" t="s">
        <v>199</v>
      </c>
      <c r="D14" s="540" t="s">
        <v>1013</v>
      </c>
      <c r="E14" s="541" t="s">
        <v>1014</v>
      </c>
      <c r="F14" s="541" t="s">
        <v>980</v>
      </c>
      <c r="G14" s="542" t="s">
        <v>981</v>
      </c>
      <c r="H14" s="540" t="s">
        <v>1020</v>
      </c>
      <c r="I14" s="540" t="s">
        <v>983</v>
      </c>
      <c r="J14" s="540" t="s">
        <v>1021</v>
      </c>
      <c r="K14" s="543">
        <v>2611606</v>
      </c>
      <c r="L14" s="544" t="s">
        <v>1310</v>
      </c>
      <c r="M14" s="342"/>
    </row>
    <row r="15" spans="1:13" s="343" customFormat="1">
      <c r="A15" s="509" t="s">
        <v>462</v>
      </c>
      <c r="B15" s="510" t="s">
        <v>644</v>
      </c>
      <c r="C15" s="540" t="s">
        <v>213</v>
      </c>
      <c r="D15" s="540" t="s">
        <v>1022</v>
      </c>
      <c r="E15" s="541" t="s">
        <v>1023</v>
      </c>
      <c r="F15" s="541" t="s">
        <v>980</v>
      </c>
      <c r="G15" s="542" t="s">
        <v>981</v>
      </c>
      <c r="H15" s="540" t="s">
        <v>1024</v>
      </c>
      <c r="I15" s="540" t="s">
        <v>1025</v>
      </c>
      <c r="J15" s="540" t="s">
        <v>1026</v>
      </c>
      <c r="K15" s="543">
        <v>2611606</v>
      </c>
      <c r="L15" s="544" t="s">
        <v>1311</v>
      </c>
      <c r="M15" s="342"/>
    </row>
    <row r="16" spans="1:13" s="343" customFormat="1">
      <c r="A16" s="509" t="s">
        <v>462</v>
      </c>
      <c r="B16" s="510" t="s">
        <v>644</v>
      </c>
      <c r="C16" s="540" t="s">
        <v>199</v>
      </c>
      <c r="D16" s="540" t="s">
        <v>1027</v>
      </c>
      <c r="E16" s="541" t="s">
        <v>1028</v>
      </c>
      <c r="F16" s="541" t="s">
        <v>980</v>
      </c>
      <c r="G16" s="542" t="s">
        <v>981</v>
      </c>
      <c r="H16" s="540" t="s">
        <v>1029</v>
      </c>
      <c r="I16" s="540" t="s">
        <v>1030</v>
      </c>
      <c r="J16" s="540" t="s">
        <v>1031</v>
      </c>
      <c r="K16" s="543">
        <v>2611606</v>
      </c>
      <c r="L16" s="544" t="s">
        <v>1312</v>
      </c>
      <c r="M16" s="342"/>
    </row>
    <row r="17" spans="1:13" s="345" customFormat="1">
      <c r="A17" s="509" t="s">
        <v>462</v>
      </c>
      <c r="B17" s="510" t="s">
        <v>644</v>
      </c>
      <c r="C17" s="540" t="s">
        <v>199</v>
      </c>
      <c r="D17" s="540" t="s">
        <v>1027</v>
      </c>
      <c r="E17" s="541" t="s">
        <v>1028</v>
      </c>
      <c r="F17" s="541" t="s">
        <v>980</v>
      </c>
      <c r="G17" s="542" t="s">
        <v>981</v>
      </c>
      <c r="H17" s="540" t="s">
        <v>1032</v>
      </c>
      <c r="I17" s="540" t="s">
        <v>1033</v>
      </c>
      <c r="J17" s="540" t="s">
        <v>1034</v>
      </c>
      <c r="K17" s="543">
        <v>2607901</v>
      </c>
      <c r="L17" s="544" t="s">
        <v>1313</v>
      </c>
      <c r="M17" s="344"/>
    </row>
    <row r="18" spans="1:13" s="345" customFormat="1">
      <c r="A18" s="509" t="s">
        <v>462</v>
      </c>
      <c r="B18" s="510" t="s">
        <v>644</v>
      </c>
      <c r="C18" s="540" t="s">
        <v>978</v>
      </c>
      <c r="D18" s="540" t="s">
        <v>1027</v>
      </c>
      <c r="E18" s="541" t="s">
        <v>1028</v>
      </c>
      <c r="F18" s="541" t="s">
        <v>980</v>
      </c>
      <c r="G18" s="542" t="s">
        <v>981</v>
      </c>
      <c r="H18" s="540" t="s">
        <v>1035</v>
      </c>
      <c r="I18" s="540" t="s">
        <v>1033</v>
      </c>
      <c r="J18" s="540" t="s">
        <v>1036</v>
      </c>
      <c r="K18" s="543">
        <v>2611606</v>
      </c>
      <c r="L18" s="544" t="s">
        <v>1314</v>
      </c>
      <c r="M18" s="344"/>
    </row>
    <row r="19" spans="1:13" s="345" customFormat="1">
      <c r="A19" s="509" t="s">
        <v>462</v>
      </c>
      <c r="B19" s="511" t="s">
        <v>644</v>
      </c>
      <c r="C19" s="540" t="s">
        <v>978</v>
      </c>
      <c r="D19" s="540" t="s">
        <v>1037</v>
      </c>
      <c r="E19" s="541" t="s">
        <v>1038</v>
      </c>
      <c r="F19" s="541" t="s">
        <v>980</v>
      </c>
      <c r="G19" s="542" t="s">
        <v>981</v>
      </c>
      <c r="H19" s="540" t="s">
        <v>1039</v>
      </c>
      <c r="I19" s="540" t="s">
        <v>1040</v>
      </c>
      <c r="J19" s="540" t="s">
        <v>1041</v>
      </c>
      <c r="K19" s="543">
        <v>2611606</v>
      </c>
      <c r="L19" s="544" t="s">
        <v>1042</v>
      </c>
      <c r="M19" s="344"/>
    </row>
    <row r="20" spans="1:13" s="343" customFormat="1">
      <c r="A20" s="509" t="s">
        <v>462</v>
      </c>
      <c r="B20" s="511" t="s">
        <v>644</v>
      </c>
      <c r="C20" s="540" t="s">
        <v>978</v>
      </c>
      <c r="D20" s="540" t="s">
        <v>1043</v>
      </c>
      <c r="E20" s="541" t="s">
        <v>1044</v>
      </c>
      <c r="F20" s="541" t="s">
        <v>980</v>
      </c>
      <c r="G20" s="542" t="s">
        <v>981</v>
      </c>
      <c r="H20" s="540" t="s">
        <v>1045</v>
      </c>
      <c r="I20" s="540" t="s">
        <v>1046</v>
      </c>
      <c r="J20" s="540" t="s">
        <v>1047</v>
      </c>
      <c r="K20" s="545">
        <v>2611606</v>
      </c>
      <c r="L20" s="544" t="s">
        <v>1048</v>
      </c>
      <c r="M20" s="342"/>
    </row>
    <row r="21" spans="1:13" s="343" customFormat="1">
      <c r="A21" s="509" t="s">
        <v>462</v>
      </c>
      <c r="B21" s="511" t="s">
        <v>644</v>
      </c>
      <c r="C21" s="540" t="s">
        <v>213</v>
      </c>
      <c r="D21" s="540" t="s">
        <v>1049</v>
      </c>
      <c r="E21" s="541" t="s">
        <v>1050</v>
      </c>
      <c r="F21" s="541" t="s">
        <v>980</v>
      </c>
      <c r="G21" s="542" t="s">
        <v>981</v>
      </c>
      <c r="H21" s="540" t="s">
        <v>1051</v>
      </c>
      <c r="I21" s="540" t="s">
        <v>1052</v>
      </c>
      <c r="J21" s="540" t="s">
        <v>1053</v>
      </c>
      <c r="K21" s="545">
        <v>2611606</v>
      </c>
      <c r="L21" s="544" t="s">
        <v>1054</v>
      </c>
      <c r="M21" s="342"/>
    </row>
    <row r="22" spans="1:13" s="343" customFormat="1">
      <c r="A22" s="509" t="s">
        <v>462</v>
      </c>
      <c r="B22" s="511" t="s">
        <v>644</v>
      </c>
      <c r="C22" s="540" t="s">
        <v>978</v>
      </c>
      <c r="D22" s="540" t="s">
        <v>1049</v>
      </c>
      <c r="E22" s="541" t="s">
        <v>1050</v>
      </c>
      <c r="F22" s="541" t="s">
        <v>980</v>
      </c>
      <c r="G22" s="542" t="s">
        <v>981</v>
      </c>
      <c r="H22" s="540" t="s">
        <v>1055</v>
      </c>
      <c r="I22" s="540" t="s">
        <v>1052</v>
      </c>
      <c r="J22" s="540" t="s">
        <v>1056</v>
      </c>
      <c r="K22" s="545">
        <v>2611606</v>
      </c>
      <c r="L22" s="546" t="s">
        <v>1315</v>
      </c>
      <c r="M22" s="342"/>
    </row>
    <row r="23" spans="1:13" s="343" customFormat="1">
      <c r="A23" s="509" t="s">
        <v>462</v>
      </c>
      <c r="B23" s="510" t="s">
        <v>644</v>
      </c>
      <c r="C23" s="540" t="s">
        <v>978</v>
      </c>
      <c r="D23" s="540" t="s">
        <v>646</v>
      </c>
      <c r="E23" s="541" t="s">
        <v>1057</v>
      </c>
      <c r="F23" s="541" t="s">
        <v>980</v>
      </c>
      <c r="G23" s="542" t="s">
        <v>981</v>
      </c>
      <c r="H23" s="540" t="s">
        <v>1058</v>
      </c>
      <c r="I23" s="540" t="s">
        <v>1059</v>
      </c>
      <c r="J23" s="540" t="s">
        <v>1060</v>
      </c>
      <c r="K23" s="545">
        <v>2611606</v>
      </c>
      <c r="L23" s="544" t="s">
        <v>1316</v>
      </c>
      <c r="M23" s="342"/>
    </row>
    <row r="24" spans="1:13" s="343" customFormat="1">
      <c r="A24" s="509" t="s">
        <v>462</v>
      </c>
      <c r="B24" s="510" t="s">
        <v>644</v>
      </c>
      <c r="C24" s="540" t="s">
        <v>199</v>
      </c>
      <c r="D24" s="540" t="s">
        <v>1061</v>
      </c>
      <c r="E24" s="541" t="s">
        <v>1062</v>
      </c>
      <c r="F24" s="541" t="s">
        <v>980</v>
      </c>
      <c r="G24" s="542" t="s">
        <v>981</v>
      </c>
      <c r="H24" s="540" t="s">
        <v>1063</v>
      </c>
      <c r="I24" s="540" t="s">
        <v>1033</v>
      </c>
      <c r="J24" s="540" t="s">
        <v>1064</v>
      </c>
      <c r="K24" s="545">
        <v>2611606</v>
      </c>
      <c r="L24" s="544" t="s">
        <v>1317</v>
      </c>
      <c r="M24" s="342"/>
    </row>
    <row r="25" spans="1:13" s="343" customFormat="1">
      <c r="A25" s="509" t="s">
        <v>462</v>
      </c>
      <c r="B25" s="510" t="s">
        <v>644</v>
      </c>
      <c r="C25" s="540" t="s">
        <v>199</v>
      </c>
      <c r="D25" s="540" t="s">
        <v>1061</v>
      </c>
      <c r="E25" s="541" t="s">
        <v>1062</v>
      </c>
      <c r="F25" s="541" t="s">
        <v>980</v>
      </c>
      <c r="G25" s="542" t="s">
        <v>981</v>
      </c>
      <c r="H25" s="540" t="s">
        <v>1065</v>
      </c>
      <c r="I25" s="540" t="s">
        <v>1033</v>
      </c>
      <c r="J25" s="540" t="s">
        <v>1066</v>
      </c>
      <c r="K25" s="545">
        <v>2611606</v>
      </c>
      <c r="L25" s="544" t="s">
        <v>1318</v>
      </c>
      <c r="M25" s="342"/>
    </row>
    <row r="26" spans="1:13" s="343" customFormat="1">
      <c r="A26" s="509" t="s">
        <v>462</v>
      </c>
      <c r="B26" s="510" t="s">
        <v>644</v>
      </c>
      <c r="C26" s="540" t="s">
        <v>978</v>
      </c>
      <c r="D26" s="540" t="s">
        <v>1067</v>
      </c>
      <c r="E26" s="541" t="s">
        <v>1068</v>
      </c>
      <c r="F26" s="541" t="s">
        <v>980</v>
      </c>
      <c r="G26" s="542" t="s">
        <v>981</v>
      </c>
      <c r="H26" s="540" t="s">
        <v>1069</v>
      </c>
      <c r="I26" s="540" t="s">
        <v>983</v>
      </c>
      <c r="J26" s="540" t="s">
        <v>1070</v>
      </c>
      <c r="K26" s="545">
        <v>2611606</v>
      </c>
      <c r="L26" s="544" t="s">
        <v>1319</v>
      </c>
      <c r="M26" s="342"/>
    </row>
    <row r="27" spans="1:13" s="343" customFormat="1">
      <c r="A27" s="509" t="s">
        <v>462</v>
      </c>
      <c r="B27" s="510" t="s">
        <v>644</v>
      </c>
      <c r="C27" s="540" t="s">
        <v>978</v>
      </c>
      <c r="D27" s="540" t="s">
        <v>1067</v>
      </c>
      <c r="E27" s="541" t="s">
        <v>1068</v>
      </c>
      <c r="F27" s="541" t="s">
        <v>980</v>
      </c>
      <c r="G27" s="542" t="s">
        <v>981</v>
      </c>
      <c r="H27" s="540" t="s">
        <v>1071</v>
      </c>
      <c r="I27" s="540" t="s">
        <v>1030</v>
      </c>
      <c r="J27" s="540" t="s">
        <v>1072</v>
      </c>
      <c r="K27" s="545">
        <v>2607901</v>
      </c>
      <c r="L27" s="544" t="s">
        <v>1073</v>
      </c>
      <c r="M27" s="342"/>
    </row>
    <row r="28" spans="1:13" s="343" customFormat="1">
      <c r="A28" s="509" t="s">
        <v>462</v>
      </c>
      <c r="B28" s="510" t="s">
        <v>644</v>
      </c>
      <c r="C28" s="540" t="s">
        <v>978</v>
      </c>
      <c r="D28" s="540" t="s">
        <v>1067</v>
      </c>
      <c r="E28" s="541" t="s">
        <v>1068</v>
      </c>
      <c r="F28" s="541" t="s">
        <v>980</v>
      </c>
      <c r="G28" s="542" t="s">
        <v>981</v>
      </c>
      <c r="H28" s="540" t="s">
        <v>1074</v>
      </c>
      <c r="I28" s="540" t="s">
        <v>1033</v>
      </c>
      <c r="J28" s="540" t="s">
        <v>1075</v>
      </c>
      <c r="K28" s="545">
        <v>2611606</v>
      </c>
      <c r="L28" s="544" t="s">
        <v>1076</v>
      </c>
      <c r="M28" s="342"/>
    </row>
    <row r="29" spans="1:13" s="343" customFormat="1">
      <c r="A29" s="509" t="s">
        <v>462</v>
      </c>
      <c r="B29" s="510" t="s">
        <v>644</v>
      </c>
      <c r="C29" s="540" t="s">
        <v>199</v>
      </c>
      <c r="D29" s="540" t="s">
        <v>1067</v>
      </c>
      <c r="E29" s="541" t="s">
        <v>1068</v>
      </c>
      <c r="F29" s="541" t="s">
        <v>980</v>
      </c>
      <c r="G29" s="542" t="s">
        <v>981</v>
      </c>
      <c r="H29" s="540" t="s">
        <v>1077</v>
      </c>
      <c r="I29" s="540" t="s">
        <v>1078</v>
      </c>
      <c r="J29" s="540" t="s">
        <v>1079</v>
      </c>
      <c r="K29" s="545">
        <v>2611606</v>
      </c>
      <c r="L29" s="544" t="s">
        <v>1320</v>
      </c>
      <c r="M29" s="342"/>
    </row>
    <row r="30" spans="1:13" s="343" customFormat="1">
      <c r="A30" s="509" t="s">
        <v>462</v>
      </c>
      <c r="B30" s="510" t="s">
        <v>644</v>
      </c>
      <c r="C30" s="540" t="s">
        <v>195</v>
      </c>
      <c r="D30" s="540" t="s">
        <v>517</v>
      </c>
      <c r="E30" s="541" t="s">
        <v>995</v>
      </c>
      <c r="F30" s="541" t="s">
        <v>980</v>
      </c>
      <c r="G30" s="542" t="s">
        <v>981</v>
      </c>
      <c r="H30" s="540" t="s">
        <v>1080</v>
      </c>
      <c r="I30" s="540" t="s">
        <v>1030</v>
      </c>
      <c r="J30" s="540" t="s">
        <v>1081</v>
      </c>
      <c r="K30" s="545">
        <v>2611606</v>
      </c>
      <c r="L30" s="544" t="s">
        <v>1321</v>
      </c>
      <c r="M30" s="342"/>
    </row>
    <row r="31" spans="1:13" s="343" customFormat="1">
      <c r="A31" s="509" t="s">
        <v>462</v>
      </c>
      <c r="B31" s="510" t="s">
        <v>644</v>
      </c>
      <c r="C31" s="540" t="s">
        <v>195</v>
      </c>
      <c r="D31" s="540" t="s">
        <v>517</v>
      </c>
      <c r="E31" s="541" t="s">
        <v>995</v>
      </c>
      <c r="F31" s="541" t="s">
        <v>980</v>
      </c>
      <c r="G31" s="542" t="s">
        <v>981</v>
      </c>
      <c r="H31" s="540" t="s">
        <v>1082</v>
      </c>
      <c r="I31" s="540" t="s">
        <v>1083</v>
      </c>
      <c r="J31" s="540" t="s">
        <v>1084</v>
      </c>
      <c r="K31" s="545">
        <v>2602902</v>
      </c>
      <c r="L31" s="544" t="s">
        <v>1322</v>
      </c>
      <c r="M31" s="342"/>
    </row>
    <row r="32" spans="1:13" s="343" customFormat="1">
      <c r="A32" s="509" t="s">
        <v>462</v>
      </c>
      <c r="B32" s="510" t="s">
        <v>644</v>
      </c>
      <c r="C32" s="540" t="s">
        <v>195</v>
      </c>
      <c r="D32" s="540" t="s">
        <v>517</v>
      </c>
      <c r="E32" s="541" t="s">
        <v>995</v>
      </c>
      <c r="F32" s="541" t="s">
        <v>980</v>
      </c>
      <c r="G32" s="542" t="s">
        <v>981</v>
      </c>
      <c r="H32" s="540" t="s">
        <v>1085</v>
      </c>
      <c r="I32" s="540" t="s">
        <v>983</v>
      </c>
      <c r="J32" s="540" t="s">
        <v>1086</v>
      </c>
      <c r="K32" s="545">
        <v>2602902</v>
      </c>
      <c r="L32" s="544" t="s">
        <v>1087</v>
      </c>
      <c r="M32" s="342"/>
    </row>
    <row r="33" spans="1:13" s="343" customFormat="1">
      <c r="A33" s="509" t="s">
        <v>462</v>
      </c>
      <c r="B33" s="510" t="s">
        <v>644</v>
      </c>
      <c r="C33" s="540" t="s">
        <v>195</v>
      </c>
      <c r="D33" s="540" t="s">
        <v>517</v>
      </c>
      <c r="E33" s="541" t="s">
        <v>995</v>
      </c>
      <c r="F33" s="541" t="s">
        <v>980</v>
      </c>
      <c r="G33" s="542" t="s">
        <v>981</v>
      </c>
      <c r="H33" s="540" t="s">
        <v>1088</v>
      </c>
      <c r="I33" s="540" t="s">
        <v>983</v>
      </c>
      <c r="J33" s="540" t="s">
        <v>1089</v>
      </c>
      <c r="K33" s="545">
        <v>2602902</v>
      </c>
      <c r="L33" s="544" t="s">
        <v>1323</v>
      </c>
      <c r="M33" s="342"/>
    </row>
    <row r="34" spans="1:13" s="343" customFormat="1">
      <c r="A34" s="509" t="s">
        <v>462</v>
      </c>
      <c r="B34" s="510" t="s">
        <v>644</v>
      </c>
      <c r="C34" s="540" t="s">
        <v>195</v>
      </c>
      <c r="D34" s="540" t="s">
        <v>517</v>
      </c>
      <c r="E34" s="541" t="s">
        <v>995</v>
      </c>
      <c r="F34" s="541" t="s">
        <v>980</v>
      </c>
      <c r="G34" s="542" t="s">
        <v>981</v>
      </c>
      <c r="H34" s="540" t="s">
        <v>1090</v>
      </c>
      <c r="I34" s="540" t="s">
        <v>1091</v>
      </c>
      <c r="J34" s="540" t="s">
        <v>1092</v>
      </c>
      <c r="K34" s="545">
        <v>2602902</v>
      </c>
      <c r="L34" s="544" t="s">
        <v>1093</v>
      </c>
      <c r="M34" s="342"/>
    </row>
    <row r="35" spans="1:13" s="343" customFormat="1">
      <c r="A35" s="509" t="s">
        <v>462</v>
      </c>
      <c r="B35" s="510" t="s">
        <v>644</v>
      </c>
      <c r="C35" s="540" t="s">
        <v>195</v>
      </c>
      <c r="D35" s="540" t="s">
        <v>517</v>
      </c>
      <c r="E35" s="541" t="s">
        <v>995</v>
      </c>
      <c r="F35" s="541" t="s">
        <v>980</v>
      </c>
      <c r="G35" s="542" t="s">
        <v>981</v>
      </c>
      <c r="H35" s="540" t="s">
        <v>1094</v>
      </c>
      <c r="I35" s="540" t="s">
        <v>1095</v>
      </c>
      <c r="J35" s="540" t="s">
        <v>1096</v>
      </c>
      <c r="K35" s="545">
        <v>2602902</v>
      </c>
      <c r="L35" s="544" t="s">
        <v>1087</v>
      </c>
      <c r="M35" s="342"/>
    </row>
    <row r="36" spans="1:13" s="343" customFormat="1">
      <c r="A36" s="509" t="s">
        <v>462</v>
      </c>
      <c r="B36" s="510" t="s">
        <v>644</v>
      </c>
      <c r="C36" s="540" t="s">
        <v>195</v>
      </c>
      <c r="D36" s="540" t="s">
        <v>517</v>
      </c>
      <c r="E36" s="541" t="s">
        <v>995</v>
      </c>
      <c r="F36" s="541" t="s">
        <v>980</v>
      </c>
      <c r="G36" s="542" t="s">
        <v>981</v>
      </c>
      <c r="H36" s="540" t="s">
        <v>1097</v>
      </c>
      <c r="I36" s="540" t="s">
        <v>1059</v>
      </c>
      <c r="J36" s="540" t="s">
        <v>1098</v>
      </c>
      <c r="K36" s="545">
        <v>2602902</v>
      </c>
      <c r="L36" s="544" t="s">
        <v>999</v>
      </c>
      <c r="M36" s="342"/>
    </row>
    <row r="37" spans="1:13" s="343" customFormat="1">
      <c r="A37" s="509" t="s">
        <v>462</v>
      </c>
      <c r="B37" s="510" t="s">
        <v>644</v>
      </c>
      <c r="C37" s="540" t="s">
        <v>195</v>
      </c>
      <c r="D37" s="540" t="s">
        <v>517</v>
      </c>
      <c r="E37" s="541" t="s">
        <v>995</v>
      </c>
      <c r="F37" s="541" t="s">
        <v>980</v>
      </c>
      <c r="G37" s="542" t="s">
        <v>981</v>
      </c>
      <c r="H37" s="540" t="s">
        <v>1099</v>
      </c>
      <c r="I37" s="540" t="s">
        <v>1100</v>
      </c>
      <c r="J37" s="540" t="s">
        <v>1101</v>
      </c>
      <c r="K37" s="545">
        <v>2611606</v>
      </c>
      <c r="L37" s="544" t="s">
        <v>999</v>
      </c>
      <c r="M37" s="342"/>
    </row>
    <row r="38" spans="1:13" s="343" customFormat="1">
      <c r="A38" s="509" t="s">
        <v>462</v>
      </c>
      <c r="B38" s="510" t="s">
        <v>644</v>
      </c>
      <c r="C38" s="540" t="s">
        <v>195</v>
      </c>
      <c r="D38" s="540" t="s">
        <v>517</v>
      </c>
      <c r="E38" s="541" t="s">
        <v>995</v>
      </c>
      <c r="F38" s="541" t="s">
        <v>980</v>
      </c>
      <c r="G38" s="542" t="s">
        <v>981</v>
      </c>
      <c r="H38" s="540" t="s">
        <v>1102</v>
      </c>
      <c r="I38" s="540" t="s">
        <v>1103</v>
      </c>
      <c r="J38" s="540" t="s">
        <v>1104</v>
      </c>
      <c r="K38" s="545">
        <v>2611606</v>
      </c>
      <c r="L38" s="544" t="s">
        <v>1087</v>
      </c>
      <c r="M38" s="342"/>
    </row>
    <row r="39" spans="1:13" s="343" customFormat="1">
      <c r="A39" s="509" t="s">
        <v>462</v>
      </c>
      <c r="B39" s="510" t="s">
        <v>644</v>
      </c>
      <c r="C39" s="540" t="s">
        <v>195</v>
      </c>
      <c r="D39" s="540" t="s">
        <v>517</v>
      </c>
      <c r="E39" s="541" t="s">
        <v>995</v>
      </c>
      <c r="F39" s="541" t="s">
        <v>980</v>
      </c>
      <c r="G39" s="542" t="s">
        <v>981</v>
      </c>
      <c r="H39" s="540" t="s">
        <v>1105</v>
      </c>
      <c r="I39" s="540" t="s">
        <v>1106</v>
      </c>
      <c r="J39" s="540" t="s">
        <v>1107</v>
      </c>
      <c r="K39" s="545">
        <v>2611606</v>
      </c>
      <c r="L39" s="544" t="s">
        <v>1324</v>
      </c>
      <c r="M39" s="342"/>
    </row>
    <row r="40" spans="1:13" s="343" customFormat="1">
      <c r="A40" s="509" t="s">
        <v>462</v>
      </c>
      <c r="B40" s="510" t="s">
        <v>644</v>
      </c>
      <c r="C40" s="540" t="s">
        <v>195</v>
      </c>
      <c r="D40" s="540" t="s">
        <v>517</v>
      </c>
      <c r="E40" s="541" t="s">
        <v>995</v>
      </c>
      <c r="F40" s="541" t="s">
        <v>980</v>
      </c>
      <c r="G40" s="542" t="s">
        <v>981</v>
      </c>
      <c r="H40" s="540" t="s">
        <v>1108</v>
      </c>
      <c r="I40" s="540" t="s">
        <v>1109</v>
      </c>
      <c r="J40" s="540" t="s">
        <v>1110</v>
      </c>
      <c r="K40" s="545">
        <v>2611606</v>
      </c>
      <c r="L40" s="544" t="s">
        <v>1325</v>
      </c>
      <c r="M40" s="342"/>
    </row>
    <row r="41" spans="1:13" s="343" customFormat="1">
      <c r="A41" s="509" t="s">
        <v>462</v>
      </c>
      <c r="B41" s="510" t="s">
        <v>644</v>
      </c>
      <c r="C41" s="540" t="s">
        <v>195</v>
      </c>
      <c r="D41" s="540" t="s">
        <v>517</v>
      </c>
      <c r="E41" s="541" t="s">
        <v>995</v>
      </c>
      <c r="F41" s="541" t="s">
        <v>980</v>
      </c>
      <c r="G41" s="542" t="s">
        <v>981</v>
      </c>
      <c r="H41" s="540" t="s">
        <v>1111</v>
      </c>
      <c r="I41" s="540" t="s">
        <v>1033</v>
      </c>
      <c r="J41" s="540" t="s">
        <v>1112</v>
      </c>
      <c r="K41" s="545">
        <v>2611606</v>
      </c>
      <c r="L41" s="544" t="s">
        <v>1326</v>
      </c>
      <c r="M41" s="342"/>
    </row>
    <row r="42" spans="1:13" s="343" customFormat="1">
      <c r="A42" s="509" t="s">
        <v>462</v>
      </c>
      <c r="B42" s="510" t="s">
        <v>644</v>
      </c>
      <c r="C42" s="547" t="s">
        <v>1113</v>
      </c>
      <c r="D42" s="547" t="s">
        <v>1114</v>
      </c>
      <c r="E42" s="548" t="s">
        <v>1115</v>
      </c>
      <c r="F42" s="541" t="s">
        <v>981</v>
      </c>
      <c r="G42" s="542" t="s">
        <v>981</v>
      </c>
      <c r="H42" s="540" t="s">
        <v>1116</v>
      </c>
      <c r="I42" s="540" t="s">
        <v>1117</v>
      </c>
      <c r="J42" s="540" t="s">
        <v>1118</v>
      </c>
      <c r="K42" s="545">
        <v>2611606</v>
      </c>
      <c r="L42" s="544" t="s">
        <v>1327</v>
      </c>
      <c r="M42" s="342"/>
    </row>
    <row r="43" spans="1:13" s="343" customFormat="1">
      <c r="A43" s="509" t="s">
        <v>462</v>
      </c>
      <c r="B43" s="510" t="s">
        <v>644</v>
      </c>
      <c r="C43" s="547" t="s">
        <v>1113</v>
      </c>
      <c r="D43" s="547" t="s">
        <v>1114</v>
      </c>
      <c r="E43" s="548" t="s">
        <v>1115</v>
      </c>
      <c r="F43" s="541" t="s">
        <v>981</v>
      </c>
      <c r="G43" s="542" t="s">
        <v>981</v>
      </c>
      <c r="H43" s="540" t="s">
        <v>1119</v>
      </c>
      <c r="I43" s="540" t="s">
        <v>1117</v>
      </c>
      <c r="J43" s="540" t="s">
        <v>1120</v>
      </c>
      <c r="K43" s="545">
        <v>2607901</v>
      </c>
      <c r="L43" s="544" t="s">
        <v>1328</v>
      </c>
      <c r="M43" s="342"/>
    </row>
    <row r="44" spans="1:13" s="343" customFormat="1">
      <c r="A44" s="509" t="s">
        <v>462</v>
      </c>
      <c r="B44" s="510" t="s">
        <v>644</v>
      </c>
      <c r="C44" s="540" t="s">
        <v>1121</v>
      </c>
      <c r="D44" s="540" t="s">
        <v>1122</v>
      </c>
      <c r="E44" s="541" t="s">
        <v>1123</v>
      </c>
      <c r="F44" s="541" t="s">
        <v>981</v>
      </c>
      <c r="G44" s="542" t="s">
        <v>981</v>
      </c>
      <c r="H44" s="549">
        <v>82315</v>
      </c>
      <c r="I44" s="540" t="s">
        <v>1117</v>
      </c>
      <c r="J44" s="540" t="s">
        <v>1124</v>
      </c>
      <c r="K44" s="545">
        <v>2611606</v>
      </c>
      <c r="L44" s="544" t="s">
        <v>1329</v>
      </c>
      <c r="M44" s="342"/>
    </row>
    <row r="45" spans="1:13" s="343" customFormat="1">
      <c r="A45" s="509" t="s">
        <v>462</v>
      </c>
      <c r="B45" s="510" t="s">
        <v>644</v>
      </c>
      <c r="C45" s="547" t="s">
        <v>1125</v>
      </c>
      <c r="D45" s="547" t="s">
        <v>1126</v>
      </c>
      <c r="E45" s="548" t="s">
        <v>1127</v>
      </c>
      <c r="F45" s="541" t="s">
        <v>981</v>
      </c>
      <c r="G45" s="542" t="s">
        <v>981</v>
      </c>
      <c r="H45" s="540" t="s">
        <v>1128</v>
      </c>
      <c r="I45" s="540" t="s">
        <v>1129</v>
      </c>
      <c r="J45" s="540" t="s">
        <v>1124</v>
      </c>
      <c r="K45" s="545">
        <v>2611606</v>
      </c>
      <c r="L45" s="544" t="s">
        <v>1330</v>
      </c>
      <c r="M45" s="342"/>
    </row>
    <row r="46" spans="1:13" s="343" customFormat="1">
      <c r="A46" s="509" t="s">
        <v>462</v>
      </c>
      <c r="B46" s="510" t="s">
        <v>644</v>
      </c>
      <c r="C46" s="550" t="s">
        <v>1130</v>
      </c>
      <c r="D46" s="547" t="s">
        <v>1131</v>
      </c>
      <c r="E46" s="548" t="s">
        <v>1132</v>
      </c>
      <c r="F46" s="541" t="s">
        <v>981</v>
      </c>
      <c r="G46" s="542" t="s">
        <v>981</v>
      </c>
      <c r="H46" s="540" t="s">
        <v>1133</v>
      </c>
      <c r="I46" s="540" t="s">
        <v>1117</v>
      </c>
      <c r="J46" s="540" t="s">
        <v>1134</v>
      </c>
      <c r="K46" s="545">
        <v>2611606</v>
      </c>
      <c r="L46" s="544" t="s">
        <v>1331</v>
      </c>
      <c r="M46" s="342"/>
    </row>
    <row r="47" spans="1:13" s="343" customFormat="1">
      <c r="A47" s="509" t="s">
        <v>462</v>
      </c>
      <c r="B47" s="510" t="s">
        <v>644</v>
      </c>
      <c r="C47" s="550" t="s">
        <v>1130</v>
      </c>
      <c r="D47" s="551" t="s">
        <v>635</v>
      </c>
      <c r="E47" s="550" t="s">
        <v>1135</v>
      </c>
      <c r="F47" s="541" t="s">
        <v>981</v>
      </c>
      <c r="G47" s="542" t="s">
        <v>981</v>
      </c>
      <c r="H47" s="540" t="s">
        <v>1136</v>
      </c>
      <c r="I47" s="540" t="s">
        <v>1117</v>
      </c>
      <c r="J47" s="540" t="s">
        <v>1137</v>
      </c>
      <c r="K47" s="545">
        <v>2611606</v>
      </c>
      <c r="L47" s="544" t="s">
        <v>1332</v>
      </c>
      <c r="M47" s="342"/>
    </row>
    <row r="48" spans="1:13" s="343" customFormat="1">
      <c r="A48" s="509" t="s">
        <v>462</v>
      </c>
      <c r="B48" s="510" t="s">
        <v>644</v>
      </c>
      <c r="C48" s="552" t="s">
        <v>1130</v>
      </c>
      <c r="D48" s="552" t="s">
        <v>1138</v>
      </c>
      <c r="E48" s="553" t="s">
        <v>1139</v>
      </c>
      <c r="F48" s="541" t="s">
        <v>981</v>
      </c>
      <c r="G48" s="542" t="s">
        <v>981</v>
      </c>
      <c r="H48" s="540" t="s">
        <v>1140</v>
      </c>
      <c r="I48" s="540" t="s">
        <v>1129</v>
      </c>
      <c r="J48" s="540" t="s">
        <v>1124</v>
      </c>
      <c r="K48" s="545">
        <v>2607901</v>
      </c>
      <c r="L48" s="544" t="s">
        <v>1333</v>
      </c>
      <c r="M48" s="342"/>
    </row>
    <row r="49" spans="1:13" s="343" customFormat="1">
      <c r="A49" s="509" t="s">
        <v>462</v>
      </c>
      <c r="B49" s="510" t="s">
        <v>644</v>
      </c>
      <c r="C49" s="554" t="s">
        <v>1130</v>
      </c>
      <c r="D49" s="552" t="s">
        <v>1141</v>
      </c>
      <c r="E49" s="553" t="s">
        <v>1142</v>
      </c>
      <c r="F49" s="541" t="s">
        <v>981</v>
      </c>
      <c r="G49" s="542" t="s">
        <v>981</v>
      </c>
      <c r="H49" s="540" t="s">
        <v>1143</v>
      </c>
      <c r="I49" s="540" t="s">
        <v>1129</v>
      </c>
      <c r="J49" s="540" t="s">
        <v>1124</v>
      </c>
      <c r="K49" s="545">
        <v>2611606</v>
      </c>
      <c r="L49" s="544" t="s">
        <v>1334</v>
      </c>
      <c r="M49" s="342"/>
    </row>
    <row r="50" spans="1:13" s="343" customFormat="1">
      <c r="A50" s="509" t="s">
        <v>462</v>
      </c>
      <c r="B50" s="510" t="s">
        <v>644</v>
      </c>
      <c r="C50" s="554" t="s">
        <v>1144</v>
      </c>
      <c r="D50" s="552" t="s">
        <v>513</v>
      </c>
      <c r="E50" s="553" t="s">
        <v>1145</v>
      </c>
      <c r="F50" s="541" t="s">
        <v>981</v>
      </c>
      <c r="G50" s="542" t="s">
        <v>981</v>
      </c>
      <c r="H50" s="540" t="s">
        <v>1146</v>
      </c>
      <c r="I50" s="540" t="s">
        <v>1147</v>
      </c>
      <c r="J50" s="540" t="s">
        <v>1124</v>
      </c>
      <c r="K50" s="545">
        <v>2611606</v>
      </c>
      <c r="L50" s="544" t="s">
        <v>1335</v>
      </c>
      <c r="M50" s="342"/>
    </row>
    <row r="51" spans="1:13" s="343" customFormat="1">
      <c r="A51" s="509" t="s">
        <v>462</v>
      </c>
      <c r="B51" s="510" t="s">
        <v>644</v>
      </c>
      <c r="C51" s="540" t="s">
        <v>1130</v>
      </c>
      <c r="D51" s="540" t="s">
        <v>1148</v>
      </c>
      <c r="E51" s="541" t="s">
        <v>1149</v>
      </c>
      <c r="F51" s="541" t="s">
        <v>981</v>
      </c>
      <c r="G51" s="542" t="s">
        <v>981</v>
      </c>
      <c r="H51" s="540" t="s">
        <v>1150</v>
      </c>
      <c r="I51" s="540" t="s">
        <v>1129</v>
      </c>
      <c r="J51" s="540" t="s">
        <v>1151</v>
      </c>
      <c r="K51" s="545">
        <v>2611606</v>
      </c>
      <c r="L51" s="544" t="s">
        <v>1336</v>
      </c>
      <c r="M51" s="342"/>
    </row>
    <row r="52" spans="1:13" s="343" customFormat="1">
      <c r="A52" s="509" t="s">
        <v>462</v>
      </c>
      <c r="B52" s="510" t="s">
        <v>644</v>
      </c>
      <c r="C52" s="540" t="s">
        <v>1130</v>
      </c>
      <c r="D52" s="540" t="s">
        <v>1152</v>
      </c>
      <c r="E52" s="541" t="s">
        <v>1153</v>
      </c>
      <c r="F52" s="541" t="s">
        <v>981</v>
      </c>
      <c r="G52" s="542" t="s">
        <v>981</v>
      </c>
      <c r="H52" s="540" t="s">
        <v>1154</v>
      </c>
      <c r="I52" s="540" t="s">
        <v>1129</v>
      </c>
      <c r="J52" s="540" t="s">
        <v>1155</v>
      </c>
      <c r="K52" s="545">
        <v>2611606</v>
      </c>
      <c r="L52" s="544" t="s">
        <v>1337</v>
      </c>
      <c r="M52" s="342"/>
    </row>
    <row r="53" spans="1:13" s="343" customFormat="1">
      <c r="A53" s="509" t="s">
        <v>462</v>
      </c>
      <c r="B53" s="510" t="s">
        <v>644</v>
      </c>
      <c r="C53" s="547" t="s">
        <v>1130</v>
      </c>
      <c r="D53" s="547" t="s">
        <v>630</v>
      </c>
      <c r="E53" s="548" t="s">
        <v>1156</v>
      </c>
      <c r="F53" s="541" t="s">
        <v>981</v>
      </c>
      <c r="G53" s="542" t="s">
        <v>981</v>
      </c>
      <c r="H53" s="540" t="s">
        <v>1157</v>
      </c>
      <c r="I53" s="540" t="s">
        <v>1129</v>
      </c>
      <c r="J53" s="540" t="s">
        <v>1158</v>
      </c>
      <c r="K53" s="545">
        <v>2611606</v>
      </c>
      <c r="L53" s="544" t="s">
        <v>1338</v>
      </c>
      <c r="M53" s="342"/>
    </row>
    <row r="54" spans="1:13" s="343" customFormat="1">
      <c r="A54" s="509" t="s">
        <v>462</v>
      </c>
      <c r="B54" s="510" t="s">
        <v>644</v>
      </c>
      <c r="C54" s="547" t="s">
        <v>1130</v>
      </c>
      <c r="D54" s="547" t="s">
        <v>1159</v>
      </c>
      <c r="E54" s="548" t="s">
        <v>1160</v>
      </c>
      <c r="F54" s="541" t="s">
        <v>981</v>
      </c>
      <c r="G54" s="542" t="s">
        <v>981</v>
      </c>
      <c r="H54" s="540" t="s">
        <v>1161</v>
      </c>
      <c r="I54" s="540" t="s">
        <v>1129</v>
      </c>
      <c r="J54" s="540" t="s">
        <v>1162</v>
      </c>
      <c r="K54" s="545">
        <v>2607901</v>
      </c>
      <c r="L54" s="544" t="s">
        <v>1339</v>
      </c>
      <c r="M54" s="342"/>
    </row>
    <row r="55" spans="1:13" s="343" customFormat="1">
      <c r="A55" s="509" t="s">
        <v>462</v>
      </c>
      <c r="B55" s="510" t="s">
        <v>644</v>
      </c>
      <c r="C55" s="540" t="s">
        <v>974</v>
      </c>
      <c r="D55" s="540" t="s">
        <v>1163</v>
      </c>
      <c r="E55" s="541" t="s">
        <v>1164</v>
      </c>
      <c r="F55" s="541" t="s">
        <v>981</v>
      </c>
      <c r="G55" s="542" t="s">
        <v>981</v>
      </c>
      <c r="H55" s="540" t="s">
        <v>1165</v>
      </c>
      <c r="I55" s="540" t="s">
        <v>1166</v>
      </c>
      <c r="J55" s="540" t="s">
        <v>1167</v>
      </c>
      <c r="K55" s="545">
        <v>2607901</v>
      </c>
      <c r="L55" s="544" t="s">
        <v>1168</v>
      </c>
      <c r="M55" s="342"/>
    </row>
    <row r="56" spans="1:13" s="343" customFormat="1">
      <c r="A56" s="509" t="s">
        <v>462</v>
      </c>
      <c r="B56" s="510" t="s">
        <v>644</v>
      </c>
      <c r="C56" s="547" t="s">
        <v>1130</v>
      </c>
      <c r="D56" s="547" t="s">
        <v>1169</v>
      </c>
      <c r="E56" s="548" t="s">
        <v>1170</v>
      </c>
      <c r="F56" s="541" t="s">
        <v>981</v>
      </c>
      <c r="G56" s="542" t="s">
        <v>981</v>
      </c>
      <c r="H56" s="540" t="s">
        <v>1171</v>
      </c>
      <c r="I56" s="540" t="s">
        <v>1166</v>
      </c>
      <c r="J56" s="540" t="s">
        <v>1172</v>
      </c>
      <c r="K56" s="545">
        <v>2607901</v>
      </c>
      <c r="L56" s="544" t="s">
        <v>1340</v>
      </c>
      <c r="M56" s="342"/>
    </row>
    <row r="57" spans="1:13" s="343" customFormat="1">
      <c r="A57" s="509" t="s">
        <v>462</v>
      </c>
      <c r="B57" s="510" t="s">
        <v>644</v>
      </c>
      <c r="C57" s="552" t="s">
        <v>1130</v>
      </c>
      <c r="D57" s="540" t="s">
        <v>1173</v>
      </c>
      <c r="E57" s="548" t="s">
        <v>1174</v>
      </c>
      <c r="F57" s="541" t="s">
        <v>981</v>
      </c>
      <c r="G57" s="542" t="s">
        <v>981</v>
      </c>
      <c r="H57" s="540" t="s">
        <v>1175</v>
      </c>
      <c r="I57" s="540" t="s">
        <v>1176</v>
      </c>
      <c r="J57" s="540" t="s">
        <v>1177</v>
      </c>
      <c r="K57" s="555">
        <v>2614105</v>
      </c>
      <c r="L57" s="544" t="s">
        <v>1341</v>
      </c>
      <c r="M57" s="342"/>
    </row>
    <row r="58" spans="1:13" s="343" customFormat="1">
      <c r="A58" s="509" t="s">
        <v>462</v>
      </c>
      <c r="B58" s="510" t="s">
        <v>644</v>
      </c>
      <c r="C58" s="547" t="s">
        <v>1130</v>
      </c>
      <c r="D58" s="547" t="s">
        <v>1178</v>
      </c>
      <c r="E58" s="548" t="s">
        <v>1179</v>
      </c>
      <c r="F58" s="541" t="s">
        <v>981</v>
      </c>
      <c r="G58" s="542" t="s">
        <v>981</v>
      </c>
      <c r="H58" s="540" t="s">
        <v>1180</v>
      </c>
      <c r="I58" s="540" t="s">
        <v>1117</v>
      </c>
      <c r="J58" s="540" t="s">
        <v>1181</v>
      </c>
      <c r="K58" s="545">
        <v>2611606</v>
      </c>
      <c r="L58" s="544" t="s">
        <v>1342</v>
      </c>
      <c r="M58" s="342"/>
    </row>
    <row r="59" spans="1:13" s="343" customFormat="1">
      <c r="A59" s="509" t="s">
        <v>462</v>
      </c>
      <c r="B59" s="510" t="s">
        <v>644</v>
      </c>
      <c r="C59" s="552" t="s">
        <v>1130</v>
      </c>
      <c r="D59" s="540" t="s">
        <v>1182</v>
      </c>
      <c r="E59" s="541" t="s">
        <v>1183</v>
      </c>
      <c r="F59" s="541" t="s">
        <v>981</v>
      </c>
      <c r="G59" s="542" t="s">
        <v>981</v>
      </c>
      <c r="H59" s="540" t="s">
        <v>1184</v>
      </c>
      <c r="I59" s="540" t="s">
        <v>1117</v>
      </c>
      <c r="J59" s="540" t="s">
        <v>1185</v>
      </c>
      <c r="K59" s="545">
        <v>2611606</v>
      </c>
      <c r="L59" s="544" t="s">
        <v>1343</v>
      </c>
      <c r="M59" s="342"/>
    </row>
    <row r="60" spans="1:13" s="343" customFormat="1">
      <c r="A60" s="509" t="s">
        <v>462</v>
      </c>
      <c r="B60" s="510" t="s">
        <v>644</v>
      </c>
      <c r="C60" s="547" t="s">
        <v>1186</v>
      </c>
      <c r="D60" s="547" t="s">
        <v>1187</v>
      </c>
      <c r="E60" s="548" t="s">
        <v>1188</v>
      </c>
      <c r="F60" s="541" t="s">
        <v>981</v>
      </c>
      <c r="G60" s="542" t="s">
        <v>981</v>
      </c>
      <c r="H60" s="540" t="s">
        <v>1189</v>
      </c>
      <c r="I60" s="540" t="s">
        <v>1190</v>
      </c>
      <c r="J60" s="540" t="s">
        <v>1124</v>
      </c>
      <c r="K60" s="545">
        <v>2611606</v>
      </c>
      <c r="L60" s="544" t="s">
        <v>1191</v>
      </c>
      <c r="M60" s="342"/>
    </row>
    <row r="61" spans="1:13" s="343" customFormat="1">
      <c r="A61" s="509" t="s">
        <v>462</v>
      </c>
      <c r="B61" s="510" t="s">
        <v>644</v>
      </c>
      <c r="C61" s="547" t="s">
        <v>1186</v>
      </c>
      <c r="D61" s="547" t="s">
        <v>1187</v>
      </c>
      <c r="E61" s="548" t="s">
        <v>1188</v>
      </c>
      <c r="F61" s="541" t="s">
        <v>981</v>
      </c>
      <c r="G61" s="542" t="s">
        <v>981</v>
      </c>
      <c r="H61" s="540" t="s">
        <v>1192</v>
      </c>
      <c r="I61" s="540" t="s">
        <v>1190</v>
      </c>
      <c r="J61" s="540" t="s">
        <v>1124</v>
      </c>
      <c r="K61" s="545">
        <v>2611606</v>
      </c>
      <c r="L61" s="544" t="s">
        <v>1193</v>
      </c>
      <c r="M61" s="342"/>
    </row>
    <row r="62" spans="1:13" s="343" customFormat="1">
      <c r="A62" s="509" t="s">
        <v>462</v>
      </c>
      <c r="B62" s="510" t="s">
        <v>644</v>
      </c>
      <c r="C62" s="552" t="s">
        <v>1130</v>
      </c>
      <c r="D62" s="552" t="s">
        <v>1194</v>
      </c>
      <c r="E62" s="553" t="s">
        <v>1195</v>
      </c>
      <c r="F62" s="541" t="s">
        <v>981</v>
      </c>
      <c r="G62" s="542" t="s">
        <v>981</v>
      </c>
      <c r="H62" s="540" t="s">
        <v>1196</v>
      </c>
      <c r="I62" s="540" t="s">
        <v>1129</v>
      </c>
      <c r="J62" s="512" t="s">
        <v>1197</v>
      </c>
      <c r="K62" s="545">
        <v>2611606</v>
      </c>
      <c r="L62" s="513" t="s">
        <v>1344</v>
      </c>
      <c r="M62" s="342"/>
    </row>
    <row r="63" spans="1:13" s="343" customFormat="1">
      <c r="A63" s="509" t="s">
        <v>462</v>
      </c>
      <c r="B63" s="510" t="s">
        <v>644</v>
      </c>
      <c r="C63" s="540" t="s">
        <v>1130</v>
      </c>
      <c r="D63" s="540" t="s">
        <v>1198</v>
      </c>
      <c r="E63" s="541" t="s">
        <v>1199</v>
      </c>
      <c r="F63" s="541" t="s">
        <v>981</v>
      </c>
      <c r="G63" s="542" t="s">
        <v>981</v>
      </c>
      <c r="H63" s="514">
        <v>36</v>
      </c>
      <c r="I63" s="540" t="s">
        <v>1129</v>
      </c>
      <c r="J63" s="540" t="s">
        <v>1200</v>
      </c>
      <c r="K63" s="545">
        <v>2611606</v>
      </c>
      <c r="L63" s="513" t="s">
        <v>1345</v>
      </c>
      <c r="M63" s="342"/>
    </row>
    <row r="64" spans="1:13" s="343" customFormat="1">
      <c r="A64" s="509" t="s">
        <v>462</v>
      </c>
      <c r="B64" s="510" t="s">
        <v>644</v>
      </c>
      <c r="C64" s="552" t="s">
        <v>1130</v>
      </c>
      <c r="D64" s="540" t="s">
        <v>1201</v>
      </c>
      <c r="E64" s="541" t="s">
        <v>1202</v>
      </c>
      <c r="F64" s="541" t="s">
        <v>981</v>
      </c>
      <c r="G64" s="542" t="s">
        <v>981</v>
      </c>
      <c r="H64" s="540" t="s">
        <v>1203</v>
      </c>
      <c r="I64" s="540" t="s">
        <v>1129</v>
      </c>
      <c r="J64" s="512" t="s">
        <v>1204</v>
      </c>
      <c r="K64" s="545">
        <v>2611606</v>
      </c>
      <c r="L64" s="513" t="s">
        <v>1346</v>
      </c>
      <c r="M64" s="342"/>
    </row>
    <row r="65" spans="1:13" s="343" customFormat="1">
      <c r="A65" s="509" t="s">
        <v>462</v>
      </c>
      <c r="B65" s="510" t="s">
        <v>644</v>
      </c>
      <c r="C65" s="540" t="s">
        <v>1130</v>
      </c>
      <c r="D65" s="540" t="s">
        <v>1205</v>
      </c>
      <c r="E65" s="541" t="s">
        <v>1206</v>
      </c>
      <c r="F65" s="541" t="s">
        <v>981</v>
      </c>
      <c r="G65" s="542" t="s">
        <v>981</v>
      </c>
      <c r="H65" s="540" t="s">
        <v>1207</v>
      </c>
      <c r="I65" s="540" t="s">
        <v>1166</v>
      </c>
      <c r="J65" s="512" t="s">
        <v>1208</v>
      </c>
      <c r="K65" s="545">
        <v>2611606</v>
      </c>
      <c r="L65" s="513" t="s">
        <v>1347</v>
      </c>
      <c r="M65" s="342"/>
    </row>
    <row r="66" spans="1:13" s="343" customFormat="1">
      <c r="A66" s="509" t="s">
        <v>462</v>
      </c>
      <c r="B66" s="510" t="s">
        <v>644</v>
      </c>
      <c r="C66" s="540" t="s">
        <v>193</v>
      </c>
      <c r="D66" s="540" t="s">
        <v>1209</v>
      </c>
      <c r="E66" s="541" t="s">
        <v>1210</v>
      </c>
      <c r="F66" s="541" t="s">
        <v>981</v>
      </c>
      <c r="G66" s="542" t="s">
        <v>981</v>
      </c>
      <c r="H66" s="540" t="s">
        <v>1211</v>
      </c>
      <c r="I66" s="540" t="s">
        <v>1212</v>
      </c>
      <c r="J66" s="512" t="s">
        <v>1213</v>
      </c>
      <c r="K66" s="545">
        <v>2607901</v>
      </c>
      <c r="L66" s="513" t="s">
        <v>1348</v>
      </c>
      <c r="M66" s="342"/>
    </row>
    <row r="67" spans="1:13" s="343" customFormat="1">
      <c r="A67" s="509" t="s">
        <v>462</v>
      </c>
      <c r="B67" s="510" t="s">
        <v>644</v>
      </c>
      <c r="C67" s="540" t="s">
        <v>1214</v>
      </c>
      <c r="D67" s="540" t="s">
        <v>1215</v>
      </c>
      <c r="E67" s="541" t="s">
        <v>1216</v>
      </c>
      <c r="F67" s="541" t="s">
        <v>981</v>
      </c>
      <c r="G67" s="542" t="s">
        <v>981</v>
      </c>
      <c r="H67" s="540" t="s">
        <v>1217</v>
      </c>
      <c r="I67" s="540" t="s">
        <v>1166</v>
      </c>
      <c r="J67" s="512" t="s">
        <v>1218</v>
      </c>
      <c r="K67" s="545">
        <v>2611606</v>
      </c>
      <c r="L67" s="513" t="s">
        <v>1349</v>
      </c>
      <c r="M67" s="342"/>
    </row>
    <row r="68" spans="1:13" s="343" customFormat="1">
      <c r="A68" s="509" t="s">
        <v>462</v>
      </c>
      <c r="B68" s="510" t="s">
        <v>644</v>
      </c>
      <c r="C68" s="540" t="s">
        <v>1219</v>
      </c>
      <c r="D68" s="540" t="s">
        <v>1220</v>
      </c>
      <c r="E68" s="541" t="s">
        <v>1221</v>
      </c>
      <c r="F68" s="541" t="s">
        <v>981</v>
      </c>
      <c r="G68" s="542" t="s">
        <v>981</v>
      </c>
      <c r="H68" s="540" t="s">
        <v>1222</v>
      </c>
      <c r="I68" s="540" t="s">
        <v>1166</v>
      </c>
      <c r="J68" s="512" t="s">
        <v>1223</v>
      </c>
      <c r="K68" s="545">
        <v>2611606</v>
      </c>
      <c r="L68" s="513" t="s">
        <v>1224</v>
      </c>
      <c r="M68" s="342"/>
    </row>
    <row r="69" spans="1:13" s="343" customFormat="1">
      <c r="A69" s="509" t="s">
        <v>462</v>
      </c>
      <c r="B69" s="510" t="s">
        <v>644</v>
      </c>
      <c r="C69" s="540" t="s">
        <v>1144</v>
      </c>
      <c r="D69" s="540" t="s">
        <v>1225</v>
      </c>
      <c r="E69" s="541" t="s">
        <v>1226</v>
      </c>
      <c r="F69" s="541" t="s">
        <v>981</v>
      </c>
      <c r="G69" s="542" t="s">
        <v>981</v>
      </c>
      <c r="H69" s="540" t="s">
        <v>1227</v>
      </c>
      <c r="I69" s="540" t="s">
        <v>1147</v>
      </c>
      <c r="J69" s="512" t="s">
        <v>1124</v>
      </c>
      <c r="K69" s="545">
        <v>2611606</v>
      </c>
      <c r="L69" s="513" t="s">
        <v>1350</v>
      </c>
      <c r="M69" s="342"/>
    </row>
    <row r="70" spans="1:13" s="343" customFormat="1">
      <c r="A70" s="509" t="s">
        <v>462</v>
      </c>
      <c r="B70" s="510" t="s">
        <v>644</v>
      </c>
      <c r="C70" s="556" t="s">
        <v>1130</v>
      </c>
      <c r="D70" s="540" t="s">
        <v>485</v>
      </c>
      <c r="E70" s="541" t="s">
        <v>1228</v>
      </c>
      <c r="F70" s="541" t="s">
        <v>981</v>
      </c>
      <c r="G70" s="542" t="s">
        <v>981</v>
      </c>
      <c r="H70" s="540" t="s">
        <v>1229</v>
      </c>
      <c r="I70" s="540" t="s">
        <v>1166</v>
      </c>
      <c r="J70" s="512" t="s">
        <v>1230</v>
      </c>
      <c r="K70" s="545">
        <v>2611606</v>
      </c>
      <c r="L70" s="513" t="s">
        <v>1351</v>
      </c>
      <c r="M70" s="342"/>
    </row>
    <row r="71" spans="1:13" s="343" customFormat="1">
      <c r="A71" s="509" t="s">
        <v>462</v>
      </c>
      <c r="B71" s="510" t="s">
        <v>644</v>
      </c>
      <c r="C71" s="540" t="s">
        <v>1144</v>
      </c>
      <c r="D71" s="540" t="s">
        <v>1231</v>
      </c>
      <c r="E71" s="541" t="s">
        <v>1232</v>
      </c>
      <c r="F71" s="541" t="s">
        <v>981</v>
      </c>
      <c r="G71" s="542" t="s">
        <v>981</v>
      </c>
      <c r="H71" s="540" t="s">
        <v>1233</v>
      </c>
      <c r="I71" s="540" t="s">
        <v>1166</v>
      </c>
      <c r="J71" s="512" t="s">
        <v>1234</v>
      </c>
      <c r="K71" s="545">
        <v>2611606</v>
      </c>
      <c r="L71" s="513" t="s">
        <v>1235</v>
      </c>
      <c r="M71" s="342"/>
    </row>
    <row r="72" spans="1:13" s="343" customFormat="1">
      <c r="A72" s="509" t="s">
        <v>462</v>
      </c>
      <c r="B72" s="510" t="s">
        <v>644</v>
      </c>
      <c r="C72" s="540" t="s">
        <v>1144</v>
      </c>
      <c r="D72" s="540" t="s">
        <v>1225</v>
      </c>
      <c r="E72" s="541" t="s">
        <v>1226</v>
      </c>
      <c r="F72" s="541" t="s">
        <v>981</v>
      </c>
      <c r="G72" s="542" t="s">
        <v>981</v>
      </c>
      <c r="H72" s="540" t="s">
        <v>1236</v>
      </c>
      <c r="I72" s="540" t="s">
        <v>1237</v>
      </c>
      <c r="J72" s="515" t="s">
        <v>1124</v>
      </c>
      <c r="K72" s="545">
        <v>2611606</v>
      </c>
      <c r="L72" s="513" t="s">
        <v>1238</v>
      </c>
      <c r="M72" s="342"/>
    </row>
    <row r="73" spans="1:13" s="343" customFormat="1">
      <c r="A73" s="509" t="s">
        <v>462</v>
      </c>
      <c r="B73" s="510" t="s">
        <v>644</v>
      </c>
      <c r="C73" s="540" t="s">
        <v>1239</v>
      </c>
      <c r="D73" s="540" t="s">
        <v>1240</v>
      </c>
      <c r="E73" s="541" t="s">
        <v>1241</v>
      </c>
      <c r="F73" s="541" t="s">
        <v>981</v>
      </c>
      <c r="G73" s="542" t="s">
        <v>981</v>
      </c>
      <c r="H73" s="540" t="s">
        <v>1242</v>
      </c>
      <c r="I73" s="540" t="s">
        <v>1166</v>
      </c>
      <c r="J73" s="512" t="s">
        <v>1124</v>
      </c>
      <c r="K73" s="545">
        <v>2611606</v>
      </c>
      <c r="L73" s="513" t="s">
        <v>1352</v>
      </c>
      <c r="M73" s="342"/>
    </row>
    <row r="74" spans="1:13" s="343" customFormat="1">
      <c r="A74" s="509" t="s">
        <v>462</v>
      </c>
      <c r="B74" s="510" t="s">
        <v>644</v>
      </c>
      <c r="C74" s="540" t="s">
        <v>1144</v>
      </c>
      <c r="D74" s="540" t="s">
        <v>490</v>
      </c>
      <c r="E74" s="541" t="s">
        <v>1243</v>
      </c>
      <c r="F74" s="541" t="s">
        <v>981</v>
      </c>
      <c r="G74" s="542" t="s">
        <v>981</v>
      </c>
      <c r="H74" s="540" t="s">
        <v>1244</v>
      </c>
      <c r="I74" s="540" t="s">
        <v>1245</v>
      </c>
      <c r="J74" s="512" t="s">
        <v>1124</v>
      </c>
      <c r="K74" s="545">
        <v>2611606</v>
      </c>
      <c r="L74" s="513" t="s">
        <v>1246</v>
      </c>
      <c r="M74" s="342"/>
    </row>
    <row r="75" spans="1:13" s="343" customFormat="1">
      <c r="A75" s="509" t="s">
        <v>462</v>
      </c>
      <c r="B75" s="510" t="s">
        <v>644</v>
      </c>
      <c r="C75" s="540" t="s">
        <v>1144</v>
      </c>
      <c r="D75" s="540" t="s">
        <v>490</v>
      </c>
      <c r="E75" s="541" t="s">
        <v>1243</v>
      </c>
      <c r="F75" s="541" t="s">
        <v>981</v>
      </c>
      <c r="G75" s="542" t="s">
        <v>981</v>
      </c>
      <c r="H75" s="540" t="s">
        <v>1247</v>
      </c>
      <c r="I75" s="540" t="s">
        <v>1245</v>
      </c>
      <c r="J75" s="512" t="s">
        <v>1124</v>
      </c>
      <c r="K75" s="545">
        <v>2611606</v>
      </c>
      <c r="L75" s="513" t="s">
        <v>1248</v>
      </c>
      <c r="M75" s="342"/>
    </row>
    <row r="76" spans="1:13" s="343" customFormat="1">
      <c r="A76" s="509" t="s">
        <v>462</v>
      </c>
      <c r="B76" s="510" t="s">
        <v>644</v>
      </c>
      <c r="C76" s="540" t="s">
        <v>974</v>
      </c>
      <c r="D76" s="540" t="s">
        <v>645</v>
      </c>
      <c r="E76" s="541" t="s">
        <v>603</v>
      </c>
      <c r="F76" s="541" t="s">
        <v>981</v>
      </c>
      <c r="G76" s="542" t="s">
        <v>981</v>
      </c>
      <c r="H76" s="540" t="s">
        <v>1249</v>
      </c>
      <c r="I76" s="540" t="s">
        <v>1166</v>
      </c>
      <c r="J76" s="512" t="s">
        <v>1124</v>
      </c>
      <c r="K76" s="545">
        <v>2611606</v>
      </c>
      <c r="L76" s="513" t="s">
        <v>660</v>
      </c>
      <c r="M76" s="342"/>
    </row>
    <row r="77" spans="1:13" s="343" customFormat="1">
      <c r="A77" s="509" t="s">
        <v>462</v>
      </c>
      <c r="B77" s="510" t="s">
        <v>644</v>
      </c>
      <c r="C77" s="540" t="s">
        <v>1250</v>
      </c>
      <c r="D77" s="540" t="s">
        <v>1251</v>
      </c>
      <c r="E77" s="541" t="s">
        <v>1252</v>
      </c>
      <c r="F77" s="541" t="s">
        <v>981</v>
      </c>
      <c r="G77" s="542" t="s">
        <v>981</v>
      </c>
      <c r="H77" s="540" t="s">
        <v>1253</v>
      </c>
      <c r="I77" s="540" t="s">
        <v>1129</v>
      </c>
      <c r="J77" s="512" t="s">
        <v>1254</v>
      </c>
      <c r="K77" s="545">
        <v>2611606</v>
      </c>
      <c r="L77" s="513" t="s">
        <v>1255</v>
      </c>
      <c r="M77" s="342"/>
    </row>
    <row r="78" spans="1:13" s="343" customFormat="1">
      <c r="A78" s="509" t="s">
        <v>462</v>
      </c>
      <c r="B78" s="510" t="s">
        <v>644</v>
      </c>
      <c r="C78" s="540" t="s">
        <v>195</v>
      </c>
      <c r="D78" s="540" t="s">
        <v>517</v>
      </c>
      <c r="E78" s="541" t="s">
        <v>995</v>
      </c>
      <c r="F78" s="541" t="s">
        <v>980</v>
      </c>
      <c r="G78" s="542" t="s">
        <v>981</v>
      </c>
      <c r="H78" s="540" t="s">
        <v>1256</v>
      </c>
      <c r="I78" s="540" t="s">
        <v>1212</v>
      </c>
      <c r="J78" s="512" t="s">
        <v>1257</v>
      </c>
      <c r="K78" s="545">
        <v>2611606</v>
      </c>
      <c r="L78" s="513" t="s">
        <v>1353</v>
      </c>
      <c r="M78" s="342"/>
    </row>
    <row r="79" spans="1:13" s="343" customFormat="1">
      <c r="A79" s="509" t="s">
        <v>462</v>
      </c>
      <c r="B79" s="510" t="s">
        <v>644</v>
      </c>
      <c r="C79" s="540" t="s">
        <v>195</v>
      </c>
      <c r="D79" s="540" t="s">
        <v>517</v>
      </c>
      <c r="E79" s="541" t="s">
        <v>995</v>
      </c>
      <c r="F79" s="541" t="s">
        <v>980</v>
      </c>
      <c r="G79" s="542" t="s">
        <v>981</v>
      </c>
      <c r="H79" s="540" t="s">
        <v>1258</v>
      </c>
      <c r="I79" s="540" t="s">
        <v>1259</v>
      </c>
      <c r="J79" s="512" t="s">
        <v>1260</v>
      </c>
      <c r="K79" s="545">
        <v>2611606</v>
      </c>
      <c r="L79" s="513" t="s">
        <v>1261</v>
      </c>
      <c r="M79" s="342"/>
    </row>
    <row r="80" spans="1:13" s="343" customFormat="1">
      <c r="A80" s="509" t="s">
        <v>462</v>
      </c>
      <c r="B80" s="510" t="s">
        <v>644</v>
      </c>
      <c r="C80" s="540" t="s">
        <v>195</v>
      </c>
      <c r="D80" s="540" t="s">
        <v>517</v>
      </c>
      <c r="E80" s="541" t="s">
        <v>995</v>
      </c>
      <c r="F80" s="541" t="s">
        <v>980</v>
      </c>
      <c r="G80" s="542" t="s">
        <v>981</v>
      </c>
      <c r="H80" s="540" t="s">
        <v>1262</v>
      </c>
      <c r="I80" s="540" t="s">
        <v>1259</v>
      </c>
      <c r="J80" s="512" t="s">
        <v>1263</v>
      </c>
      <c r="K80" s="545">
        <v>2611606</v>
      </c>
      <c r="L80" s="513" t="s">
        <v>1354</v>
      </c>
      <c r="M80" s="342"/>
    </row>
    <row r="81" spans="1:13" s="343" customFormat="1">
      <c r="A81" s="509" t="s">
        <v>462</v>
      </c>
      <c r="B81" s="510" t="s">
        <v>644</v>
      </c>
      <c r="C81" s="540" t="s">
        <v>195</v>
      </c>
      <c r="D81" s="540" t="s">
        <v>517</v>
      </c>
      <c r="E81" s="541" t="s">
        <v>995</v>
      </c>
      <c r="F81" s="541" t="s">
        <v>980</v>
      </c>
      <c r="G81" s="542" t="s">
        <v>981</v>
      </c>
      <c r="H81" s="540" t="s">
        <v>1264</v>
      </c>
      <c r="I81" s="540" t="s">
        <v>1265</v>
      </c>
      <c r="J81" s="512" t="s">
        <v>1266</v>
      </c>
      <c r="K81" s="545">
        <v>2611606</v>
      </c>
      <c r="L81" s="513" t="s">
        <v>1355</v>
      </c>
      <c r="M81" s="342"/>
    </row>
    <row r="82" spans="1:13" s="343" customFormat="1">
      <c r="A82" s="509" t="s">
        <v>462</v>
      </c>
      <c r="B82" s="510" t="s">
        <v>644</v>
      </c>
      <c r="C82" s="540" t="s">
        <v>195</v>
      </c>
      <c r="D82" s="540" t="s">
        <v>517</v>
      </c>
      <c r="E82" s="541" t="s">
        <v>995</v>
      </c>
      <c r="F82" s="541" t="s">
        <v>980</v>
      </c>
      <c r="G82" s="542" t="s">
        <v>981</v>
      </c>
      <c r="H82" s="540" t="s">
        <v>1267</v>
      </c>
      <c r="I82" s="540" t="s">
        <v>1268</v>
      </c>
      <c r="J82" s="512" t="s">
        <v>1269</v>
      </c>
      <c r="K82" s="545">
        <v>2611606</v>
      </c>
      <c r="L82" s="513" t="s">
        <v>1356</v>
      </c>
      <c r="M82" s="342"/>
    </row>
    <row r="83" spans="1:13" s="343" customFormat="1">
      <c r="A83" s="509" t="s">
        <v>462</v>
      </c>
      <c r="B83" s="510" t="s">
        <v>644</v>
      </c>
      <c r="C83" s="540" t="s">
        <v>1270</v>
      </c>
      <c r="D83" s="540" t="s">
        <v>646</v>
      </c>
      <c r="E83" s="557" t="s">
        <v>1057</v>
      </c>
      <c r="F83" s="541" t="s">
        <v>981</v>
      </c>
      <c r="G83" s="542" t="s">
        <v>981</v>
      </c>
      <c r="H83" s="540" t="s">
        <v>1271</v>
      </c>
      <c r="I83" s="540" t="s">
        <v>1272</v>
      </c>
      <c r="J83" s="564" t="s">
        <v>1124</v>
      </c>
      <c r="K83" s="545">
        <v>2611606</v>
      </c>
      <c r="L83" s="513" t="s">
        <v>647</v>
      </c>
      <c r="M83" s="342"/>
    </row>
    <row r="84" spans="1:13" s="343" customFormat="1">
      <c r="A84" s="509" t="s">
        <v>462</v>
      </c>
      <c r="B84" s="510" t="s">
        <v>644</v>
      </c>
      <c r="C84" s="540" t="s">
        <v>1121</v>
      </c>
      <c r="D84" s="540" t="s">
        <v>493</v>
      </c>
      <c r="E84" s="541" t="s">
        <v>1273</v>
      </c>
      <c r="F84" s="541" t="s">
        <v>981</v>
      </c>
      <c r="G84" s="542" t="s">
        <v>981</v>
      </c>
      <c r="H84" s="540" t="s">
        <v>1274</v>
      </c>
      <c r="I84" s="540" t="s">
        <v>1052</v>
      </c>
      <c r="J84" s="512" t="s">
        <v>1275</v>
      </c>
      <c r="K84" s="545">
        <v>2611606</v>
      </c>
      <c r="L84" s="513" t="s">
        <v>1224</v>
      </c>
      <c r="M84" s="342"/>
    </row>
    <row r="85" spans="1:13" s="343" customFormat="1">
      <c r="A85" s="509" t="s">
        <v>462</v>
      </c>
      <c r="B85" s="510" t="s">
        <v>644</v>
      </c>
      <c r="C85" s="540" t="s">
        <v>1144</v>
      </c>
      <c r="D85" s="540" t="s">
        <v>1276</v>
      </c>
      <c r="E85" s="541" t="s">
        <v>1277</v>
      </c>
      <c r="F85" s="541" t="s">
        <v>981</v>
      </c>
      <c r="G85" s="542" t="s">
        <v>981</v>
      </c>
      <c r="H85" s="540" t="s">
        <v>1278</v>
      </c>
      <c r="I85" s="540" t="s">
        <v>1078</v>
      </c>
      <c r="J85" s="512" t="s">
        <v>1279</v>
      </c>
      <c r="K85" s="545">
        <v>2611606</v>
      </c>
      <c r="L85" s="513" t="s">
        <v>1357</v>
      </c>
      <c r="M85" s="342"/>
    </row>
    <row r="86" spans="1:13" s="343" customFormat="1">
      <c r="A86" s="509" t="s">
        <v>462</v>
      </c>
      <c r="B86" s="510" t="s">
        <v>644</v>
      </c>
      <c r="C86" s="540" t="s">
        <v>195</v>
      </c>
      <c r="D86" s="540" t="s">
        <v>517</v>
      </c>
      <c r="E86" s="541" t="s">
        <v>995</v>
      </c>
      <c r="F86" s="541" t="s">
        <v>981</v>
      </c>
      <c r="G86" s="542" t="s">
        <v>981</v>
      </c>
      <c r="H86" s="540" t="s">
        <v>1280</v>
      </c>
      <c r="I86" s="540" t="s">
        <v>1212</v>
      </c>
      <c r="J86" s="512" t="s">
        <v>1124</v>
      </c>
      <c r="K86" s="545">
        <v>2607901</v>
      </c>
      <c r="L86" s="513" t="s">
        <v>1358</v>
      </c>
      <c r="M86" s="342"/>
    </row>
    <row r="87" spans="1:13" s="343" customFormat="1">
      <c r="A87" s="509" t="s">
        <v>462</v>
      </c>
      <c r="B87" s="510" t="s">
        <v>644</v>
      </c>
      <c r="C87" s="540" t="s">
        <v>1121</v>
      </c>
      <c r="D87" s="540" t="s">
        <v>493</v>
      </c>
      <c r="E87" s="541" t="s">
        <v>1273</v>
      </c>
      <c r="F87" s="541" t="s">
        <v>981</v>
      </c>
      <c r="G87" s="542" t="s">
        <v>981</v>
      </c>
      <c r="H87" s="540" t="s">
        <v>1281</v>
      </c>
      <c r="I87" s="540" t="s">
        <v>1282</v>
      </c>
      <c r="J87" s="540" t="s">
        <v>1283</v>
      </c>
      <c r="K87" s="545">
        <v>2611606</v>
      </c>
      <c r="L87" s="544" t="s">
        <v>1224</v>
      </c>
      <c r="M87" s="342"/>
    </row>
    <row r="88" spans="1:13" s="343" customFormat="1">
      <c r="A88" s="509" t="s">
        <v>462</v>
      </c>
      <c r="B88" s="510" t="s">
        <v>644</v>
      </c>
      <c r="C88" s="558" t="s">
        <v>1214</v>
      </c>
      <c r="D88" s="558" t="s">
        <v>584</v>
      </c>
      <c r="E88" s="559" t="s">
        <v>1284</v>
      </c>
      <c r="F88" s="559" t="s">
        <v>981</v>
      </c>
      <c r="G88" s="559" t="s">
        <v>981</v>
      </c>
      <c r="H88" s="559">
        <v>914</v>
      </c>
      <c r="I88" s="560">
        <v>44421</v>
      </c>
      <c r="J88" s="561" t="s">
        <v>1285</v>
      </c>
      <c r="K88" s="562">
        <v>3548708</v>
      </c>
      <c r="L88" s="751">
        <v>84000</v>
      </c>
      <c r="M88" s="342"/>
    </row>
    <row r="89" spans="1:13" s="343" customFormat="1">
      <c r="A89" s="509" t="s">
        <v>462</v>
      </c>
      <c r="B89" s="510" t="s">
        <v>644</v>
      </c>
      <c r="C89" s="558" t="s">
        <v>1214</v>
      </c>
      <c r="D89" s="558" t="s">
        <v>584</v>
      </c>
      <c r="E89" s="559" t="s">
        <v>1284</v>
      </c>
      <c r="F89" s="559" t="s">
        <v>981</v>
      </c>
      <c r="G89" s="559" t="s">
        <v>981</v>
      </c>
      <c r="H89" s="559">
        <v>915</v>
      </c>
      <c r="I89" s="560">
        <v>44421</v>
      </c>
      <c r="J89" s="561" t="s">
        <v>1286</v>
      </c>
      <c r="K89" s="562">
        <v>3548708</v>
      </c>
      <c r="L89" s="751">
        <v>28500</v>
      </c>
      <c r="M89" s="342"/>
    </row>
    <row r="90" spans="1:13" s="343" customFormat="1">
      <c r="A90" s="509" t="s">
        <v>462</v>
      </c>
      <c r="B90" s="510" t="s">
        <v>644</v>
      </c>
      <c r="C90" s="558" t="s">
        <v>1214</v>
      </c>
      <c r="D90" s="558" t="s">
        <v>584</v>
      </c>
      <c r="E90" s="559" t="s">
        <v>1284</v>
      </c>
      <c r="F90" s="559" t="s">
        <v>981</v>
      </c>
      <c r="G90" s="559" t="s">
        <v>981</v>
      </c>
      <c r="H90" s="559">
        <v>916</v>
      </c>
      <c r="I90" s="560">
        <v>44421</v>
      </c>
      <c r="J90" s="561" t="s">
        <v>1287</v>
      </c>
      <c r="K90" s="562">
        <v>3548708</v>
      </c>
      <c r="L90" s="751">
        <v>37000</v>
      </c>
      <c r="M90" s="342"/>
    </row>
    <row r="91" spans="1:13" s="343" customFormat="1">
      <c r="A91" s="509" t="s">
        <v>462</v>
      </c>
      <c r="B91" s="510" t="s">
        <v>644</v>
      </c>
      <c r="C91" s="558" t="s">
        <v>1214</v>
      </c>
      <c r="D91" s="558" t="s">
        <v>481</v>
      </c>
      <c r="E91" s="559" t="s">
        <v>1288</v>
      </c>
      <c r="F91" s="559" t="s">
        <v>981</v>
      </c>
      <c r="G91" s="559" t="s">
        <v>981</v>
      </c>
      <c r="H91" s="559">
        <v>1905</v>
      </c>
      <c r="I91" s="560">
        <v>44410</v>
      </c>
      <c r="J91" s="561" t="s">
        <v>1289</v>
      </c>
      <c r="K91" s="562">
        <v>3548708</v>
      </c>
      <c r="L91" s="751">
        <v>14000</v>
      </c>
      <c r="M91" s="342"/>
    </row>
    <row r="92" spans="1:13" s="343" customFormat="1">
      <c r="A92" s="509" t="s">
        <v>462</v>
      </c>
      <c r="B92" s="510" t="s">
        <v>644</v>
      </c>
      <c r="C92" s="558" t="s">
        <v>1214</v>
      </c>
      <c r="D92" s="558" t="s">
        <v>481</v>
      </c>
      <c r="E92" s="559" t="s">
        <v>1288</v>
      </c>
      <c r="F92" s="559" t="s">
        <v>981</v>
      </c>
      <c r="G92" s="559" t="s">
        <v>981</v>
      </c>
      <c r="H92" s="559">
        <v>1906</v>
      </c>
      <c r="I92" s="560">
        <v>44410</v>
      </c>
      <c r="J92" s="561" t="s">
        <v>1290</v>
      </c>
      <c r="K92" s="562">
        <v>3548708</v>
      </c>
      <c r="L92" s="751">
        <v>13000</v>
      </c>
      <c r="M92" s="342"/>
    </row>
    <row r="93" spans="1:13" s="343" customFormat="1">
      <c r="A93" s="509" t="s">
        <v>462</v>
      </c>
      <c r="B93" s="510" t="s">
        <v>644</v>
      </c>
      <c r="C93" s="558" t="s">
        <v>1214</v>
      </c>
      <c r="D93" s="558" t="s">
        <v>1291</v>
      </c>
      <c r="E93" s="559" t="s">
        <v>1292</v>
      </c>
      <c r="F93" s="559" t="s">
        <v>981</v>
      </c>
      <c r="G93" s="559" t="s">
        <v>981</v>
      </c>
      <c r="H93" s="559">
        <v>176</v>
      </c>
      <c r="I93" s="560">
        <v>44411</v>
      </c>
      <c r="J93" s="561" t="s">
        <v>1293</v>
      </c>
      <c r="K93" s="562" t="s">
        <v>1294</v>
      </c>
      <c r="L93" s="751">
        <v>20000</v>
      </c>
      <c r="M93" s="342"/>
    </row>
    <row r="94" spans="1:13" s="343" customFormat="1">
      <c r="A94" s="509" t="s">
        <v>462</v>
      </c>
      <c r="B94" s="510" t="s">
        <v>644</v>
      </c>
      <c r="C94" s="558" t="s">
        <v>1214</v>
      </c>
      <c r="D94" s="558" t="s">
        <v>1295</v>
      </c>
      <c r="E94" s="559" t="s">
        <v>1296</v>
      </c>
      <c r="F94" s="559" t="s">
        <v>981</v>
      </c>
      <c r="G94" s="559" t="s">
        <v>981</v>
      </c>
      <c r="H94" s="559">
        <v>947</v>
      </c>
      <c r="I94" s="560">
        <v>44412</v>
      </c>
      <c r="J94" s="561" t="s">
        <v>1297</v>
      </c>
      <c r="K94" s="562">
        <v>3548708</v>
      </c>
      <c r="L94" s="751">
        <v>3375</v>
      </c>
      <c r="M94" s="342"/>
    </row>
    <row r="95" spans="1:13" s="343" customFormat="1">
      <c r="A95" s="509"/>
      <c r="B95" s="510"/>
      <c r="C95" s="516"/>
      <c r="D95" s="516"/>
      <c r="E95" s="517"/>
      <c r="F95" s="517"/>
      <c r="G95" s="517"/>
      <c r="H95" s="517"/>
      <c r="I95" s="518"/>
      <c r="J95" s="519"/>
      <c r="K95" s="517"/>
      <c r="L95" s="520"/>
      <c r="M95" s="342"/>
    </row>
    <row r="96" spans="1:13" s="343" customFormat="1">
      <c r="A96" s="509"/>
      <c r="B96" s="510"/>
      <c r="C96" s="516"/>
      <c r="D96" s="516"/>
      <c r="E96" s="517"/>
      <c r="F96" s="517"/>
      <c r="G96" s="517"/>
      <c r="H96" s="517"/>
      <c r="I96" s="518"/>
      <c r="J96" s="519"/>
      <c r="K96" s="517"/>
      <c r="L96" s="520"/>
      <c r="M96" s="342"/>
    </row>
    <row r="97" spans="1:13" s="343" customFormat="1">
      <c r="A97" s="361"/>
      <c r="B97" s="337"/>
      <c r="C97" s="346"/>
      <c r="D97" s="346"/>
      <c r="E97" s="347"/>
      <c r="F97" s="347"/>
      <c r="G97" s="340"/>
      <c r="H97" s="346"/>
      <c r="I97" s="346"/>
      <c r="J97" s="346"/>
      <c r="K97" s="363"/>
      <c r="L97" s="364"/>
      <c r="M97" s="342"/>
    </row>
    <row r="98" spans="1:13" s="343" customFormat="1">
      <c r="A98" s="361"/>
      <c r="B98" s="337"/>
      <c r="C98" s="346"/>
      <c r="D98" s="346"/>
      <c r="E98" s="347"/>
      <c r="F98" s="347"/>
      <c r="G98" s="348"/>
      <c r="H98" s="346"/>
      <c r="I98" s="346"/>
      <c r="J98" s="346"/>
      <c r="K98" s="363"/>
      <c r="L98" s="364"/>
      <c r="M98" s="342"/>
    </row>
    <row r="99" spans="1:13" s="343" customFormat="1">
      <c r="A99" s="361"/>
      <c r="B99" s="337"/>
      <c r="C99" s="346"/>
      <c r="D99" s="346"/>
      <c r="E99" s="347"/>
      <c r="F99" s="347"/>
      <c r="G99" s="340"/>
      <c r="H99" s="346"/>
      <c r="I99" s="346"/>
      <c r="J99" s="346"/>
      <c r="K99" s="363"/>
      <c r="L99" s="364"/>
      <c r="M99" s="342"/>
    </row>
    <row r="100" spans="1:13" s="343" customFormat="1">
      <c r="A100" s="361"/>
      <c r="B100" s="337"/>
      <c r="C100" s="348"/>
      <c r="D100" s="362"/>
      <c r="E100" s="348"/>
      <c r="F100" s="347"/>
      <c r="G100" s="340"/>
      <c r="H100" s="346"/>
      <c r="I100" s="346"/>
      <c r="J100" s="346"/>
      <c r="K100" s="363"/>
      <c r="L100" s="364"/>
      <c r="M100" s="342"/>
    </row>
    <row r="101" spans="1:13" s="343" customFormat="1">
      <c r="A101" s="361"/>
      <c r="B101" s="337"/>
      <c r="C101" s="367"/>
      <c r="D101" s="367"/>
      <c r="E101" s="368"/>
      <c r="F101" s="368"/>
      <c r="G101" s="368"/>
      <c r="H101" s="368"/>
      <c r="I101" s="369"/>
      <c r="J101" s="370"/>
      <c r="K101" s="372"/>
      <c r="L101" s="373"/>
      <c r="M101" s="342"/>
    </row>
    <row r="102" spans="1:13" s="343" customFormat="1">
      <c r="A102" s="361"/>
      <c r="B102" s="337"/>
      <c r="C102" s="367"/>
      <c r="D102" s="367"/>
      <c r="E102" s="368"/>
      <c r="F102" s="368"/>
      <c r="G102" s="368"/>
      <c r="H102" s="368"/>
      <c r="I102" s="369"/>
      <c r="J102" s="370"/>
      <c r="K102" s="372"/>
      <c r="L102" s="373"/>
      <c r="M102" s="342"/>
    </row>
    <row r="103" spans="1:13" s="343" customFormat="1">
      <c r="A103" s="361"/>
      <c r="B103" s="337"/>
      <c r="C103" s="367"/>
      <c r="D103" s="367"/>
      <c r="E103" s="368"/>
      <c r="F103" s="368"/>
      <c r="G103" s="368"/>
      <c r="H103" s="368"/>
      <c r="I103" s="369"/>
      <c r="J103" s="370"/>
      <c r="K103" s="372"/>
      <c r="L103" s="373"/>
      <c r="M103" s="342"/>
    </row>
    <row r="104" spans="1:13" s="343" customFormat="1">
      <c r="A104" s="361"/>
      <c r="B104" s="337"/>
      <c r="C104" s="367"/>
      <c r="D104" s="367"/>
      <c r="E104" s="368"/>
      <c r="F104" s="368"/>
      <c r="G104" s="368"/>
      <c r="H104" s="368"/>
      <c r="I104" s="369"/>
      <c r="J104" s="371"/>
      <c r="K104" s="372"/>
      <c r="L104" s="373"/>
      <c r="M104" s="342"/>
    </row>
    <row r="105" spans="1:13" s="343" customFormat="1">
      <c r="A105" s="361"/>
      <c r="B105" s="337"/>
      <c r="C105" s="367"/>
      <c r="D105" s="367"/>
      <c r="E105" s="368"/>
      <c r="F105" s="368"/>
      <c r="G105" s="368"/>
      <c r="H105" s="368"/>
      <c r="I105" s="369"/>
      <c r="J105" s="371"/>
      <c r="K105" s="372"/>
      <c r="L105" s="373"/>
      <c r="M105" s="342"/>
    </row>
    <row r="106" spans="1:13" s="343" customFormat="1">
      <c r="A106" s="361"/>
      <c r="B106" s="337"/>
      <c r="C106" s="367"/>
      <c r="D106" s="367"/>
      <c r="E106" s="368"/>
      <c r="F106" s="368"/>
      <c r="G106" s="368"/>
      <c r="H106" s="368"/>
      <c r="I106" s="369"/>
      <c r="J106" s="370"/>
      <c r="K106" s="372"/>
      <c r="L106" s="373"/>
      <c r="M106" s="342"/>
    </row>
    <row r="107" spans="1:13" s="343" customFormat="1">
      <c r="A107" s="361"/>
      <c r="B107" s="337"/>
      <c r="C107" s="367"/>
      <c r="D107" s="367"/>
      <c r="E107" s="368"/>
      <c r="F107" s="368"/>
      <c r="G107" s="368"/>
      <c r="H107" s="368"/>
      <c r="I107" s="369"/>
      <c r="J107" s="371"/>
      <c r="K107" s="372"/>
      <c r="L107" s="373"/>
      <c r="M107" s="342"/>
    </row>
    <row r="108" spans="1:13" s="343" customFormat="1" ht="15.75">
      <c r="A108" s="336"/>
      <c r="B108" s="337"/>
      <c r="C108" s="346"/>
      <c r="D108" s="338"/>
      <c r="E108" s="339"/>
      <c r="F108" s="339"/>
      <c r="G108" s="340"/>
      <c r="H108" s="338"/>
      <c r="I108" s="338"/>
      <c r="J108" s="338"/>
      <c r="K108" s="349"/>
      <c r="L108" s="341"/>
      <c r="M108" s="342"/>
    </row>
    <row r="109" spans="1:13" s="343" customFormat="1" ht="15.75">
      <c r="A109" s="336"/>
      <c r="B109" s="337"/>
      <c r="C109" s="346"/>
      <c r="D109" s="338"/>
      <c r="E109" s="339"/>
      <c r="F109" s="339"/>
      <c r="G109" s="340"/>
      <c r="H109" s="338"/>
      <c r="I109" s="338"/>
      <c r="J109" s="338"/>
      <c r="K109" s="349"/>
      <c r="L109" s="341"/>
      <c r="M109" s="342"/>
    </row>
    <row r="110" spans="1:13" s="343" customFormat="1" ht="15.75">
      <c r="A110" s="336"/>
      <c r="B110" s="337"/>
      <c r="C110" s="346"/>
      <c r="D110" s="338"/>
      <c r="E110" s="339"/>
      <c r="F110" s="339"/>
      <c r="G110" s="340"/>
      <c r="H110" s="338"/>
      <c r="I110" s="338"/>
      <c r="J110" s="338"/>
      <c r="K110" s="349"/>
      <c r="L110" s="341"/>
      <c r="M110" s="342"/>
    </row>
    <row r="111" spans="1:13" s="343" customFormat="1" ht="15.75">
      <c r="A111" s="336"/>
      <c r="B111" s="337"/>
      <c r="C111" s="346"/>
      <c r="D111" s="338"/>
      <c r="E111" s="339"/>
      <c r="F111" s="339"/>
      <c r="G111" s="340"/>
      <c r="H111" s="338"/>
      <c r="I111" s="338"/>
      <c r="J111" s="338"/>
      <c r="K111" s="349"/>
      <c r="L111" s="341"/>
      <c r="M111" s="342"/>
    </row>
    <row r="112" spans="1:13" s="343" customFormat="1" ht="15.75">
      <c r="A112" s="336"/>
      <c r="B112" s="337"/>
      <c r="C112" s="346"/>
      <c r="D112" s="338"/>
      <c r="E112" s="339"/>
      <c r="F112" s="339"/>
      <c r="G112" s="340"/>
      <c r="H112" s="338"/>
      <c r="I112" s="338"/>
      <c r="J112" s="338"/>
      <c r="K112" s="349"/>
      <c r="L112" s="341"/>
      <c r="M112" s="342"/>
    </row>
    <row r="113" spans="1:13" s="343" customFormat="1" ht="15.75">
      <c r="A113" s="336"/>
      <c r="B113" s="337"/>
      <c r="C113" s="346"/>
      <c r="D113" s="338"/>
      <c r="E113" s="339"/>
      <c r="F113" s="339"/>
      <c r="G113" s="340"/>
      <c r="H113" s="338"/>
      <c r="I113" s="338"/>
      <c r="J113" s="338"/>
      <c r="K113" s="349"/>
      <c r="L113" s="341"/>
      <c r="M113" s="342"/>
    </row>
    <row r="114" spans="1:13" s="343" customFormat="1" ht="15.75">
      <c r="A114" s="336"/>
      <c r="B114" s="337"/>
      <c r="C114" s="346"/>
      <c r="D114" s="338"/>
      <c r="E114" s="339"/>
      <c r="F114" s="339"/>
      <c r="G114" s="340"/>
      <c r="H114" s="338"/>
      <c r="I114" s="338"/>
      <c r="J114" s="338"/>
      <c r="K114" s="349"/>
      <c r="L114" s="341"/>
      <c r="M114" s="342"/>
    </row>
    <row r="115" spans="1:13" ht="15.75">
      <c r="A115" s="350"/>
      <c r="B115" s="351"/>
      <c r="C115" s="352"/>
      <c r="D115" s="352"/>
      <c r="E115" s="351"/>
      <c r="F115" s="351"/>
      <c r="G115" s="340"/>
      <c r="H115" s="352"/>
      <c r="I115" s="352"/>
      <c r="J115" s="352"/>
      <c r="K115" s="352"/>
      <c r="L115" s="353"/>
      <c r="M115" s="2"/>
    </row>
    <row r="116" spans="1:13" ht="15.75">
      <c r="A116" s="350"/>
      <c r="B116" s="351"/>
      <c r="C116" s="352"/>
      <c r="D116" s="352"/>
      <c r="E116" s="351"/>
      <c r="F116" s="351"/>
      <c r="G116" s="340"/>
      <c r="H116" s="352"/>
      <c r="I116" s="352"/>
      <c r="J116" s="352"/>
      <c r="K116" s="352"/>
      <c r="L116" s="353"/>
      <c r="M116" s="2"/>
    </row>
    <row r="117" spans="1:13" ht="15.75">
      <c r="A117" s="350"/>
      <c r="B117" s="351"/>
      <c r="C117" s="352"/>
      <c r="D117" s="352"/>
      <c r="E117" s="351"/>
      <c r="F117" s="351"/>
      <c r="G117" s="340"/>
      <c r="H117" s="352"/>
      <c r="I117" s="352"/>
      <c r="J117" s="352"/>
      <c r="K117" s="352"/>
      <c r="L117" s="353"/>
      <c r="M117" s="2"/>
    </row>
    <row r="118" spans="1:13" ht="15.75">
      <c r="A118" s="350"/>
      <c r="B118" s="351"/>
      <c r="C118" s="352"/>
      <c r="D118" s="352"/>
      <c r="E118" s="351"/>
      <c r="F118" s="351"/>
      <c r="G118" s="340"/>
      <c r="H118" s="352"/>
      <c r="I118" s="352"/>
      <c r="J118" s="352"/>
      <c r="K118" s="352"/>
      <c r="L118" s="353"/>
      <c r="M118" s="2"/>
    </row>
    <row r="119" spans="1:13" ht="15.75">
      <c r="A119" s="350"/>
      <c r="B119" s="351"/>
      <c r="C119" s="352"/>
      <c r="D119" s="352"/>
      <c r="E119" s="351"/>
      <c r="F119" s="351"/>
      <c r="G119" s="340"/>
      <c r="H119" s="352"/>
      <c r="I119" s="352"/>
      <c r="J119" s="352"/>
      <c r="K119" s="352"/>
      <c r="L119" s="353"/>
      <c r="M119" s="2"/>
    </row>
    <row r="120" spans="1:13" ht="15.75">
      <c r="A120" s="350"/>
      <c r="B120" s="351"/>
      <c r="C120" s="352"/>
      <c r="D120" s="352"/>
      <c r="E120" s="351"/>
      <c r="F120" s="351"/>
      <c r="G120" s="340"/>
      <c r="H120" s="352"/>
      <c r="I120" s="352"/>
      <c r="J120" s="352"/>
      <c r="K120" s="352"/>
      <c r="L120" s="353"/>
      <c r="M120" s="2"/>
    </row>
    <row r="121" spans="1:13" ht="15.75">
      <c r="A121" s="350"/>
      <c r="B121" s="351"/>
      <c r="C121" s="352"/>
      <c r="D121" s="352"/>
      <c r="E121" s="351"/>
      <c r="F121" s="351"/>
      <c r="G121" s="340"/>
      <c r="H121" s="352"/>
      <c r="I121" s="352"/>
      <c r="J121" s="352"/>
      <c r="K121" s="352"/>
      <c r="L121" s="354"/>
      <c r="M121" s="2"/>
    </row>
    <row r="122" spans="1:13" ht="15.75">
      <c r="A122" s="350"/>
      <c r="B122" s="351"/>
      <c r="C122" s="352"/>
      <c r="D122" s="352"/>
      <c r="E122" s="351"/>
      <c r="F122" s="351"/>
      <c r="G122" s="340"/>
      <c r="H122" s="352"/>
      <c r="I122" s="352"/>
      <c r="J122" s="352"/>
      <c r="K122" s="352"/>
      <c r="L122" s="354"/>
      <c r="M122" s="2"/>
    </row>
    <row r="123" spans="1:13" ht="15.75">
      <c r="A123" s="350"/>
      <c r="B123" s="351"/>
      <c r="C123" s="352"/>
      <c r="D123" s="352"/>
      <c r="E123" s="351"/>
      <c r="F123" s="351"/>
      <c r="G123" s="340"/>
      <c r="H123" s="352"/>
      <c r="I123" s="352"/>
      <c r="J123" s="352"/>
      <c r="K123" s="352"/>
      <c r="L123" s="354"/>
      <c r="M123" s="2"/>
    </row>
    <row r="124" spans="1:13" ht="15.75">
      <c r="A124" s="350"/>
      <c r="B124" s="351"/>
      <c r="C124" s="352"/>
      <c r="D124" s="352"/>
      <c r="E124" s="351"/>
      <c r="F124" s="351"/>
      <c r="G124" s="340"/>
      <c r="H124" s="352"/>
      <c r="I124" s="352"/>
      <c r="J124" s="352"/>
      <c r="K124" s="352"/>
      <c r="L124" s="354"/>
      <c r="M124" s="2"/>
    </row>
    <row r="125" spans="1:13" ht="15.75">
      <c r="A125" s="350"/>
      <c r="B125" s="351"/>
      <c r="C125" s="352"/>
      <c r="D125" s="352"/>
      <c r="E125" s="351"/>
      <c r="F125" s="351"/>
      <c r="G125" s="340"/>
      <c r="H125" s="352"/>
      <c r="I125" s="352"/>
      <c r="J125" s="352"/>
      <c r="K125" s="352"/>
      <c r="L125" s="354"/>
      <c r="M125" s="2"/>
    </row>
    <row r="126" spans="1:13" ht="15.75">
      <c r="A126" s="350"/>
      <c r="B126" s="351"/>
      <c r="C126" s="352"/>
      <c r="D126" s="352"/>
      <c r="E126" s="351"/>
      <c r="F126" s="351"/>
      <c r="G126" s="340"/>
      <c r="H126" s="352"/>
      <c r="I126" s="352"/>
      <c r="J126" s="352"/>
      <c r="K126" s="352"/>
      <c r="L126" s="354"/>
      <c r="M126" s="2"/>
    </row>
    <row r="127" spans="1:13" ht="15.75">
      <c r="A127" s="350"/>
      <c r="B127" s="351"/>
      <c r="C127" s="352"/>
      <c r="D127" s="352"/>
      <c r="E127" s="351"/>
      <c r="F127" s="351"/>
      <c r="G127" s="340"/>
      <c r="H127" s="352"/>
      <c r="I127" s="352"/>
      <c r="J127" s="352"/>
      <c r="K127" s="352"/>
      <c r="L127" s="354"/>
      <c r="M127" s="2"/>
    </row>
    <row r="128" spans="1:13" ht="15.75">
      <c r="A128" s="350"/>
      <c r="B128" s="351"/>
      <c r="C128" s="352"/>
      <c r="D128" s="352"/>
      <c r="E128" s="351"/>
      <c r="F128" s="351"/>
      <c r="G128" s="340"/>
      <c r="H128" s="352"/>
      <c r="I128" s="352"/>
      <c r="J128" s="352"/>
      <c r="K128" s="352"/>
      <c r="L128" s="354"/>
      <c r="M128" s="2"/>
    </row>
    <row r="129" spans="1:13" ht="15.75">
      <c r="A129" s="350"/>
      <c r="B129" s="351"/>
      <c r="C129" s="352"/>
      <c r="D129" s="352"/>
      <c r="E129" s="351"/>
      <c r="F129" s="351"/>
      <c r="G129" s="340"/>
      <c r="H129" s="352"/>
      <c r="I129" s="352"/>
      <c r="J129" s="352"/>
      <c r="K129" s="352"/>
      <c r="L129" s="354"/>
      <c r="M129" s="2"/>
    </row>
    <row r="130" spans="1:13" ht="15.75">
      <c r="A130" s="350"/>
      <c r="B130" s="351"/>
      <c r="C130" s="352"/>
      <c r="D130" s="352"/>
      <c r="E130" s="351"/>
      <c r="F130" s="351"/>
      <c r="G130" s="340"/>
      <c r="H130" s="352"/>
      <c r="I130" s="352"/>
      <c r="J130" s="352"/>
      <c r="K130" s="352"/>
      <c r="L130" s="354"/>
      <c r="M130" s="2"/>
    </row>
    <row r="131" spans="1:13" ht="15.75">
      <c r="A131" s="350"/>
      <c r="B131" s="351"/>
      <c r="C131" s="352"/>
      <c r="D131" s="352"/>
      <c r="E131" s="351"/>
      <c r="F131" s="351"/>
      <c r="G131" s="340"/>
      <c r="H131" s="352"/>
      <c r="I131" s="352"/>
      <c r="J131" s="352"/>
      <c r="K131" s="352"/>
      <c r="L131" s="354"/>
      <c r="M131" s="2"/>
    </row>
    <row r="132" spans="1:13" ht="15.75">
      <c r="A132" s="350"/>
      <c r="B132" s="351"/>
      <c r="C132" s="352"/>
      <c r="D132" s="352"/>
      <c r="E132" s="351"/>
      <c r="F132" s="351"/>
      <c r="G132" s="340"/>
      <c r="H132" s="352"/>
      <c r="I132" s="352"/>
      <c r="J132" s="352"/>
      <c r="K132" s="352"/>
      <c r="L132" s="354"/>
      <c r="M132" s="2"/>
    </row>
    <row r="133" spans="1:13" ht="15.75">
      <c r="A133" s="350"/>
      <c r="B133" s="351"/>
      <c r="C133" s="352"/>
      <c r="D133" s="352"/>
      <c r="E133" s="351"/>
      <c r="F133" s="351"/>
      <c r="G133" s="340"/>
      <c r="H133" s="352"/>
      <c r="I133" s="352"/>
      <c r="J133" s="352"/>
      <c r="K133" s="352"/>
      <c r="L133" s="354"/>
      <c r="M133" s="2"/>
    </row>
    <row r="134" spans="1:13" ht="15.75">
      <c r="A134" s="350"/>
      <c r="B134" s="351"/>
      <c r="C134" s="352"/>
      <c r="D134" s="352"/>
      <c r="E134" s="351"/>
      <c r="F134" s="351"/>
      <c r="G134" s="340"/>
      <c r="H134" s="352"/>
      <c r="I134" s="352"/>
      <c r="J134" s="352"/>
      <c r="K134" s="352"/>
      <c r="L134" s="354"/>
      <c r="M134" s="2"/>
    </row>
    <row r="135" spans="1:13" ht="15.75">
      <c r="A135" s="350"/>
      <c r="B135" s="351"/>
      <c r="C135" s="352"/>
      <c r="D135" s="352"/>
      <c r="E135" s="351"/>
      <c r="F135" s="351"/>
      <c r="G135" s="340"/>
      <c r="H135" s="352"/>
      <c r="I135" s="352"/>
      <c r="J135" s="352"/>
      <c r="K135" s="352"/>
      <c r="L135" s="354"/>
      <c r="M135" s="2"/>
    </row>
    <row r="136" spans="1:13" ht="15.75">
      <c r="A136" s="350"/>
      <c r="B136" s="351"/>
      <c r="C136" s="352"/>
      <c r="D136" s="352"/>
      <c r="E136" s="351"/>
      <c r="F136" s="351"/>
      <c r="G136" s="340"/>
      <c r="H136" s="352"/>
      <c r="I136" s="352"/>
      <c r="J136" s="352"/>
      <c r="K136" s="352"/>
      <c r="L136" s="354"/>
      <c r="M136" s="2"/>
    </row>
    <row r="137" spans="1:13" ht="15.75">
      <c r="A137" s="350"/>
      <c r="B137" s="351"/>
      <c r="C137" s="352"/>
      <c r="D137" s="352"/>
      <c r="E137" s="351"/>
      <c r="F137" s="351"/>
      <c r="G137" s="340"/>
      <c r="H137" s="352"/>
      <c r="I137" s="352"/>
      <c r="J137" s="352"/>
      <c r="K137" s="352"/>
      <c r="L137" s="354"/>
      <c r="M137" s="2"/>
    </row>
    <row r="138" spans="1:13" ht="15.75">
      <c r="A138" s="350"/>
      <c r="B138" s="351"/>
      <c r="C138" s="352"/>
      <c r="D138" s="352"/>
      <c r="E138" s="351"/>
      <c r="F138" s="351"/>
      <c r="G138" s="340"/>
      <c r="H138" s="352"/>
      <c r="I138" s="352"/>
      <c r="J138" s="352"/>
      <c r="K138" s="352"/>
      <c r="L138" s="354"/>
      <c r="M138" s="2"/>
    </row>
    <row r="139" spans="1:13" ht="15.75">
      <c r="A139" s="350"/>
      <c r="B139" s="351"/>
      <c r="C139" s="352"/>
      <c r="D139" s="352"/>
      <c r="E139" s="351"/>
      <c r="F139" s="351"/>
      <c r="G139" s="340"/>
      <c r="H139" s="352"/>
      <c r="I139" s="352"/>
      <c r="J139" s="352"/>
      <c r="K139" s="352"/>
      <c r="L139" s="354"/>
      <c r="M139" s="2"/>
    </row>
    <row r="140" spans="1:13" ht="15.75">
      <c r="A140" s="350"/>
      <c r="B140" s="351"/>
      <c r="C140" s="352"/>
      <c r="D140" s="352"/>
      <c r="E140" s="351"/>
      <c r="F140" s="351"/>
      <c r="G140" s="340"/>
      <c r="H140" s="352"/>
      <c r="I140" s="352"/>
      <c r="J140" s="352"/>
      <c r="K140" s="352"/>
      <c r="L140" s="354"/>
      <c r="M140" s="2"/>
    </row>
    <row r="141" spans="1:13" ht="15.75">
      <c r="A141" s="350"/>
      <c r="B141" s="351"/>
      <c r="C141" s="352"/>
      <c r="D141" s="352"/>
      <c r="E141" s="351"/>
      <c r="F141" s="351"/>
      <c r="G141" s="340"/>
      <c r="H141" s="352"/>
      <c r="I141" s="352"/>
      <c r="J141" s="352"/>
      <c r="K141" s="352"/>
      <c r="L141" s="354"/>
      <c r="M141" s="2"/>
    </row>
    <row r="142" spans="1:13" ht="15.75">
      <c r="A142" s="350"/>
      <c r="B142" s="351"/>
      <c r="C142" s="352"/>
      <c r="D142" s="352"/>
      <c r="E142" s="351"/>
      <c r="F142" s="351"/>
      <c r="G142" s="340"/>
      <c r="H142" s="352"/>
      <c r="I142" s="352"/>
      <c r="J142" s="352"/>
      <c r="K142" s="352"/>
      <c r="L142" s="354"/>
      <c r="M142" s="2"/>
    </row>
    <row r="143" spans="1:13" ht="15.75">
      <c r="A143" s="350"/>
      <c r="B143" s="351"/>
      <c r="C143" s="352"/>
      <c r="D143" s="352"/>
      <c r="E143" s="351"/>
      <c r="F143" s="351"/>
      <c r="G143" s="340"/>
      <c r="H143" s="352"/>
      <c r="I143" s="352"/>
      <c r="J143" s="352"/>
      <c r="K143" s="352"/>
      <c r="L143" s="354"/>
      <c r="M143" s="2"/>
    </row>
    <row r="144" spans="1:13" ht="15.75">
      <c r="A144" s="350"/>
      <c r="B144" s="351"/>
      <c r="C144" s="352"/>
      <c r="D144" s="352"/>
      <c r="E144" s="351"/>
      <c r="F144" s="351"/>
      <c r="G144" s="340"/>
      <c r="H144" s="352"/>
      <c r="I144" s="352"/>
      <c r="J144" s="352"/>
      <c r="K144" s="352"/>
      <c r="L144" s="354"/>
      <c r="M144" s="2"/>
    </row>
    <row r="145" spans="1:13" ht="15.75">
      <c r="A145" s="350"/>
      <c r="B145" s="351"/>
      <c r="C145" s="352"/>
      <c r="D145" s="352"/>
      <c r="E145" s="351"/>
      <c r="F145" s="351"/>
      <c r="G145" s="340"/>
      <c r="H145" s="352"/>
      <c r="I145" s="352"/>
      <c r="J145" s="352"/>
      <c r="K145" s="352"/>
      <c r="L145" s="354"/>
      <c r="M145" s="2"/>
    </row>
    <row r="146" spans="1:13" ht="15.75">
      <c r="A146" s="350"/>
      <c r="B146" s="351"/>
      <c r="C146" s="352"/>
      <c r="D146" s="352"/>
      <c r="E146" s="351"/>
      <c r="F146" s="351"/>
      <c r="G146" s="340"/>
      <c r="H146" s="352"/>
      <c r="I146" s="352"/>
      <c r="J146" s="352"/>
      <c r="K146" s="352"/>
      <c r="L146" s="354"/>
      <c r="M146" s="2"/>
    </row>
    <row r="147" spans="1:13" ht="15.75">
      <c r="A147" s="350"/>
      <c r="B147" s="351"/>
      <c r="C147" s="352"/>
      <c r="D147" s="352"/>
      <c r="E147" s="351"/>
      <c r="F147" s="351"/>
      <c r="G147" s="340"/>
      <c r="H147" s="352"/>
      <c r="I147" s="352"/>
      <c r="J147" s="352"/>
      <c r="K147" s="352"/>
      <c r="L147" s="354"/>
      <c r="M147" s="2"/>
    </row>
    <row r="148" spans="1:13" ht="15.75">
      <c r="A148" s="350"/>
      <c r="B148" s="351"/>
      <c r="C148" s="352"/>
      <c r="D148" s="352"/>
      <c r="E148" s="351"/>
      <c r="F148" s="351"/>
      <c r="G148" s="340"/>
      <c r="H148" s="352"/>
      <c r="I148" s="352"/>
      <c r="J148" s="352"/>
      <c r="K148" s="352"/>
      <c r="L148" s="354"/>
      <c r="M148" s="2"/>
    </row>
    <row r="149" spans="1:13" ht="15.75">
      <c r="A149" s="350"/>
      <c r="B149" s="351"/>
      <c r="C149" s="352"/>
      <c r="D149" s="352"/>
      <c r="E149" s="351"/>
      <c r="F149" s="351"/>
      <c r="G149" s="340"/>
      <c r="H149" s="352"/>
      <c r="I149" s="352"/>
      <c r="J149" s="352"/>
      <c r="K149" s="352"/>
      <c r="L149" s="354"/>
      <c r="M149" s="2"/>
    </row>
    <row r="150" spans="1:13" ht="15.75">
      <c r="A150" s="350"/>
      <c r="B150" s="351"/>
      <c r="C150" s="352"/>
      <c r="D150" s="352"/>
      <c r="E150" s="351"/>
      <c r="F150" s="351"/>
      <c r="G150" s="340"/>
      <c r="H150" s="352"/>
      <c r="I150" s="352"/>
      <c r="J150" s="352"/>
      <c r="K150" s="352"/>
      <c r="L150" s="354"/>
      <c r="M150" s="2"/>
    </row>
    <row r="151" spans="1:13" ht="15.75">
      <c r="A151" s="350"/>
      <c r="B151" s="351"/>
      <c r="C151" s="352"/>
      <c r="D151" s="352"/>
      <c r="E151" s="351"/>
      <c r="F151" s="351"/>
      <c r="G151" s="340"/>
      <c r="H151" s="352"/>
      <c r="I151" s="352"/>
      <c r="J151" s="352"/>
      <c r="K151" s="352"/>
      <c r="L151" s="354"/>
      <c r="M151" s="2"/>
    </row>
    <row r="152" spans="1:13" ht="15.75">
      <c r="A152" s="350"/>
      <c r="B152" s="351"/>
      <c r="C152" s="352"/>
      <c r="D152" s="352"/>
      <c r="E152" s="351"/>
      <c r="F152" s="351"/>
      <c r="G152" s="340"/>
      <c r="H152" s="352"/>
      <c r="I152" s="352"/>
      <c r="J152" s="352"/>
      <c r="K152" s="352"/>
      <c r="L152" s="354"/>
      <c r="M152" s="2"/>
    </row>
    <row r="153" spans="1:13" ht="15.75">
      <c r="A153" s="350"/>
      <c r="B153" s="351"/>
      <c r="C153" s="352"/>
      <c r="D153" s="352"/>
      <c r="E153" s="351"/>
      <c r="F153" s="351"/>
      <c r="G153" s="340"/>
      <c r="H153" s="352"/>
      <c r="I153" s="352"/>
      <c r="J153" s="352"/>
      <c r="K153" s="352"/>
      <c r="L153" s="355"/>
      <c r="M153" s="2"/>
    </row>
    <row r="154" spans="1:13" ht="15.75">
      <c r="A154" s="350"/>
      <c r="B154" s="351"/>
      <c r="C154" s="352"/>
      <c r="D154" s="352"/>
      <c r="E154" s="351"/>
      <c r="F154" s="351"/>
      <c r="G154" s="340"/>
      <c r="H154" s="352"/>
      <c r="I154" s="352"/>
      <c r="J154" s="352"/>
      <c r="K154" s="352"/>
      <c r="L154" s="355"/>
      <c r="M154" s="2"/>
    </row>
    <row r="155" spans="1:13" ht="15.75">
      <c r="A155" s="350"/>
      <c r="B155" s="351"/>
      <c r="C155" s="352"/>
      <c r="D155" s="352"/>
      <c r="E155" s="351"/>
      <c r="F155" s="351"/>
      <c r="G155" s="340"/>
      <c r="H155" s="352"/>
      <c r="I155" s="352"/>
      <c r="J155" s="352"/>
      <c r="K155" s="352"/>
      <c r="L155" s="355"/>
      <c r="M155" s="2"/>
    </row>
    <row r="156" spans="1:13" ht="15.75">
      <c r="A156" s="350"/>
      <c r="B156" s="351"/>
      <c r="C156" s="352"/>
      <c r="D156" s="352"/>
      <c r="E156" s="351"/>
      <c r="F156" s="351"/>
      <c r="G156" s="340"/>
      <c r="H156" s="352"/>
      <c r="I156" s="352"/>
      <c r="J156" s="352"/>
      <c r="K156" s="352"/>
      <c r="L156" s="355"/>
      <c r="M156" s="2"/>
    </row>
    <row r="157" spans="1:13" ht="15.75">
      <c r="A157" s="350"/>
      <c r="B157" s="351"/>
      <c r="C157" s="352"/>
      <c r="D157" s="352"/>
      <c r="E157" s="351"/>
      <c r="F157" s="351"/>
      <c r="G157" s="340"/>
      <c r="H157" s="352"/>
      <c r="I157" s="352"/>
      <c r="J157" s="352"/>
      <c r="K157" s="352"/>
      <c r="L157" s="355"/>
      <c r="M157" s="2"/>
    </row>
    <row r="158" spans="1:13" ht="15.75">
      <c r="A158" s="350"/>
      <c r="B158" s="351"/>
      <c r="C158" s="352"/>
      <c r="D158" s="352"/>
      <c r="E158" s="351"/>
      <c r="F158" s="351"/>
      <c r="G158" s="340"/>
      <c r="H158" s="352"/>
      <c r="I158" s="352"/>
      <c r="J158" s="352"/>
      <c r="K158" s="352"/>
      <c r="L158" s="355"/>
      <c r="M158" s="2"/>
    </row>
    <row r="159" spans="1:13" ht="15.75">
      <c r="A159" s="350"/>
      <c r="B159" s="351"/>
      <c r="C159" s="352"/>
      <c r="D159" s="352"/>
      <c r="E159" s="351"/>
      <c r="F159" s="351"/>
      <c r="G159" s="340"/>
      <c r="H159" s="352"/>
      <c r="I159" s="352"/>
      <c r="J159" s="352"/>
      <c r="K159" s="352"/>
      <c r="L159" s="355"/>
      <c r="M159" s="2"/>
    </row>
    <row r="160" spans="1:13" ht="15.75">
      <c r="A160" s="350"/>
      <c r="B160" s="351"/>
      <c r="C160" s="352"/>
      <c r="D160" s="352"/>
      <c r="E160" s="351"/>
      <c r="F160" s="351"/>
      <c r="G160" s="340"/>
      <c r="H160" s="352"/>
      <c r="I160" s="352"/>
      <c r="J160" s="352"/>
      <c r="K160" s="352"/>
      <c r="L160" s="355"/>
      <c r="M160" s="2"/>
    </row>
    <row r="161" spans="1:13" ht="15.75">
      <c r="A161" s="350"/>
      <c r="B161" s="351"/>
      <c r="C161" s="352"/>
      <c r="D161" s="352"/>
      <c r="E161" s="351"/>
      <c r="F161" s="351"/>
      <c r="G161" s="340"/>
      <c r="H161" s="352"/>
      <c r="I161" s="352"/>
      <c r="J161" s="352"/>
      <c r="K161" s="352"/>
      <c r="L161" s="355"/>
      <c r="M161" s="2"/>
    </row>
    <row r="162" spans="1:13" ht="15.75">
      <c r="A162" s="350"/>
      <c r="B162" s="351"/>
      <c r="C162" s="352"/>
      <c r="D162" s="352"/>
      <c r="E162" s="351"/>
      <c r="F162" s="351"/>
      <c r="G162" s="340"/>
      <c r="H162" s="352"/>
      <c r="I162" s="352"/>
      <c r="J162" s="352"/>
      <c r="K162" s="352"/>
      <c r="L162" s="355"/>
      <c r="M162" s="2"/>
    </row>
    <row r="163" spans="1:13" ht="15.75">
      <c r="A163" s="350"/>
      <c r="B163" s="351"/>
      <c r="C163" s="352"/>
      <c r="D163" s="352"/>
      <c r="E163" s="351"/>
      <c r="F163" s="351"/>
      <c r="G163" s="340"/>
      <c r="H163" s="352"/>
      <c r="I163" s="352"/>
      <c r="J163" s="352"/>
      <c r="K163" s="352"/>
      <c r="L163" s="355"/>
      <c r="M163" s="2"/>
    </row>
    <row r="164" spans="1:13" ht="15.75">
      <c r="A164" s="350"/>
      <c r="B164" s="351"/>
      <c r="C164" s="352"/>
      <c r="D164" s="352"/>
      <c r="E164" s="351"/>
      <c r="F164" s="351"/>
      <c r="G164" s="340"/>
      <c r="H164" s="352"/>
      <c r="I164" s="352"/>
      <c r="J164" s="352"/>
      <c r="K164" s="352"/>
      <c r="L164" s="355"/>
      <c r="M164" s="2"/>
    </row>
    <row r="165" spans="1:13" ht="15.75">
      <c r="A165" s="350"/>
      <c r="B165" s="351"/>
      <c r="C165" s="352"/>
      <c r="D165" s="352"/>
      <c r="E165" s="351"/>
      <c r="F165" s="351"/>
      <c r="G165" s="340"/>
      <c r="H165" s="352"/>
      <c r="I165" s="352"/>
      <c r="J165" s="352"/>
      <c r="K165" s="352"/>
      <c r="L165" s="355"/>
      <c r="M165" s="2"/>
    </row>
    <row r="166" spans="1:13" ht="15.75">
      <c r="A166" s="350"/>
      <c r="B166" s="351"/>
      <c r="C166" s="352"/>
      <c r="D166" s="352"/>
      <c r="E166" s="351"/>
      <c r="F166" s="351"/>
      <c r="G166" s="340"/>
      <c r="H166" s="352"/>
      <c r="I166" s="352"/>
      <c r="J166" s="352"/>
      <c r="K166" s="352"/>
      <c r="L166" s="355"/>
      <c r="M166" s="2"/>
    </row>
    <row r="167" spans="1:13" ht="15.75">
      <c r="A167" s="350"/>
      <c r="B167" s="351"/>
      <c r="C167" s="352"/>
      <c r="D167" s="352"/>
      <c r="E167" s="351"/>
      <c r="F167" s="351"/>
      <c r="G167" s="340"/>
      <c r="H167" s="352"/>
      <c r="I167" s="352"/>
      <c r="J167" s="352"/>
      <c r="K167" s="352"/>
      <c r="L167" s="355"/>
      <c r="M167" s="2"/>
    </row>
    <row r="168" spans="1:13" ht="15.75">
      <c r="A168" s="350"/>
      <c r="B168" s="351"/>
      <c r="C168" s="352"/>
      <c r="D168" s="352"/>
      <c r="E168" s="351"/>
      <c r="F168" s="351"/>
      <c r="G168" s="340"/>
      <c r="H168" s="352"/>
      <c r="I168" s="352"/>
      <c r="J168" s="352"/>
      <c r="K168" s="352"/>
      <c r="L168" s="355"/>
      <c r="M168" s="2"/>
    </row>
    <row r="169" spans="1:13" ht="15.75">
      <c r="A169" s="350"/>
      <c r="B169" s="351"/>
      <c r="C169" s="352"/>
      <c r="D169" s="352"/>
      <c r="E169" s="351"/>
      <c r="F169" s="351"/>
      <c r="G169" s="340"/>
      <c r="H169" s="352"/>
      <c r="I169" s="352"/>
      <c r="J169" s="352"/>
      <c r="K169" s="352"/>
      <c r="L169" s="355"/>
      <c r="M169" s="2"/>
    </row>
    <row r="170" spans="1:13" ht="15.75">
      <c r="A170" s="350"/>
      <c r="B170" s="351"/>
      <c r="C170" s="352"/>
      <c r="D170" s="352"/>
      <c r="E170" s="351"/>
      <c r="F170" s="351"/>
      <c r="G170" s="340"/>
      <c r="H170" s="352"/>
      <c r="I170" s="352"/>
      <c r="J170" s="352"/>
      <c r="K170" s="352"/>
      <c r="L170" s="355"/>
      <c r="M170" s="2"/>
    </row>
    <row r="171" spans="1:13" ht="15.75">
      <c r="A171" s="350"/>
      <c r="B171" s="351"/>
      <c r="C171" s="352"/>
      <c r="D171" s="352"/>
      <c r="E171" s="351"/>
      <c r="F171" s="351"/>
      <c r="G171" s="340"/>
      <c r="H171" s="352"/>
      <c r="I171" s="352"/>
      <c r="J171" s="352"/>
      <c r="K171" s="352"/>
      <c r="L171" s="355"/>
      <c r="M171" s="2"/>
    </row>
    <row r="172" spans="1:13" ht="15.75">
      <c r="A172" s="350"/>
      <c r="B172" s="351"/>
      <c r="C172" s="352"/>
      <c r="D172" s="352"/>
      <c r="E172" s="351"/>
      <c r="F172" s="351"/>
      <c r="G172" s="340"/>
      <c r="H172" s="352"/>
      <c r="I172" s="352"/>
      <c r="J172" s="352"/>
      <c r="K172" s="352"/>
      <c r="L172" s="355"/>
      <c r="M172" s="2"/>
    </row>
    <row r="173" spans="1:13" ht="15.75">
      <c r="A173" s="350"/>
      <c r="B173" s="351"/>
      <c r="C173" s="352"/>
      <c r="D173" s="352"/>
      <c r="E173" s="351"/>
      <c r="F173" s="351"/>
      <c r="G173" s="340"/>
      <c r="H173" s="352"/>
      <c r="I173" s="352"/>
      <c r="J173" s="352"/>
      <c r="K173" s="352"/>
      <c r="L173" s="355"/>
      <c r="M173" s="2"/>
    </row>
    <row r="174" spans="1:13" ht="15.75">
      <c r="A174" s="350"/>
      <c r="B174" s="351"/>
      <c r="C174" s="352"/>
      <c r="D174" s="352"/>
      <c r="E174" s="351"/>
      <c r="F174" s="351"/>
      <c r="G174" s="340"/>
      <c r="H174" s="352"/>
      <c r="I174" s="352"/>
      <c r="J174" s="352"/>
      <c r="K174" s="352"/>
      <c r="L174" s="355"/>
      <c r="M174" s="2"/>
    </row>
    <row r="175" spans="1:13" ht="15.75">
      <c r="A175" s="350"/>
      <c r="B175" s="351"/>
      <c r="C175" s="352"/>
      <c r="D175" s="352"/>
      <c r="E175" s="351"/>
      <c r="F175" s="351"/>
      <c r="G175" s="340"/>
      <c r="H175" s="352"/>
      <c r="I175" s="352"/>
      <c r="J175" s="352"/>
      <c r="K175" s="352"/>
      <c r="L175" s="355"/>
      <c r="M175" s="2"/>
    </row>
    <row r="176" spans="1:13" ht="15.75">
      <c r="A176" s="350"/>
      <c r="B176" s="351"/>
      <c r="C176" s="352"/>
      <c r="D176" s="352"/>
      <c r="E176" s="351"/>
      <c r="F176" s="351"/>
      <c r="G176" s="340"/>
      <c r="H176" s="352"/>
      <c r="I176" s="352"/>
      <c r="J176" s="352"/>
      <c r="K176" s="352"/>
      <c r="L176" s="355"/>
      <c r="M176" s="2"/>
    </row>
    <row r="177" spans="1:13" ht="15.75">
      <c r="A177" s="350"/>
      <c r="B177" s="351"/>
      <c r="C177" s="352"/>
      <c r="D177" s="352"/>
      <c r="E177" s="351"/>
      <c r="F177" s="351"/>
      <c r="G177" s="340"/>
      <c r="H177" s="352"/>
      <c r="I177" s="352"/>
      <c r="J177" s="352"/>
      <c r="K177" s="352"/>
      <c r="L177" s="355"/>
      <c r="M177" s="2"/>
    </row>
    <row r="178" spans="1:13" ht="15.75">
      <c r="A178" s="350"/>
      <c r="B178" s="351"/>
      <c r="C178" s="352"/>
      <c r="D178" s="352"/>
      <c r="E178" s="351"/>
      <c r="F178" s="351"/>
      <c r="G178" s="340"/>
      <c r="H178" s="352"/>
      <c r="I178" s="352"/>
      <c r="J178" s="352"/>
      <c r="K178" s="352"/>
      <c r="L178" s="355"/>
      <c r="M178" s="2"/>
    </row>
    <row r="179" spans="1:13" ht="15.75">
      <c r="A179" s="350"/>
      <c r="B179" s="351"/>
      <c r="C179" s="352"/>
      <c r="D179" s="352"/>
      <c r="E179" s="351"/>
      <c r="F179" s="351"/>
      <c r="G179" s="340"/>
      <c r="H179" s="352"/>
      <c r="I179" s="352"/>
      <c r="J179" s="352"/>
      <c r="K179" s="352"/>
      <c r="L179" s="355"/>
      <c r="M179" s="2"/>
    </row>
    <row r="180" spans="1:13" ht="15.75">
      <c r="A180" s="350"/>
      <c r="B180" s="351"/>
      <c r="C180" s="352"/>
      <c r="D180" s="352"/>
      <c r="E180" s="351"/>
      <c r="F180" s="351"/>
      <c r="G180" s="340"/>
      <c r="H180" s="352"/>
      <c r="I180" s="352"/>
      <c r="J180" s="352"/>
      <c r="K180" s="352"/>
      <c r="L180" s="355"/>
      <c r="M180" s="2"/>
    </row>
    <row r="181" spans="1:13" ht="15.75">
      <c r="A181" s="350"/>
      <c r="B181" s="351"/>
      <c r="C181" s="352"/>
      <c r="D181" s="352"/>
      <c r="E181" s="351"/>
      <c r="F181" s="351"/>
      <c r="G181" s="340"/>
      <c r="H181" s="352"/>
      <c r="I181" s="352"/>
      <c r="J181" s="352"/>
      <c r="K181" s="352"/>
      <c r="L181" s="355"/>
      <c r="M181" s="2"/>
    </row>
    <row r="182" spans="1:13" ht="15.75">
      <c r="A182" s="350"/>
      <c r="B182" s="351"/>
      <c r="C182" s="352"/>
      <c r="D182" s="352"/>
      <c r="E182" s="351"/>
      <c r="F182" s="351"/>
      <c r="G182" s="340"/>
      <c r="H182" s="352"/>
      <c r="I182" s="352"/>
      <c r="J182" s="352"/>
      <c r="K182" s="352"/>
      <c r="L182" s="355"/>
      <c r="M182" s="2"/>
    </row>
    <row r="183" spans="1:13" ht="15.75">
      <c r="A183" s="350"/>
      <c r="B183" s="351"/>
      <c r="C183" s="352"/>
      <c r="D183" s="352"/>
      <c r="E183" s="351"/>
      <c r="F183" s="351"/>
      <c r="G183" s="340"/>
      <c r="H183" s="352"/>
      <c r="I183" s="352"/>
      <c r="J183" s="352"/>
      <c r="K183" s="352"/>
      <c r="L183" s="355"/>
      <c r="M183" s="2"/>
    </row>
    <row r="184" spans="1:13" ht="15.75">
      <c r="A184" s="350"/>
      <c r="B184" s="351"/>
      <c r="C184" s="352"/>
      <c r="D184" s="352"/>
      <c r="E184" s="351"/>
      <c r="F184" s="351"/>
      <c r="G184" s="340"/>
      <c r="H184" s="352"/>
      <c r="I184" s="352"/>
      <c r="J184" s="352"/>
      <c r="K184" s="352"/>
      <c r="L184" s="355"/>
      <c r="M184" s="2"/>
    </row>
    <row r="185" spans="1:13" ht="15.75">
      <c r="A185" s="350"/>
      <c r="B185" s="351"/>
      <c r="C185" s="352"/>
      <c r="D185" s="352"/>
      <c r="E185" s="351"/>
      <c r="F185" s="351"/>
      <c r="G185" s="340"/>
      <c r="H185" s="352"/>
      <c r="I185" s="352"/>
      <c r="J185" s="352"/>
      <c r="K185" s="352"/>
      <c r="L185" s="355"/>
      <c r="M185" s="2"/>
    </row>
    <row r="186" spans="1:13" ht="15.75">
      <c r="A186" s="350"/>
      <c r="B186" s="351"/>
      <c r="C186" s="352"/>
      <c r="D186" s="352"/>
      <c r="E186" s="351"/>
      <c r="F186" s="351"/>
      <c r="G186" s="340"/>
      <c r="H186" s="352"/>
      <c r="I186" s="352"/>
      <c r="J186" s="352"/>
      <c r="K186" s="352"/>
      <c r="L186" s="355"/>
      <c r="M186" s="2"/>
    </row>
    <row r="187" spans="1:13" ht="15.75">
      <c r="A187" s="350"/>
      <c r="B187" s="351"/>
      <c r="C187" s="352"/>
      <c r="D187" s="352"/>
      <c r="E187" s="351"/>
      <c r="F187" s="351"/>
      <c r="G187" s="340"/>
      <c r="H187" s="352"/>
      <c r="I187" s="352"/>
      <c r="J187" s="352"/>
      <c r="K187" s="352"/>
      <c r="L187" s="355"/>
      <c r="M187" s="2"/>
    </row>
    <row r="188" spans="1:13" ht="15.75">
      <c r="A188" s="350"/>
      <c r="B188" s="351"/>
      <c r="C188" s="352"/>
      <c r="D188" s="352"/>
      <c r="E188" s="351"/>
      <c r="F188" s="351"/>
      <c r="G188" s="340"/>
      <c r="H188" s="352"/>
      <c r="I188" s="352"/>
      <c r="J188" s="352"/>
      <c r="K188" s="352"/>
      <c r="L188" s="355"/>
      <c r="M188" s="2"/>
    </row>
    <row r="189" spans="1:13" ht="15.75">
      <c r="A189" s="350"/>
      <c r="B189" s="351"/>
      <c r="C189" s="352"/>
      <c r="D189" s="352"/>
      <c r="E189" s="351"/>
      <c r="F189" s="351"/>
      <c r="G189" s="340"/>
      <c r="H189" s="352"/>
      <c r="I189" s="352"/>
      <c r="J189" s="352"/>
      <c r="K189" s="352"/>
      <c r="L189" s="355"/>
      <c r="M189" s="2"/>
    </row>
    <row r="190" spans="1:13" ht="15.75">
      <c r="A190" s="350"/>
      <c r="B190" s="351"/>
      <c r="C190" s="352"/>
      <c r="D190" s="352"/>
      <c r="E190" s="351"/>
      <c r="F190" s="351"/>
      <c r="G190" s="340"/>
      <c r="H190" s="352"/>
      <c r="I190" s="352"/>
      <c r="J190" s="352"/>
      <c r="K190" s="352"/>
      <c r="L190" s="355"/>
      <c r="M190" s="2"/>
    </row>
    <row r="191" spans="1:13" ht="15.75">
      <c r="A191" s="350"/>
      <c r="B191" s="351"/>
      <c r="C191" s="352"/>
      <c r="D191" s="352"/>
      <c r="E191" s="351"/>
      <c r="F191" s="351"/>
      <c r="G191" s="340"/>
      <c r="H191" s="352"/>
      <c r="I191" s="352"/>
      <c r="J191" s="352"/>
      <c r="K191" s="352"/>
      <c r="L191" s="355"/>
      <c r="M191" s="2"/>
    </row>
    <row r="192" spans="1:13" ht="15.75">
      <c r="A192" s="350"/>
      <c r="B192" s="351"/>
      <c r="C192" s="352"/>
      <c r="D192" s="352"/>
      <c r="E192" s="351"/>
      <c r="F192" s="351"/>
      <c r="G192" s="340"/>
      <c r="H192" s="352"/>
      <c r="I192" s="352"/>
      <c r="J192" s="352"/>
      <c r="K192" s="352"/>
      <c r="L192" s="355"/>
      <c r="M192" s="2"/>
    </row>
    <row r="193" spans="1:13" ht="15.75">
      <c r="A193" s="350"/>
      <c r="B193" s="351"/>
      <c r="C193" s="352"/>
      <c r="D193" s="352"/>
      <c r="E193" s="351"/>
      <c r="F193" s="351"/>
      <c r="G193" s="340"/>
      <c r="H193" s="352"/>
      <c r="I193" s="352"/>
      <c r="J193" s="352"/>
      <c r="K193" s="352"/>
      <c r="L193" s="355"/>
      <c r="M193" s="2"/>
    </row>
    <row r="194" spans="1:13" ht="15.75">
      <c r="A194" s="350"/>
      <c r="B194" s="351"/>
      <c r="C194" s="352"/>
      <c r="D194" s="352"/>
      <c r="E194" s="351"/>
      <c r="F194" s="351"/>
      <c r="G194" s="340"/>
      <c r="H194" s="352"/>
      <c r="I194" s="352"/>
      <c r="J194" s="352"/>
      <c r="K194" s="352"/>
      <c r="L194" s="355"/>
      <c r="M194" s="2"/>
    </row>
    <row r="195" spans="1:13" ht="15.75">
      <c r="A195" s="350"/>
      <c r="B195" s="351"/>
      <c r="C195" s="352"/>
      <c r="D195" s="352"/>
      <c r="E195" s="351"/>
      <c r="F195" s="351"/>
      <c r="G195" s="340"/>
      <c r="H195" s="352"/>
      <c r="I195" s="352"/>
      <c r="J195" s="352"/>
      <c r="K195" s="352"/>
      <c r="L195" s="355"/>
      <c r="M195" s="2"/>
    </row>
    <row r="196" spans="1:13" ht="15.75">
      <c r="A196" s="350"/>
      <c r="B196" s="351"/>
      <c r="C196" s="352"/>
      <c r="D196" s="352"/>
      <c r="E196" s="351"/>
      <c r="F196" s="351"/>
      <c r="G196" s="340"/>
      <c r="H196" s="352"/>
      <c r="I196" s="352"/>
      <c r="J196" s="352"/>
      <c r="K196" s="352"/>
      <c r="L196" s="355"/>
      <c r="M196" s="2"/>
    </row>
    <row r="197" spans="1:13" ht="15.75">
      <c r="A197" s="350"/>
      <c r="B197" s="351"/>
      <c r="C197" s="352"/>
      <c r="D197" s="352"/>
      <c r="E197" s="351"/>
      <c r="F197" s="351"/>
      <c r="G197" s="340"/>
      <c r="H197" s="352"/>
      <c r="I197" s="352"/>
      <c r="J197" s="352"/>
      <c r="K197" s="352"/>
      <c r="L197" s="355"/>
      <c r="M197" s="2"/>
    </row>
    <row r="198" spans="1:13" ht="15.75">
      <c r="A198" s="350"/>
      <c r="B198" s="351"/>
      <c r="C198" s="352"/>
      <c r="D198" s="352"/>
      <c r="E198" s="351"/>
      <c r="F198" s="351"/>
      <c r="G198" s="340"/>
      <c r="H198" s="352"/>
      <c r="I198" s="352"/>
      <c r="J198" s="352"/>
      <c r="K198" s="352"/>
      <c r="L198" s="355"/>
      <c r="M198" s="2"/>
    </row>
    <row r="199" spans="1:13" ht="15.75">
      <c r="A199" s="350"/>
      <c r="B199" s="351"/>
      <c r="C199" s="352"/>
      <c r="D199" s="352"/>
      <c r="E199" s="351"/>
      <c r="F199" s="351"/>
      <c r="G199" s="340"/>
      <c r="H199" s="352"/>
      <c r="I199" s="352"/>
      <c r="J199" s="352"/>
      <c r="K199" s="352"/>
      <c r="L199" s="355"/>
      <c r="M199" s="2"/>
    </row>
    <row r="200" spans="1:13" ht="15.75">
      <c r="A200" s="350"/>
      <c r="B200" s="351"/>
      <c r="C200" s="352"/>
      <c r="D200" s="352"/>
      <c r="E200" s="351"/>
      <c r="F200" s="351"/>
      <c r="G200" s="340"/>
      <c r="H200" s="352"/>
      <c r="I200" s="352"/>
      <c r="J200" s="352"/>
      <c r="K200" s="352"/>
      <c r="L200" s="355"/>
      <c r="M200" s="2"/>
    </row>
    <row r="201" spans="1:13" ht="15.75">
      <c r="A201" s="350"/>
      <c r="B201" s="351"/>
      <c r="C201" s="352"/>
      <c r="D201" s="352"/>
      <c r="E201" s="351"/>
      <c r="F201" s="351"/>
      <c r="G201" s="340"/>
      <c r="H201" s="352"/>
      <c r="I201" s="352"/>
      <c r="J201" s="352"/>
      <c r="K201" s="352"/>
      <c r="L201" s="355"/>
      <c r="M201" s="2"/>
    </row>
    <row r="202" spans="1:13" ht="15.75">
      <c r="A202" s="350"/>
      <c r="B202" s="351"/>
      <c r="C202" s="352"/>
      <c r="D202" s="352"/>
      <c r="E202" s="351"/>
      <c r="F202" s="351"/>
      <c r="G202" s="340"/>
      <c r="H202" s="352"/>
      <c r="I202" s="352"/>
      <c r="J202" s="352"/>
      <c r="K202" s="352"/>
      <c r="L202" s="355"/>
      <c r="M202" s="2"/>
    </row>
    <row r="203" spans="1:13" ht="15.75">
      <c r="A203" s="350"/>
      <c r="B203" s="351"/>
      <c r="C203" s="352"/>
      <c r="D203" s="352"/>
      <c r="E203" s="351"/>
      <c r="F203" s="351"/>
      <c r="G203" s="340"/>
      <c r="H203" s="352"/>
      <c r="I203" s="352"/>
      <c r="J203" s="352"/>
      <c r="K203" s="352"/>
      <c r="L203" s="355"/>
      <c r="M203" s="2"/>
    </row>
    <row r="204" spans="1:13" ht="15.75">
      <c r="A204" s="350"/>
      <c r="B204" s="351"/>
      <c r="C204" s="352"/>
      <c r="D204" s="352"/>
      <c r="E204" s="351"/>
      <c r="F204" s="351"/>
      <c r="G204" s="340"/>
      <c r="H204" s="352"/>
      <c r="I204" s="352"/>
      <c r="J204" s="352"/>
      <c r="K204" s="352"/>
      <c r="L204" s="355"/>
      <c r="M204" s="2"/>
    </row>
    <row r="205" spans="1:13" ht="15.75">
      <c r="A205" s="350"/>
      <c r="B205" s="351"/>
      <c r="C205" s="352"/>
      <c r="D205" s="352"/>
      <c r="E205" s="351"/>
      <c r="F205" s="351"/>
      <c r="G205" s="340"/>
      <c r="H205" s="352"/>
      <c r="I205" s="352"/>
      <c r="J205" s="352"/>
      <c r="K205" s="352"/>
      <c r="L205" s="355"/>
      <c r="M205" s="2"/>
    </row>
    <row r="206" spans="1:13" ht="15.75">
      <c r="A206" s="350"/>
      <c r="B206" s="351"/>
      <c r="C206" s="352"/>
      <c r="D206" s="352"/>
      <c r="E206" s="351"/>
      <c r="F206" s="351"/>
      <c r="G206" s="340"/>
      <c r="H206" s="352"/>
      <c r="I206" s="352"/>
      <c r="J206" s="352"/>
      <c r="K206" s="352"/>
      <c r="L206" s="355"/>
      <c r="M206" s="2"/>
    </row>
    <row r="207" spans="1:13" ht="15.75">
      <c r="A207" s="350"/>
      <c r="B207" s="351"/>
      <c r="C207" s="352"/>
      <c r="D207" s="352"/>
      <c r="E207" s="351"/>
      <c r="F207" s="351"/>
      <c r="G207" s="340"/>
      <c r="H207" s="352"/>
      <c r="I207" s="352"/>
      <c r="J207" s="352"/>
      <c r="K207" s="352"/>
      <c r="L207" s="355"/>
      <c r="M207" s="2"/>
    </row>
    <row r="208" spans="1:13" ht="15.75">
      <c r="A208" s="350"/>
      <c r="B208" s="351"/>
      <c r="C208" s="352"/>
      <c r="D208" s="352"/>
      <c r="E208" s="351"/>
      <c r="F208" s="351"/>
      <c r="G208" s="340"/>
      <c r="H208" s="352"/>
      <c r="I208" s="352"/>
      <c r="J208" s="352"/>
      <c r="K208" s="352"/>
      <c r="L208" s="355"/>
      <c r="M208" s="2"/>
    </row>
    <row r="209" spans="1:13" ht="15.75">
      <c r="A209" s="350"/>
      <c r="B209" s="351"/>
      <c r="C209" s="352"/>
      <c r="D209" s="352"/>
      <c r="E209" s="351"/>
      <c r="F209" s="351"/>
      <c r="G209" s="340"/>
      <c r="H209" s="352"/>
      <c r="I209" s="352"/>
      <c r="J209" s="352"/>
      <c r="K209" s="352"/>
      <c r="L209" s="355"/>
      <c r="M209" s="2"/>
    </row>
    <row r="210" spans="1:13" ht="15.75">
      <c r="A210" s="350"/>
      <c r="B210" s="351"/>
      <c r="C210" s="352"/>
      <c r="D210" s="352"/>
      <c r="E210" s="351"/>
      <c r="F210" s="351"/>
      <c r="G210" s="340"/>
      <c r="H210" s="352"/>
      <c r="I210" s="352"/>
      <c r="J210" s="352"/>
      <c r="K210" s="352"/>
      <c r="L210" s="355"/>
      <c r="M210" s="2"/>
    </row>
    <row r="211" spans="1:13" ht="15.75">
      <c r="A211" s="350"/>
      <c r="B211" s="351"/>
      <c r="C211" s="352"/>
      <c r="D211" s="352"/>
      <c r="E211" s="351"/>
      <c r="F211" s="351"/>
      <c r="G211" s="340"/>
      <c r="H211" s="352"/>
      <c r="I211" s="352"/>
      <c r="J211" s="352"/>
      <c r="K211" s="352"/>
      <c r="L211" s="355"/>
      <c r="M211" s="2"/>
    </row>
    <row r="212" spans="1:13" ht="15.75">
      <c r="A212" s="350"/>
      <c r="B212" s="351"/>
      <c r="C212" s="352"/>
      <c r="D212" s="352"/>
      <c r="E212" s="351"/>
      <c r="F212" s="351"/>
      <c r="G212" s="340"/>
      <c r="H212" s="352"/>
      <c r="I212" s="352"/>
      <c r="J212" s="352"/>
      <c r="K212" s="352"/>
      <c r="L212" s="355"/>
      <c r="M212" s="2"/>
    </row>
    <row r="213" spans="1:13" ht="15.75">
      <c r="A213" s="350"/>
      <c r="B213" s="351"/>
      <c r="C213" s="352"/>
      <c r="D213" s="352"/>
      <c r="E213" s="351"/>
      <c r="F213" s="351"/>
      <c r="G213" s="340"/>
      <c r="H213" s="352"/>
      <c r="I213" s="352"/>
      <c r="J213" s="352"/>
      <c r="K213" s="352"/>
      <c r="L213" s="355"/>
      <c r="M213" s="2"/>
    </row>
    <row r="214" spans="1:13" ht="15.75">
      <c r="A214" s="350"/>
      <c r="B214" s="351"/>
      <c r="C214" s="352"/>
      <c r="D214" s="352"/>
      <c r="E214" s="351"/>
      <c r="F214" s="351"/>
      <c r="G214" s="340"/>
      <c r="H214" s="352"/>
      <c r="I214" s="352"/>
      <c r="J214" s="352"/>
      <c r="K214" s="352"/>
      <c r="L214" s="355"/>
      <c r="M214" s="2"/>
    </row>
    <row r="215" spans="1:13" ht="15.75">
      <c r="A215" s="350"/>
      <c r="B215" s="351"/>
      <c r="C215" s="352"/>
      <c r="D215" s="352"/>
      <c r="E215" s="351"/>
      <c r="F215" s="351"/>
      <c r="G215" s="340"/>
      <c r="H215" s="352"/>
      <c r="I215" s="352"/>
      <c r="J215" s="352"/>
      <c r="K215" s="352"/>
      <c r="L215" s="355"/>
      <c r="M215" s="2"/>
    </row>
    <row r="216" spans="1:13" ht="15.75">
      <c r="A216" s="350"/>
      <c r="B216" s="351"/>
      <c r="C216" s="352"/>
      <c r="D216" s="352"/>
      <c r="E216" s="351"/>
      <c r="F216" s="351"/>
      <c r="G216" s="340"/>
      <c r="H216" s="352"/>
      <c r="I216" s="352"/>
      <c r="J216" s="352"/>
      <c r="K216" s="352"/>
      <c r="L216" s="355"/>
      <c r="M216" s="2"/>
    </row>
    <row r="217" spans="1:13" ht="15.75">
      <c r="A217" s="350"/>
      <c r="B217" s="351"/>
      <c r="C217" s="352"/>
      <c r="D217" s="352"/>
      <c r="E217" s="351"/>
      <c r="F217" s="351"/>
      <c r="G217" s="340"/>
      <c r="H217" s="352"/>
      <c r="I217" s="352"/>
      <c r="J217" s="352"/>
      <c r="K217" s="352"/>
      <c r="L217" s="355"/>
      <c r="M217" s="2"/>
    </row>
    <row r="218" spans="1:13" ht="15.75">
      <c r="A218" s="350"/>
      <c r="B218" s="351"/>
      <c r="C218" s="352"/>
      <c r="D218" s="352"/>
      <c r="E218" s="351"/>
      <c r="F218" s="351"/>
      <c r="G218" s="340"/>
      <c r="H218" s="352"/>
      <c r="I218" s="352"/>
      <c r="J218" s="352"/>
      <c r="K218" s="352"/>
      <c r="L218" s="355"/>
      <c r="M218" s="2"/>
    </row>
    <row r="219" spans="1:13" ht="15.75">
      <c r="A219" s="350"/>
      <c r="B219" s="351"/>
      <c r="C219" s="352"/>
      <c r="D219" s="352"/>
      <c r="E219" s="351"/>
      <c r="F219" s="351"/>
      <c r="G219" s="340"/>
      <c r="H219" s="352"/>
      <c r="I219" s="352"/>
      <c r="J219" s="352"/>
      <c r="K219" s="352"/>
      <c r="L219" s="355"/>
      <c r="M219" s="2"/>
    </row>
    <row r="220" spans="1:13" ht="15.75">
      <c r="A220" s="350"/>
      <c r="B220" s="351"/>
      <c r="C220" s="352"/>
      <c r="D220" s="352"/>
      <c r="E220" s="351"/>
      <c r="F220" s="351"/>
      <c r="G220" s="340"/>
      <c r="H220" s="352"/>
      <c r="I220" s="352"/>
      <c r="J220" s="352"/>
      <c r="K220" s="352"/>
      <c r="L220" s="355"/>
      <c r="M220" s="2"/>
    </row>
    <row r="221" spans="1:13" ht="15.75">
      <c r="A221" s="350"/>
      <c r="B221" s="351"/>
      <c r="C221" s="352"/>
      <c r="D221" s="352"/>
      <c r="E221" s="351"/>
      <c r="F221" s="351"/>
      <c r="G221" s="340"/>
      <c r="H221" s="352"/>
      <c r="I221" s="352"/>
      <c r="J221" s="352"/>
      <c r="K221" s="352"/>
      <c r="L221" s="355"/>
      <c r="M221" s="2"/>
    </row>
    <row r="222" spans="1:13" ht="15.75">
      <c r="A222" s="350"/>
      <c r="B222" s="351"/>
      <c r="C222" s="352"/>
      <c r="D222" s="352"/>
      <c r="E222" s="351"/>
      <c r="F222" s="351"/>
      <c r="G222" s="340"/>
      <c r="H222" s="352"/>
      <c r="I222" s="352"/>
      <c r="J222" s="352"/>
      <c r="K222" s="352"/>
      <c r="L222" s="355"/>
      <c r="M222" s="2"/>
    </row>
    <row r="223" spans="1:13" ht="15.75">
      <c r="A223" s="350"/>
      <c r="B223" s="351"/>
      <c r="C223" s="352"/>
      <c r="D223" s="352"/>
      <c r="E223" s="351"/>
      <c r="F223" s="351"/>
      <c r="G223" s="340"/>
      <c r="H223" s="352"/>
      <c r="I223" s="352"/>
      <c r="J223" s="352"/>
      <c r="K223" s="352"/>
      <c r="L223" s="355"/>
      <c r="M223" s="2"/>
    </row>
    <row r="224" spans="1:13" ht="15.75">
      <c r="A224" s="350"/>
      <c r="B224" s="351"/>
      <c r="C224" s="352"/>
      <c r="D224" s="352"/>
      <c r="E224" s="351"/>
      <c r="F224" s="351"/>
      <c r="G224" s="340"/>
      <c r="H224" s="352"/>
      <c r="I224" s="352"/>
      <c r="J224" s="352"/>
      <c r="K224" s="352"/>
      <c r="L224" s="355"/>
      <c r="M224" s="2"/>
    </row>
    <row r="225" spans="1:13" ht="15.75">
      <c r="A225" s="350"/>
      <c r="B225" s="351"/>
      <c r="C225" s="352"/>
      <c r="D225" s="352"/>
      <c r="E225" s="351"/>
      <c r="F225" s="351"/>
      <c r="G225" s="340"/>
      <c r="H225" s="352"/>
      <c r="I225" s="352"/>
      <c r="J225" s="352"/>
      <c r="K225" s="352"/>
      <c r="L225" s="355"/>
      <c r="M225" s="2"/>
    </row>
    <row r="226" spans="1:13" ht="15.75">
      <c r="A226" s="350"/>
      <c r="B226" s="351"/>
      <c r="C226" s="352"/>
      <c r="D226" s="352"/>
      <c r="E226" s="351"/>
      <c r="F226" s="351"/>
      <c r="G226" s="340"/>
      <c r="H226" s="352"/>
      <c r="I226" s="352"/>
      <c r="J226" s="352"/>
      <c r="K226" s="352"/>
      <c r="L226" s="355"/>
      <c r="M226" s="2"/>
    </row>
    <row r="227" spans="1:13" ht="15.75">
      <c r="A227" s="350"/>
      <c r="B227" s="351"/>
      <c r="C227" s="352"/>
      <c r="D227" s="352"/>
      <c r="E227" s="351"/>
      <c r="F227" s="351"/>
      <c r="G227" s="340"/>
      <c r="H227" s="352"/>
      <c r="I227" s="352"/>
      <c r="J227" s="352"/>
      <c r="K227" s="352"/>
      <c r="L227" s="355"/>
      <c r="M227" s="2"/>
    </row>
    <row r="228" spans="1:13" ht="15.75">
      <c r="A228" s="350"/>
      <c r="B228" s="351"/>
      <c r="C228" s="352"/>
      <c r="D228" s="352"/>
      <c r="E228" s="351"/>
      <c r="F228" s="351"/>
      <c r="G228" s="340"/>
      <c r="H228" s="352"/>
      <c r="I228" s="352"/>
      <c r="J228" s="352"/>
      <c r="K228" s="352"/>
      <c r="L228" s="355"/>
      <c r="M228" s="2"/>
    </row>
    <row r="229" spans="1:13" ht="15.75">
      <c r="A229" s="350"/>
      <c r="B229" s="351"/>
      <c r="C229" s="352"/>
      <c r="D229" s="352"/>
      <c r="E229" s="351"/>
      <c r="F229" s="351"/>
      <c r="G229" s="340"/>
      <c r="H229" s="352"/>
      <c r="I229" s="352"/>
      <c r="J229" s="352"/>
      <c r="K229" s="352"/>
      <c r="L229" s="355"/>
      <c r="M229" s="2"/>
    </row>
    <row r="230" spans="1:13" ht="15.75">
      <c r="A230" s="350"/>
      <c r="B230" s="351"/>
      <c r="C230" s="352"/>
      <c r="D230" s="352"/>
      <c r="E230" s="351"/>
      <c r="F230" s="351"/>
      <c r="G230" s="340"/>
      <c r="H230" s="352"/>
      <c r="I230" s="352"/>
      <c r="J230" s="352"/>
      <c r="K230" s="352"/>
      <c r="L230" s="355"/>
      <c r="M230" s="2"/>
    </row>
    <row r="231" spans="1:13" ht="15.75">
      <c r="A231" s="350"/>
      <c r="B231" s="351"/>
      <c r="C231" s="352"/>
      <c r="D231" s="352"/>
      <c r="E231" s="351"/>
      <c r="F231" s="351"/>
      <c r="G231" s="340"/>
      <c r="H231" s="352"/>
      <c r="I231" s="352"/>
      <c r="J231" s="352"/>
      <c r="K231" s="352"/>
      <c r="L231" s="355"/>
      <c r="M231" s="2"/>
    </row>
    <row r="232" spans="1:13" ht="15.75">
      <c r="A232" s="350"/>
      <c r="B232" s="351"/>
      <c r="C232" s="352"/>
      <c r="D232" s="352"/>
      <c r="E232" s="351"/>
      <c r="F232" s="351"/>
      <c r="G232" s="340"/>
      <c r="H232" s="352"/>
      <c r="I232" s="352"/>
      <c r="J232" s="352"/>
      <c r="K232" s="352"/>
      <c r="L232" s="355"/>
      <c r="M232" s="2"/>
    </row>
    <row r="233" spans="1:13" ht="15.75">
      <c r="A233" s="350"/>
      <c r="B233" s="351"/>
      <c r="C233" s="352"/>
      <c r="D233" s="352"/>
      <c r="E233" s="351"/>
      <c r="F233" s="351"/>
      <c r="G233" s="340"/>
      <c r="H233" s="352"/>
      <c r="I233" s="352"/>
      <c r="J233" s="352"/>
      <c r="K233" s="352"/>
      <c r="L233" s="355"/>
      <c r="M233" s="2"/>
    </row>
    <row r="234" spans="1:13" ht="15.75">
      <c r="A234" s="350"/>
      <c r="B234" s="351"/>
      <c r="C234" s="352"/>
      <c r="D234" s="352"/>
      <c r="E234" s="351"/>
      <c r="F234" s="351"/>
      <c r="G234" s="340"/>
      <c r="H234" s="352"/>
      <c r="I234" s="352"/>
      <c r="J234" s="352"/>
      <c r="K234" s="352"/>
      <c r="L234" s="355"/>
      <c r="M234" s="2"/>
    </row>
    <row r="235" spans="1:13" ht="15.75">
      <c r="A235" s="350"/>
      <c r="B235" s="351"/>
      <c r="C235" s="352"/>
      <c r="D235" s="352"/>
      <c r="E235" s="351"/>
      <c r="F235" s="351"/>
      <c r="G235" s="340"/>
      <c r="H235" s="352"/>
      <c r="I235" s="352"/>
      <c r="J235" s="352"/>
      <c r="K235" s="352"/>
      <c r="L235" s="355"/>
      <c r="M235" s="2"/>
    </row>
    <row r="236" spans="1:13" ht="15.75">
      <c r="A236" s="350"/>
      <c r="B236" s="351"/>
      <c r="C236" s="352"/>
      <c r="D236" s="352"/>
      <c r="E236" s="351"/>
      <c r="F236" s="351"/>
      <c r="G236" s="340"/>
      <c r="H236" s="352"/>
      <c r="I236" s="352"/>
      <c r="J236" s="352"/>
      <c r="K236" s="352"/>
      <c r="L236" s="355"/>
      <c r="M236" s="2"/>
    </row>
    <row r="237" spans="1:13" ht="15.75">
      <c r="A237" s="350"/>
      <c r="B237" s="351"/>
      <c r="C237" s="352"/>
      <c r="D237" s="352"/>
      <c r="E237" s="351"/>
      <c r="F237" s="351"/>
      <c r="G237" s="340"/>
      <c r="H237" s="352"/>
      <c r="I237" s="352"/>
      <c r="J237" s="352"/>
      <c r="K237" s="352"/>
      <c r="L237" s="355">
        <v>0</v>
      </c>
      <c r="M237" s="2"/>
    </row>
    <row r="238" spans="1:13" ht="15.75">
      <c r="A238" s="350"/>
      <c r="B238" s="351"/>
      <c r="C238" s="352"/>
      <c r="D238" s="352"/>
      <c r="E238" s="351"/>
      <c r="F238" s="351"/>
      <c r="G238" s="340"/>
      <c r="H238" s="352"/>
      <c r="I238" s="352"/>
      <c r="J238" s="352"/>
      <c r="K238" s="352"/>
      <c r="L238" s="355">
        <v>0</v>
      </c>
      <c r="M238" s="2"/>
    </row>
    <row r="239" spans="1:13" ht="15.75">
      <c r="A239" s="350"/>
      <c r="B239" s="351"/>
      <c r="C239" s="352"/>
      <c r="D239" s="352"/>
      <c r="E239" s="351"/>
      <c r="F239" s="351"/>
      <c r="G239" s="340"/>
      <c r="H239" s="352"/>
      <c r="I239" s="352"/>
      <c r="J239" s="352"/>
      <c r="K239" s="352"/>
      <c r="L239" s="355">
        <v>0</v>
      </c>
      <c r="M239" s="2"/>
    </row>
    <row r="240" spans="1:13" ht="15.75">
      <c r="A240" s="350"/>
      <c r="B240" s="351"/>
      <c r="C240" s="352"/>
      <c r="D240" s="352"/>
      <c r="E240" s="351"/>
      <c r="F240" s="351"/>
      <c r="G240" s="340"/>
      <c r="H240" s="352"/>
      <c r="I240" s="352"/>
      <c r="J240" s="352"/>
      <c r="K240" s="352"/>
      <c r="L240" s="355">
        <v>0</v>
      </c>
      <c r="M240" s="2"/>
    </row>
    <row r="241" spans="1:13" ht="15.75">
      <c r="A241" s="350"/>
      <c r="B241" s="351"/>
      <c r="C241" s="352"/>
      <c r="D241" s="352"/>
      <c r="E241" s="351"/>
      <c r="F241" s="351"/>
      <c r="G241" s="340"/>
      <c r="H241" s="352"/>
      <c r="I241" s="352"/>
      <c r="J241" s="352"/>
      <c r="K241" s="352"/>
      <c r="L241" s="355">
        <v>0</v>
      </c>
      <c r="M241" s="2"/>
    </row>
    <row r="242" spans="1:13" ht="15.75">
      <c r="A242" s="350"/>
      <c r="B242" s="351"/>
      <c r="C242" s="352"/>
      <c r="D242" s="352"/>
      <c r="E242" s="351"/>
      <c r="F242" s="351"/>
      <c r="G242" s="340"/>
      <c r="H242" s="352"/>
      <c r="I242" s="352"/>
      <c r="J242" s="352"/>
      <c r="K242" s="352"/>
      <c r="L242" s="355">
        <v>0</v>
      </c>
      <c r="M242" s="2"/>
    </row>
    <row r="243" spans="1:13" ht="15.75">
      <c r="A243" s="350"/>
      <c r="B243" s="351"/>
      <c r="C243" s="352"/>
      <c r="D243" s="352"/>
      <c r="E243" s="351"/>
      <c r="F243" s="351"/>
      <c r="G243" s="340"/>
      <c r="H243" s="352"/>
      <c r="I243" s="352"/>
      <c r="J243" s="352"/>
      <c r="K243" s="352"/>
      <c r="L243" s="355">
        <v>0</v>
      </c>
      <c r="M243" s="2"/>
    </row>
    <row r="244" spans="1:13" ht="15.75">
      <c r="A244" s="350"/>
      <c r="B244" s="351"/>
      <c r="C244" s="352"/>
      <c r="D244" s="352"/>
      <c r="E244" s="351"/>
      <c r="F244" s="351"/>
      <c r="G244" s="340"/>
      <c r="H244" s="352"/>
      <c r="I244" s="352"/>
      <c r="J244" s="352"/>
      <c r="K244" s="352"/>
      <c r="L244" s="355">
        <v>0</v>
      </c>
      <c r="M244" s="2"/>
    </row>
    <row r="245" spans="1:13" ht="15.75">
      <c r="A245" s="350"/>
      <c r="B245" s="351"/>
      <c r="C245" s="352"/>
      <c r="D245" s="352"/>
      <c r="E245" s="351"/>
      <c r="F245" s="351"/>
      <c r="G245" s="340"/>
      <c r="H245" s="352"/>
      <c r="I245" s="352"/>
      <c r="J245" s="352"/>
      <c r="K245" s="352"/>
      <c r="L245" s="355">
        <v>0</v>
      </c>
      <c r="M245" s="2"/>
    </row>
    <row r="246" spans="1:13" ht="15.75">
      <c r="A246" s="350"/>
      <c r="B246" s="351"/>
      <c r="C246" s="352"/>
      <c r="D246" s="352"/>
      <c r="E246" s="351"/>
      <c r="F246" s="351"/>
      <c r="G246" s="340"/>
      <c r="H246" s="352"/>
      <c r="I246" s="352"/>
      <c r="J246" s="352"/>
      <c r="K246" s="352"/>
      <c r="L246" s="355">
        <v>0</v>
      </c>
      <c r="M246" s="2"/>
    </row>
    <row r="247" spans="1:13" ht="15.75">
      <c r="A247" s="350"/>
      <c r="B247" s="351"/>
      <c r="C247" s="352"/>
      <c r="D247" s="352"/>
      <c r="E247" s="351"/>
      <c r="F247" s="351"/>
      <c r="G247" s="340"/>
      <c r="H247" s="352"/>
      <c r="I247" s="352"/>
      <c r="J247" s="352"/>
      <c r="K247" s="352"/>
      <c r="L247" s="355">
        <v>0</v>
      </c>
      <c r="M247" s="2"/>
    </row>
    <row r="248" spans="1:13" ht="15.75">
      <c r="A248" s="350"/>
      <c r="B248" s="351"/>
      <c r="C248" s="352"/>
      <c r="D248" s="352"/>
      <c r="E248" s="351"/>
      <c r="F248" s="351"/>
      <c r="G248" s="340"/>
      <c r="H248" s="352"/>
      <c r="I248" s="352"/>
      <c r="J248" s="352"/>
      <c r="K248" s="352"/>
      <c r="L248" s="355">
        <v>0</v>
      </c>
      <c r="M248" s="2"/>
    </row>
    <row r="249" spans="1:13" ht="15.75">
      <c r="A249" s="350"/>
      <c r="B249" s="351"/>
      <c r="C249" s="352"/>
      <c r="D249" s="352"/>
      <c r="E249" s="351"/>
      <c r="F249" s="351"/>
      <c r="G249" s="340"/>
      <c r="H249" s="352"/>
      <c r="I249" s="352"/>
      <c r="J249" s="352"/>
      <c r="K249" s="352"/>
      <c r="L249" s="355">
        <v>0</v>
      </c>
      <c r="M249" s="2"/>
    </row>
    <row r="250" spans="1:13" ht="15.75">
      <c r="A250" s="350"/>
      <c r="B250" s="351"/>
      <c r="C250" s="352"/>
      <c r="D250" s="352"/>
      <c r="E250" s="351"/>
      <c r="F250" s="351"/>
      <c r="G250" s="340"/>
      <c r="H250" s="352"/>
      <c r="I250" s="352"/>
      <c r="J250" s="352"/>
      <c r="K250" s="352"/>
      <c r="L250" s="355">
        <v>0</v>
      </c>
      <c r="M250" s="2"/>
    </row>
    <row r="251" spans="1:13" ht="15.75">
      <c r="A251" s="350"/>
      <c r="B251" s="351"/>
      <c r="C251" s="352"/>
      <c r="D251" s="352"/>
      <c r="E251" s="351"/>
      <c r="F251" s="351"/>
      <c r="G251" s="340"/>
      <c r="H251" s="352"/>
      <c r="I251" s="352"/>
      <c r="J251" s="352"/>
      <c r="K251" s="352"/>
      <c r="L251" s="355">
        <v>0</v>
      </c>
      <c r="M251" s="2"/>
    </row>
    <row r="252" spans="1:13" ht="15.75">
      <c r="A252" s="350"/>
      <c r="B252" s="351"/>
      <c r="C252" s="352"/>
      <c r="D252" s="352"/>
      <c r="E252" s="351"/>
      <c r="F252" s="351"/>
      <c r="G252" s="340"/>
      <c r="H252" s="352"/>
      <c r="I252" s="352"/>
      <c r="J252" s="352"/>
      <c r="K252" s="352"/>
      <c r="L252" s="355">
        <v>0</v>
      </c>
      <c r="M252" s="2"/>
    </row>
    <row r="253" spans="1:13" ht="15.75">
      <c r="A253" s="350"/>
      <c r="B253" s="351"/>
      <c r="C253" s="352"/>
      <c r="D253" s="352"/>
      <c r="E253" s="351"/>
      <c r="F253" s="351"/>
      <c r="G253" s="340"/>
      <c r="H253" s="352"/>
      <c r="I253" s="352"/>
      <c r="J253" s="352"/>
      <c r="K253" s="352"/>
      <c r="L253" s="355">
        <v>0</v>
      </c>
      <c r="M253" s="2"/>
    </row>
    <row r="254" spans="1:13" ht="15.75">
      <c r="A254" s="350"/>
      <c r="B254" s="351"/>
      <c r="C254" s="352"/>
      <c r="D254" s="352"/>
      <c r="E254" s="351"/>
      <c r="F254" s="351"/>
      <c r="G254" s="340"/>
      <c r="H254" s="352"/>
      <c r="I254" s="352"/>
      <c r="J254" s="352"/>
      <c r="K254" s="352"/>
      <c r="L254" s="355">
        <v>0</v>
      </c>
      <c r="M254" s="2"/>
    </row>
    <row r="255" spans="1:13" ht="15.75">
      <c r="A255" s="350"/>
      <c r="B255" s="351"/>
      <c r="C255" s="352"/>
      <c r="D255" s="352"/>
      <c r="E255" s="351"/>
      <c r="F255" s="351"/>
      <c r="G255" s="340"/>
      <c r="H255" s="352"/>
      <c r="I255" s="352"/>
      <c r="J255" s="352"/>
      <c r="K255" s="352"/>
      <c r="L255" s="355">
        <v>0</v>
      </c>
      <c r="M255" s="2"/>
    </row>
    <row r="256" spans="1:13" ht="15.75">
      <c r="A256" s="350"/>
      <c r="B256" s="351"/>
      <c r="C256" s="352"/>
      <c r="D256" s="352"/>
      <c r="E256" s="351"/>
      <c r="F256" s="351"/>
      <c r="G256" s="340"/>
      <c r="H256" s="352"/>
      <c r="I256" s="352"/>
      <c r="J256" s="352"/>
      <c r="K256" s="352"/>
      <c r="L256" s="355">
        <v>0</v>
      </c>
      <c r="M256" s="2"/>
    </row>
    <row r="257" spans="1:13" ht="15.75">
      <c r="A257" s="350"/>
      <c r="B257" s="351"/>
      <c r="C257" s="352"/>
      <c r="D257" s="352"/>
      <c r="E257" s="351"/>
      <c r="F257" s="351"/>
      <c r="G257" s="340"/>
      <c r="H257" s="352"/>
      <c r="I257" s="352"/>
      <c r="J257" s="352"/>
      <c r="K257" s="352"/>
      <c r="L257" s="355">
        <v>0</v>
      </c>
      <c r="M257" s="2"/>
    </row>
    <row r="258" spans="1:13" ht="15.75">
      <c r="A258" s="350"/>
      <c r="B258" s="351"/>
      <c r="C258" s="352"/>
      <c r="D258" s="352"/>
      <c r="E258" s="351"/>
      <c r="F258" s="351"/>
      <c r="G258" s="340"/>
      <c r="H258" s="352"/>
      <c r="I258" s="352"/>
      <c r="J258" s="352"/>
      <c r="K258" s="352"/>
      <c r="L258" s="355">
        <v>0</v>
      </c>
      <c r="M258" s="2"/>
    </row>
    <row r="259" spans="1:13" ht="15.75">
      <c r="A259" s="350"/>
      <c r="B259" s="351"/>
      <c r="C259" s="352"/>
      <c r="D259" s="352"/>
      <c r="E259" s="351"/>
      <c r="F259" s="351"/>
      <c r="G259" s="340"/>
      <c r="H259" s="352"/>
      <c r="I259" s="352"/>
      <c r="J259" s="352"/>
      <c r="K259" s="352"/>
      <c r="L259" s="355">
        <v>0</v>
      </c>
      <c r="M259" s="2"/>
    </row>
    <row r="260" spans="1:13" ht="15.75">
      <c r="A260" s="350"/>
      <c r="B260" s="351"/>
      <c r="C260" s="352"/>
      <c r="D260" s="352"/>
      <c r="E260" s="351"/>
      <c r="F260" s="351"/>
      <c r="G260" s="340"/>
      <c r="H260" s="352"/>
      <c r="I260" s="352"/>
      <c r="J260" s="352"/>
      <c r="K260" s="352"/>
      <c r="L260" s="355">
        <v>0</v>
      </c>
      <c r="M260" s="2"/>
    </row>
    <row r="261" spans="1:13" ht="15.75">
      <c r="A261" s="350"/>
      <c r="B261" s="351"/>
      <c r="C261" s="352"/>
      <c r="D261" s="352"/>
      <c r="E261" s="351"/>
      <c r="F261" s="351"/>
      <c r="G261" s="340"/>
      <c r="H261" s="352"/>
      <c r="I261" s="352"/>
      <c r="J261" s="352"/>
      <c r="K261" s="352"/>
      <c r="L261" s="355">
        <v>0</v>
      </c>
      <c r="M261" s="2"/>
    </row>
    <row r="262" spans="1:13" ht="15.75">
      <c r="A262" s="350"/>
      <c r="B262" s="351"/>
      <c r="C262" s="352"/>
      <c r="D262" s="352"/>
      <c r="E262" s="351"/>
      <c r="F262" s="351"/>
      <c r="G262" s="340"/>
      <c r="H262" s="352"/>
      <c r="I262" s="352"/>
      <c r="J262" s="352"/>
      <c r="K262" s="352"/>
      <c r="L262" s="355">
        <v>0</v>
      </c>
      <c r="M262" s="2"/>
    </row>
    <row r="263" spans="1:13" ht="15.75">
      <c r="A263" s="350"/>
      <c r="B263" s="351"/>
      <c r="C263" s="352"/>
      <c r="D263" s="352"/>
      <c r="E263" s="351"/>
      <c r="F263" s="351"/>
      <c r="G263" s="340"/>
      <c r="H263" s="352"/>
      <c r="I263" s="352"/>
      <c r="J263" s="352"/>
      <c r="K263" s="352"/>
      <c r="L263" s="355">
        <v>0</v>
      </c>
      <c r="M263" s="2"/>
    </row>
    <row r="264" spans="1:13" ht="15.75">
      <c r="A264" s="350"/>
      <c r="B264" s="351"/>
      <c r="C264" s="352"/>
      <c r="D264" s="352"/>
      <c r="E264" s="351"/>
      <c r="F264" s="351"/>
      <c r="G264" s="340"/>
      <c r="H264" s="352"/>
      <c r="I264" s="352"/>
      <c r="J264" s="352"/>
      <c r="K264" s="352"/>
      <c r="L264" s="355">
        <v>0</v>
      </c>
      <c r="M264" s="2"/>
    </row>
    <row r="265" spans="1:13" ht="15.75">
      <c r="A265" s="350"/>
      <c r="B265" s="351"/>
      <c r="C265" s="352"/>
      <c r="D265" s="352"/>
      <c r="E265" s="351"/>
      <c r="F265" s="351"/>
      <c r="G265" s="340"/>
      <c r="H265" s="352"/>
      <c r="I265" s="352"/>
      <c r="J265" s="352"/>
      <c r="K265" s="352"/>
      <c r="L265" s="355">
        <v>0</v>
      </c>
      <c r="M265" s="2"/>
    </row>
    <row r="266" spans="1:13" ht="15.75">
      <c r="A266" s="350"/>
      <c r="B266" s="351"/>
      <c r="C266" s="352"/>
      <c r="D266" s="352"/>
      <c r="E266" s="351"/>
      <c r="F266" s="351"/>
      <c r="G266" s="340"/>
      <c r="H266" s="352"/>
      <c r="I266" s="352"/>
      <c r="J266" s="352"/>
      <c r="K266" s="352"/>
      <c r="L266" s="355">
        <v>0</v>
      </c>
      <c r="M266" s="2"/>
    </row>
    <row r="267" spans="1:13" ht="15.75">
      <c r="A267" s="350"/>
      <c r="B267" s="351"/>
      <c r="C267" s="352"/>
      <c r="D267" s="352"/>
      <c r="E267" s="351"/>
      <c r="F267" s="351"/>
      <c r="G267" s="340"/>
      <c r="H267" s="352"/>
      <c r="I267" s="352"/>
      <c r="J267" s="352"/>
      <c r="K267" s="352"/>
      <c r="L267" s="355">
        <v>0</v>
      </c>
      <c r="M267" s="2"/>
    </row>
    <row r="268" spans="1:13" ht="15.75">
      <c r="A268" s="350"/>
      <c r="B268" s="351"/>
      <c r="C268" s="352"/>
      <c r="D268" s="352"/>
      <c r="E268" s="351"/>
      <c r="F268" s="351"/>
      <c r="G268" s="340"/>
      <c r="H268" s="352"/>
      <c r="I268" s="352"/>
      <c r="J268" s="352"/>
      <c r="K268" s="352"/>
      <c r="L268" s="355">
        <v>0</v>
      </c>
      <c r="M268" s="2"/>
    </row>
    <row r="269" spans="1:13" ht="15.75">
      <c r="A269" s="350"/>
      <c r="B269" s="351"/>
      <c r="C269" s="352"/>
      <c r="D269" s="352"/>
      <c r="E269" s="351"/>
      <c r="F269" s="351"/>
      <c r="G269" s="340"/>
      <c r="H269" s="352"/>
      <c r="I269" s="352"/>
      <c r="J269" s="352"/>
      <c r="K269" s="352"/>
      <c r="L269" s="355">
        <v>0</v>
      </c>
      <c r="M269" s="2"/>
    </row>
    <row r="270" spans="1:13" ht="15.75">
      <c r="A270" s="350"/>
      <c r="B270" s="351"/>
      <c r="C270" s="352"/>
      <c r="D270" s="352"/>
      <c r="E270" s="351"/>
      <c r="F270" s="351"/>
      <c r="G270" s="340"/>
      <c r="H270" s="352"/>
      <c r="I270" s="352"/>
      <c r="J270" s="352"/>
      <c r="K270" s="352"/>
      <c r="L270" s="355">
        <v>0</v>
      </c>
      <c r="M270" s="2"/>
    </row>
    <row r="271" spans="1:13" ht="15.75">
      <c r="A271" s="350"/>
      <c r="B271" s="351"/>
      <c r="C271" s="352"/>
      <c r="D271" s="352"/>
      <c r="E271" s="351"/>
      <c r="F271" s="351"/>
      <c r="G271" s="340"/>
      <c r="H271" s="352"/>
      <c r="I271" s="352"/>
      <c r="J271" s="352"/>
      <c r="K271" s="352"/>
      <c r="L271" s="355">
        <v>0</v>
      </c>
      <c r="M271" s="2"/>
    </row>
    <row r="272" spans="1:13" ht="15.75">
      <c r="A272" s="350"/>
      <c r="B272" s="351"/>
      <c r="C272" s="352"/>
      <c r="D272" s="352"/>
      <c r="E272" s="351"/>
      <c r="F272" s="351"/>
      <c r="G272" s="340"/>
      <c r="H272" s="352"/>
      <c r="I272" s="352"/>
      <c r="J272" s="352"/>
      <c r="K272" s="352"/>
      <c r="L272" s="355">
        <v>0</v>
      </c>
      <c r="M272" s="2"/>
    </row>
    <row r="273" spans="1:13" ht="15.75">
      <c r="A273" s="350"/>
      <c r="B273" s="351"/>
      <c r="C273" s="352"/>
      <c r="D273" s="352"/>
      <c r="E273" s="351"/>
      <c r="F273" s="351"/>
      <c r="G273" s="340"/>
      <c r="H273" s="352"/>
      <c r="I273" s="352"/>
      <c r="J273" s="352"/>
      <c r="K273" s="352"/>
      <c r="L273" s="355">
        <v>0</v>
      </c>
      <c r="M273" s="2"/>
    </row>
    <row r="274" spans="1:13" ht="15.75">
      <c r="A274" s="350"/>
      <c r="B274" s="351"/>
      <c r="C274" s="352"/>
      <c r="D274" s="352"/>
      <c r="E274" s="351"/>
      <c r="F274" s="351"/>
      <c r="G274" s="340"/>
      <c r="H274" s="352"/>
      <c r="I274" s="352"/>
      <c r="J274" s="352"/>
      <c r="K274" s="352"/>
      <c r="L274" s="355">
        <v>0</v>
      </c>
      <c r="M274" s="2"/>
    </row>
    <row r="275" spans="1:13" ht="15.75">
      <c r="A275" s="350"/>
      <c r="B275" s="351"/>
      <c r="C275" s="352"/>
      <c r="D275" s="352"/>
      <c r="E275" s="351"/>
      <c r="F275" s="351"/>
      <c r="G275" s="340"/>
      <c r="H275" s="352"/>
      <c r="I275" s="352"/>
      <c r="J275" s="352"/>
      <c r="K275" s="352"/>
      <c r="L275" s="355">
        <v>0</v>
      </c>
      <c r="M275" s="2"/>
    </row>
    <row r="276" spans="1:13" ht="15.75">
      <c r="A276" s="350"/>
      <c r="B276" s="351"/>
      <c r="C276" s="352"/>
      <c r="D276" s="352"/>
      <c r="E276" s="351"/>
      <c r="F276" s="351"/>
      <c r="G276" s="340"/>
      <c r="H276" s="352"/>
      <c r="I276" s="352"/>
      <c r="J276" s="352"/>
      <c r="K276" s="352"/>
      <c r="L276" s="355">
        <v>0</v>
      </c>
      <c r="M276" s="2"/>
    </row>
    <row r="277" spans="1:13" ht="15.75">
      <c r="A277" s="350"/>
      <c r="B277" s="351"/>
      <c r="C277" s="352"/>
      <c r="D277" s="352"/>
      <c r="E277" s="351"/>
      <c r="F277" s="351"/>
      <c r="G277" s="340"/>
      <c r="H277" s="352"/>
      <c r="I277" s="352"/>
      <c r="J277" s="352"/>
      <c r="K277" s="352"/>
      <c r="L277" s="355">
        <v>0</v>
      </c>
      <c r="M277" s="2"/>
    </row>
    <row r="278" spans="1:13" ht="15.75">
      <c r="A278" s="350"/>
      <c r="B278" s="351"/>
      <c r="C278" s="352"/>
      <c r="D278" s="352"/>
      <c r="E278" s="351"/>
      <c r="F278" s="351"/>
      <c r="G278" s="340"/>
      <c r="H278" s="352"/>
      <c r="I278" s="352"/>
      <c r="J278" s="352"/>
      <c r="K278" s="352"/>
      <c r="L278" s="355">
        <v>0</v>
      </c>
      <c r="M278" s="2"/>
    </row>
    <row r="279" spans="1:13" ht="15.75">
      <c r="A279" s="350"/>
      <c r="B279" s="351"/>
      <c r="C279" s="352"/>
      <c r="D279" s="352"/>
      <c r="E279" s="351"/>
      <c r="F279" s="351"/>
      <c r="G279" s="340"/>
      <c r="H279" s="352"/>
      <c r="I279" s="352"/>
      <c r="J279" s="352"/>
      <c r="K279" s="352"/>
      <c r="L279" s="355">
        <v>0</v>
      </c>
      <c r="M279" s="2"/>
    </row>
    <row r="280" spans="1:13" ht="15.75">
      <c r="A280" s="350"/>
      <c r="B280" s="351"/>
      <c r="C280" s="352"/>
      <c r="D280" s="352"/>
      <c r="E280" s="351"/>
      <c r="F280" s="351"/>
      <c r="G280" s="340"/>
      <c r="H280" s="352"/>
      <c r="I280" s="352"/>
      <c r="J280" s="352"/>
      <c r="K280" s="352"/>
      <c r="L280" s="355">
        <v>0</v>
      </c>
      <c r="M280" s="2"/>
    </row>
    <row r="281" spans="1:13" ht="15.75">
      <c r="A281" s="350"/>
      <c r="B281" s="351"/>
      <c r="C281" s="352"/>
      <c r="D281" s="352"/>
      <c r="E281" s="351"/>
      <c r="F281" s="351"/>
      <c r="G281" s="340"/>
      <c r="H281" s="352"/>
      <c r="I281" s="352"/>
      <c r="J281" s="352"/>
      <c r="K281" s="352"/>
      <c r="L281" s="355">
        <v>0</v>
      </c>
      <c r="M281" s="2"/>
    </row>
    <row r="282" spans="1:13" ht="15.75">
      <c r="A282" s="350"/>
      <c r="B282" s="351"/>
      <c r="C282" s="352"/>
      <c r="D282" s="352"/>
      <c r="E282" s="351"/>
      <c r="F282" s="351"/>
      <c r="G282" s="340"/>
      <c r="H282" s="352"/>
      <c r="I282" s="352"/>
      <c r="J282" s="352"/>
      <c r="K282" s="352"/>
      <c r="L282" s="355">
        <v>0</v>
      </c>
      <c r="M282" s="2"/>
    </row>
    <row r="283" spans="1:13" ht="15.75">
      <c r="A283" s="350"/>
      <c r="B283" s="351"/>
      <c r="C283" s="352"/>
      <c r="D283" s="352"/>
      <c r="E283" s="351"/>
      <c r="F283" s="351"/>
      <c r="G283" s="340"/>
      <c r="H283" s="352"/>
      <c r="I283" s="352"/>
      <c r="J283" s="352"/>
      <c r="K283" s="352"/>
      <c r="L283" s="355">
        <v>0</v>
      </c>
      <c r="M283" s="2"/>
    </row>
    <row r="284" spans="1:13" ht="15.75">
      <c r="A284" s="350"/>
      <c r="B284" s="351"/>
      <c r="C284" s="352"/>
      <c r="D284" s="352"/>
      <c r="E284" s="351"/>
      <c r="F284" s="351"/>
      <c r="G284" s="340"/>
      <c r="H284" s="352"/>
      <c r="I284" s="352"/>
      <c r="J284" s="352"/>
      <c r="K284" s="352"/>
      <c r="L284" s="355">
        <v>0</v>
      </c>
      <c r="M284" s="2"/>
    </row>
    <row r="285" spans="1:13" ht="15.75">
      <c r="A285" s="350"/>
      <c r="B285" s="351"/>
      <c r="C285" s="352"/>
      <c r="D285" s="352"/>
      <c r="E285" s="351"/>
      <c r="F285" s="351"/>
      <c r="G285" s="340"/>
      <c r="H285" s="352"/>
      <c r="I285" s="352"/>
      <c r="J285" s="352"/>
      <c r="K285" s="352"/>
      <c r="L285" s="355">
        <v>0</v>
      </c>
      <c r="M285" s="2"/>
    </row>
    <row r="286" spans="1:13" ht="15.75">
      <c r="A286" s="350"/>
      <c r="B286" s="351"/>
      <c r="C286" s="352"/>
      <c r="D286" s="352"/>
      <c r="E286" s="351"/>
      <c r="F286" s="351"/>
      <c r="G286" s="340"/>
      <c r="H286" s="352"/>
      <c r="I286" s="352"/>
      <c r="J286" s="352"/>
      <c r="K286" s="352"/>
      <c r="L286" s="355">
        <v>0</v>
      </c>
      <c r="M286" s="2"/>
    </row>
    <row r="287" spans="1:13" ht="15.75">
      <c r="A287" s="350"/>
      <c r="B287" s="351"/>
      <c r="C287" s="352"/>
      <c r="D287" s="352"/>
      <c r="E287" s="351"/>
      <c r="F287" s="351"/>
      <c r="G287" s="340"/>
      <c r="H287" s="352"/>
      <c r="I287" s="352"/>
      <c r="J287" s="352"/>
      <c r="K287" s="352"/>
      <c r="L287" s="355">
        <v>0</v>
      </c>
      <c r="M287" s="2"/>
    </row>
    <row r="288" spans="1:13" ht="15.75">
      <c r="A288" s="350"/>
      <c r="B288" s="351"/>
      <c r="C288" s="352"/>
      <c r="D288" s="352"/>
      <c r="E288" s="351"/>
      <c r="F288" s="351"/>
      <c r="G288" s="340"/>
      <c r="H288" s="352"/>
      <c r="I288" s="352"/>
      <c r="J288" s="352"/>
      <c r="K288" s="352"/>
      <c r="L288" s="355">
        <v>0</v>
      </c>
      <c r="M288" s="2"/>
    </row>
    <row r="289" spans="1:13" ht="15.75">
      <c r="A289" s="350"/>
      <c r="B289" s="351"/>
      <c r="C289" s="352"/>
      <c r="D289" s="352"/>
      <c r="E289" s="351"/>
      <c r="F289" s="351"/>
      <c r="G289" s="340"/>
      <c r="H289" s="352"/>
      <c r="I289" s="352"/>
      <c r="J289" s="352"/>
      <c r="K289" s="352"/>
      <c r="L289" s="355">
        <v>0</v>
      </c>
      <c r="M289" s="2"/>
    </row>
    <row r="290" spans="1:13" ht="15.75">
      <c r="A290" s="350"/>
      <c r="B290" s="351"/>
      <c r="C290" s="352"/>
      <c r="D290" s="352"/>
      <c r="E290" s="351"/>
      <c r="F290" s="351"/>
      <c r="G290" s="340"/>
      <c r="H290" s="352"/>
      <c r="I290" s="352"/>
      <c r="J290" s="352"/>
      <c r="K290" s="352"/>
      <c r="L290" s="355">
        <v>0</v>
      </c>
      <c r="M290" s="2"/>
    </row>
    <row r="291" spans="1:13" ht="15.75">
      <c r="A291" s="350"/>
      <c r="B291" s="351"/>
      <c r="C291" s="352"/>
      <c r="D291" s="352"/>
      <c r="E291" s="351"/>
      <c r="F291" s="351"/>
      <c r="G291" s="340"/>
      <c r="H291" s="352"/>
      <c r="I291" s="352"/>
      <c r="J291" s="352"/>
      <c r="K291" s="352"/>
      <c r="L291" s="355">
        <v>0</v>
      </c>
      <c r="M291" s="2"/>
    </row>
    <row r="292" spans="1:13" ht="15.75">
      <c r="A292" s="350"/>
      <c r="B292" s="351"/>
      <c r="C292" s="352"/>
      <c r="D292" s="352"/>
      <c r="E292" s="351"/>
      <c r="F292" s="351"/>
      <c r="G292" s="340"/>
      <c r="H292" s="352"/>
      <c r="I292" s="352"/>
      <c r="J292" s="352"/>
      <c r="K292" s="352"/>
      <c r="L292" s="355">
        <v>0</v>
      </c>
      <c r="M292" s="2"/>
    </row>
    <row r="293" spans="1:13" ht="15.75">
      <c r="A293" s="350"/>
      <c r="B293" s="351"/>
      <c r="C293" s="352"/>
      <c r="D293" s="352"/>
      <c r="E293" s="351"/>
      <c r="F293" s="351"/>
      <c r="G293" s="340"/>
      <c r="H293" s="352"/>
      <c r="I293" s="352"/>
      <c r="J293" s="352"/>
      <c r="K293" s="352"/>
      <c r="L293" s="355">
        <v>0</v>
      </c>
      <c r="M293" s="2"/>
    </row>
    <row r="294" spans="1:13" ht="15.75">
      <c r="A294" s="350"/>
      <c r="B294" s="351"/>
      <c r="C294" s="352"/>
      <c r="D294" s="352"/>
      <c r="E294" s="351"/>
      <c r="F294" s="351"/>
      <c r="G294" s="340"/>
      <c r="H294" s="352"/>
      <c r="I294" s="352"/>
      <c r="J294" s="352"/>
      <c r="K294" s="352"/>
      <c r="L294" s="355">
        <v>0</v>
      </c>
      <c r="M294" s="2"/>
    </row>
    <row r="295" spans="1:13" ht="15.75">
      <c r="A295" s="350"/>
      <c r="B295" s="351"/>
      <c r="C295" s="352"/>
      <c r="D295" s="352"/>
      <c r="E295" s="351"/>
      <c r="F295" s="351"/>
      <c r="G295" s="340"/>
      <c r="H295" s="352"/>
      <c r="I295" s="352"/>
      <c r="J295" s="352"/>
      <c r="K295" s="352"/>
      <c r="L295" s="355">
        <v>0</v>
      </c>
      <c r="M295" s="2"/>
    </row>
    <row r="296" spans="1:13" ht="15.75">
      <c r="A296" s="350"/>
      <c r="B296" s="351"/>
      <c r="C296" s="352"/>
      <c r="D296" s="352"/>
      <c r="E296" s="351"/>
      <c r="F296" s="351"/>
      <c r="G296" s="340"/>
      <c r="H296" s="352"/>
      <c r="I296" s="352"/>
      <c r="J296" s="352"/>
      <c r="K296" s="352"/>
      <c r="L296" s="355">
        <v>0</v>
      </c>
      <c r="M296" s="2"/>
    </row>
    <row r="297" spans="1:13" ht="15.75">
      <c r="A297" s="350"/>
      <c r="B297" s="351"/>
      <c r="C297" s="352"/>
      <c r="D297" s="352"/>
      <c r="E297" s="351"/>
      <c r="F297" s="351"/>
      <c r="G297" s="340"/>
      <c r="H297" s="352"/>
      <c r="I297" s="352"/>
      <c r="J297" s="352"/>
      <c r="K297" s="352"/>
      <c r="L297" s="355">
        <v>0</v>
      </c>
      <c r="M297" s="2"/>
    </row>
    <row r="298" spans="1:13" ht="15.75">
      <c r="A298" s="350"/>
      <c r="B298" s="351"/>
      <c r="C298" s="352"/>
      <c r="D298" s="352"/>
      <c r="E298" s="351"/>
      <c r="F298" s="351"/>
      <c r="G298" s="340"/>
      <c r="H298" s="352"/>
      <c r="I298" s="352"/>
      <c r="J298" s="352"/>
      <c r="K298" s="352"/>
      <c r="L298" s="355">
        <v>0</v>
      </c>
      <c r="M298" s="2"/>
    </row>
    <row r="299" spans="1:13" ht="15.75">
      <c r="A299" s="350"/>
      <c r="B299" s="351"/>
      <c r="C299" s="352"/>
      <c r="D299" s="352"/>
      <c r="E299" s="351"/>
      <c r="F299" s="351"/>
      <c r="G299" s="340"/>
      <c r="H299" s="352"/>
      <c r="I299" s="352"/>
      <c r="J299" s="352"/>
      <c r="K299" s="352"/>
      <c r="L299" s="355">
        <v>0</v>
      </c>
      <c r="M299" s="2"/>
    </row>
    <row r="300" spans="1:13" ht="15.75">
      <c r="A300" s="350"/>
      <c r="B300" s="351"/>
      <c r="C300" s="352"/>
      <c r="D300" s="352"/>
      <c r="E300" s="351"/>
      <c r="F300" s="351"/>
      <c r="G300" s="340"/>
      <c r="H300" s="352"/>
      <c r="I300" s="352"/>
      <c r="J300" s="352"/>
      <c r="K300" s="352"/>
      <c r="L300" s="355">
        <v>0</v>
      </c>
      <c r="M300" s="2"/>
    </row>
    <row r="301" spans="1:13" ht="15.75">
      <c r="A301" s="350"/>
      <c r="B301" s="351"/>
      <c r="C301" s="352"/>
      <c r="D301" s="352"/>
      <c r="E301" s="351"/>
      <c r="F301" s="351"/>
      <c r="G301" s="340"/>
      <c r="H301" s="352"/>
      <c r="I301" s="352"/>
      <c r="J301" s="352"/>
      <c r="K301" s="352"/>
      <c r="L301" s="355">
        <v>0</v>
      </c>
      <c r="M301" s="2"/>
    </row>
    <row r="302" spans="1:13" ht="15.75">
      <c r="A302" s="350"/>
      <c r="B302" s="351"/>
      <c r="C302" s="352"/>
      <c r="D302" s="352"/>
      <c r="E302" s="351"/>
      <c r="F302" s="351"/>
      <c r="G302" s="340"/>
      <c r="H302" s="352"/>
      <c r="I302" s="352"/>
      <c r="J302" s="352"/>
      <c r="K302" s="352"/>
      <c r="L302" s="355">
        <v>0</v>
      </c>
      <c r="M302" s="2"/>
    </row>
    <row r="303" spans="1:13" ht="15.75">
      <c r="A303" s="350"/>
      <c r="B303" s="351"/>
      <c r="C303" s="352"/>
      <c r="D303" s="352"/>
      <c r="E303" s="351"/>
      <c r="F303" s="351"/>
      <c r="G303" s="340"/>
      <c r="H303" s="352"/>
      <c r="I303" s="352"/>
      <c r="J303" s="352"/>
      <c r="K303" s="352"/>
      <c r="L303" s="355">
        <v>0</v>
      </c>
      <c r="M303" s="2"/>
    </row>
    <row r="304" spans="1:13" ht="15.75">
      <c r="A304" s="350"/>
      <c r="B304" s="351"/>
      <c r="C304" s="352"/>
      <c r="D304" s="352"/>
      <c r="E304" s="351"/>
      <c r="F304" s="351"/>
      <c r="G304" s="340"/>
      <c r="H304" s="352"/>
      <c r="I304" s="352"/>
      <c r="J304" s="352"/>
      <c r="K304" s="352"/>
      <c r="L304" s="355">
        <v>0</v>
      </c>
      <c r="M304" s="2"/>
    </row>
    <row r="305" spans="1:13" ht="15.75">
      <c r="A305" s="350"/>
      <c r="B305" s="351"/>
      <c r="C305" s="352"/>
      <c r="D305" s="352"/>
      <c r="E305" s="351"/>
      <c r="F305" s="351"/>
      <c r="G305" s="340"/>
      <c r="H305" s="352"/>
      <c r="I305" s="352"/>
      <c r="J305" s="352"/>
      <c r="K305" s="352"/>
      <c r="L305" s="355">
        <v>0</v>
      </c>
      <c r="M305" s="2"/>
    </row>
    <row r="306" spans="1:13" ht="15.75">
      <c r="A306" s="350"/>
      <c r="B306" s="351"/>
      <c r="C306" s="352"/>
      <c r="D306" s="352"/>
      <c r="E306" s="351"/>
      <c r="F306" s="351"/>
      <c r="G306" s="340"/>
      <c r="H306" s="352"/>
      <c r="I306" s="352"/>
      <c r="J306" s="352"/>
      <c r="K306" s="352"/>
      <c r="L306" s="355">
        <v>0</v>
      </c>
      <c r="M306" s="2"/>
    </row>
    <row r="307" spans="1:13" ht="15.75">
      <c r="A307" s="350"/>
      <c r="B307" s="351"/>
      <c r="C307" s="352"/>
      <c r="D307" s="352"/>
      <c r="E307" s="351"/>
      <c r="F307" s="351"/>
      <c r="G307" s="340"/>
      <c r="H307" s="352"/>
      <c r="I307" s="352"/>
      <c r="J307" s="352"/>
      <c r="K307" s="352"/>
      <c r="L307" s="355">
        <v>0</v>
      </c>
      <c r="M307" s="2"/>
    </row>
    <row r="308" spans="1:13" ht="15.75">
      <c r="A308" s="350"/>
      <c r="B308" s="351"/>
      <c r="C308" s="352"/>
      <c r="D308" s="352"/>
      <c r="E308" s="351"/>
      <c r="F308" s="351"/>
      <c r="G308" s="340"/>
      <c r="H308" s="352"/>
      <c r="I308" s="352"/>
      <c r="J308" s="352"/>
      <c r="K308" s="352"/>
      <c r="L308" s="355">
        <v>0</v>
      </c>
      <c r="M308" s="2"/>
    </row>
    <row r="309" spans="1:13" ht="15.75">
      <c r="A309" s="350"/>
      <c r="B309" s="351"/>
      <c r="C309" s="352"/>
      <c r="D309" s="352"/>
      <c r="E309" s="351"/>
      <c r="F309" s="351"/>
      <c r="G309" s="340"/>
      <c r="H309" s="352"/>
      <c r="I309" s="352"/>
      <c r="J309" s="352"/>
      <c r="K309" s="352"/>
      <c r="L309" s="355">
        <v>0</v>
      </c>
      <c r="M309" s="2"/>
    </row>
    <row r="310" spans="1:13" ht="15.75">
      <c r="A310" s="350"/>
      <c r="B310" s="351"/>
      <c r="C310" s="352"/>
      <c r="D310" s="352"/>
      <c r="E310" s="351"/>
      <c r="F310" s="351"/>
      <c r="G310" s="340"/>
      <c r="H310" s="352"/>
      <c r="I310" s="352"/>
      <c r="J310" s="352"/>
      <c r="K310" s="352"/>
      <c r="L310" s="355">
        <v>0</v>
      </c>
      <c r="M310" s="2"/>
    </row>
    <row r="311" spans="1:13" ht="15.75">
      <c r="A311" s="350"/>
      <c r="B311" s="351"/>
      <c r="C311" s="352"/>
      <c r="D311" s="352"/>
      <c r="E311" s="351"/>
      <c r="F311" s="351"/>
      <c r="G311" s="340"/>
      <c r="H311" s="352"/>
      <c r="I311" s="352"/>
      <c r="J311" s="352"/>
      <c r="K311" s="352"/>
      <c r="L311" s="355">
        <v>0</v>
      </c>
      <c r="M311" s="2"/>
    </row>
    <row r="312" spans="1:13" ht="15.75">
      <c r="A312" s="350"/>
      <c r="B312" s="351"/>
      <c r="C312" s="352"/>
      <c r="D312" s="352"/>
      <c r="E312" s="351"/>
      <c r="F312" s="351"/>
      <c r="G312" s="340"/>
      <c r="H312" s="352"/>
      <c r="I312" s="352"/>
      <c r="J312" s="352"/>
      <c r="K312" s="352"/>
      <c r="L312" s="355">
        <v>0</v>
      </c>
      <c r="M312" s="2"/>
    </row>
    <row r="313" spans="1:13" ht="15.75">
      <c r="A313" s="350"/>
      <c r="B313" s="351"/>
      <c r="C313" s="352"/>
      <c r="D313" s="352"/>
      <c r="E313" s="351"/>
      <c r="F313" s="351"/>
      <c r="G313" s="340"/>
      <c r="H313" s="352"/>
      <c r="I313" s="352"/>
      <c r="J313" s="352"/>
      <c r="K313" s="352"/>
      <c r="L313" s="355">
        <v>0</v>
      </c>
      <c r="M313" s="2"/>
    </row>
    <row r="314" spans="1:13" ht="15.75">
      <c r="A314" s="350"/>
      <c r="B314" s="351"/>
      <c r="C314" s="352"/>
      <c r="D314" s="352"/>
      <c r="E314" s="351"/>
      <c r="F314" s="351"/>
      <c r="G314" s="340"/>
      <c r="H314" s="352"/>
      <c r="I314" s="352"/>
      <c r="J314" s="352"/>
      <c r="K314" s="352"/>
      <c r="L314" s="355">
        <v>0</v>
      </c>
      <c r="M314" s="2"/>
    </row>
    <row r="315" spans="1:13" ht="15.75">
      <c r="A315" s="350"/>
      <c r="B315" s="351"/>
      <c r="C315" s="352"/>
      <c r="D315" s="352"/>
      <c r="E315" s="351"/>
      <c r="F315" s="351"/>
      <c r="G315" s="340"/>
      <c r="H315" s="352"/>
      <c r="I315" s="352"/>
      <c r="J315" s="352"/>
      <c r="K315" s="352"/>
      <c r="L315" s="355">
        <v>0</v>
      </c>
      <c r="M315" s="2"/>
    </row>
    <row r="316" spans="1:13" ht="15.75">
      <c r="A316" s="350"/>
      <c r="B316" s="351"/>
      <c r="C316" s="352"/>
      <c r="D316" s="352"/>
      <c r="E316" s="351"/>
      <c r="F316" s="351"/>
      <c r="G316" s="340"/>
      <c r="H316" s="352"/>
      <c r="I316" s="352"/>
      <c r="J316" s="352"/>
      <c r="K316" s="352"/>
      <c r="L316" s="355">
        <v>0</v>
      </c>
      <c r="M316" s="2"/>
    </row>
    <row r="317" spans="1:13" ht="15.75">
      <c r="A317" s="350"/>
      <c r="B317" s="351"/>
      <c r="C317" s="352"/>
      <c r="D317" s="352"/>
      <c r="E317" s="351"/>
      <c r="F317" s="351"/>
      <c r="G317" s="340"/>
      <c r="H317" s="352"/>
      <c r="I317" s="352"/>
      <c r="J317" s="352"/>
      <c r="K317" s="352"/>
      <c r="L317" s="355">
        <v>0</v>
      </c>
      <c r="M317" s="2"/>
    </row>
    <row r="318" spans="1:13" ht="15.75">
      <c r="A318" s="350"/>
      <c r="B318" s="351"/>
      <c r="C318" s="352"/>
      <c r="D318" s="352"/>
      <c r="E318" s="351"/>
      <c r="F318" s="351"/>
      <c r="G318" s="340"/>
      <c r="H318" s="352"/>
      <c r="I318" s="352"/>
      <c r="J318" s="352"/>
      <c r="K318" s="352"/>
      <c r="L318" s="355">
        <v>0</v>
      </c>
      <c r="M318" s="2"/>
    </row>
    <row r="319" spans="1:13" ht="15.75">
      <c r="A319" s="350"/>
      <c r="B319" s="351"/>
      <c r="C319" s="352"/>
      <c r="D319" s="352"/>
      <c r="E319" s="351"/>
      <c r="F319" s="351"/>
      <c r="G319" s="340"/>
      <c r="H319" s="352"/>
      <c r="I319" s="352"/>
      <c r="J319" s="352"/>
      <c r="K319" s="352"/>
      <c r="L319" s="355">
        <v>0</v>
      </c>
      <c r="M319" s="2"/>
    </row>
    <row r="320" spans="1:13" ht="15.75">
      <c r="A320" s="350"/>
      <c r="B320" s="351"/>
      <c r="C320" s="352"/>
      <c r="D320" s="352"/>
      <c r="E320" s="351"/>
      <c r="F320" s="351"/>
      <c r="G320" s="340"/>
      <c r="H320" s="352"/>
      <c r="I320" s="352"/>
      <c r="J320" s="352"/>
      <c r="K320" s="352"/>
      <c r="L320" s="355">
        <v>0</v>
      </c>
      <c r="M320" s="2"/>
    </row>
    <row r="321" spans="1:13" ht="15.75">
      <c r="A321" s="350"/>
      <c r="B321" s="351"/>
      <c r="C321" s="352"/>
      <c r="D321" s="352"/>
      <c r="E321" s="351"/>
      <c r="F321" s="351"/>
      <c r="G321" s="340"/>
      <c r="H321" s="352"/>
      <c r="I321" s="352"/>
      <c r="J321" s="352"/>
      <c r="K321" s="352"/>
      <c r="L321" s="355">
        <v>0</v>
      </c>
      <c r="M321" s="2"/>
    </row>
    <row r="322" spans="1:13" ht="15.75">
      <c r="A322" s="350"/>
      <c r="B322" s="351"/>
      <c r="C322" s="352"/>
      <c r="D322" s="352"/>
      <c r="E322" s="351"/>
      <c r="F322" s="351"/>
      <c r="G322" s="340"/>
      <c r="H322" s="352"/>
      <c r="I322" s="352"/>
      <c r="J322" s="352"/>
      <c r="K322" s="352"/>
      <c r="L322" s="355">
        <v>0</v>
      </c>
      <c r="M322" s="2"/>
    </row>
    <row r="323" spans="1:13" ht="15.75">
      <c r="A323" s="350"/>
      <c r="B323" s="351"/>
      <c r="C323" s="352"/>
      <c r="D323" s="352"/>
      <c r="E323" s="351"/>
      <c r="F323" s="351"/>
      <c r="G323" s="340"/>
      <c r="H323" s="352"/>
      <c r="I323" s="352"/>
      <c r="J323" s="352"/>
      <c r="K323" s="352"/>
      <c r="L323" s="355">
        <v>0</v>
      </c>
      <c r="M323" s="2"/>
    </row>
    <row r="324" spans="1:13" ht="15.75">
      <c r="A324" s="350"/>
      <c r="B324" s="351"/>
      <c r="C324" s="352"/>
      <c r="D324" s="352"/>
      <c r="E324" s="351"/>
      <c r="F324" s="351"/>
      <c r="G324" s="340"/>
      <c r="H324" s="352"/>
      <c r="I324" s="352"/>
      <c r="J324" s="352"/>
      <c r="K324" s="352"/>
      <c r="L324" s="355">
        <v>0</v>
      </c>
      <c r="M324" s="2"/>
    </row>
    <row r="325" spans="1:13" ht="15.75">
      <c r="A325" s="350"/>
      <c r="B325" s="351"/>
      <c r="C325" s="352"/>
      <c r="D325" s="352"/>
      <c r="E325" s="351"/>
      <c r="F325" s="351"/>
      <c r="G325" s="340"/>
      <c r="H325" s="352"/>
      <c r="I325" s="352"/>
      <c r="J325" s="352"/>
      <c r="K325" s="352"/>
      <c r="L325" s="355">
        <v>0</v>
      </c>
      <c r="M325" s="2"/>
    </row>
    <row r="326" spans="1:13" ht="15.75">
      <c r="A326" s="350"/>
      <c r="B326" s="351"/>
      <c r="C326" s="352"/>
      <c r="D326" s="352"/>
      <c r="E326" s="351"/>
      <c r="F326" s="351"/>
      <c r="G326" s="340"/>
      <c r="H326" s="352"/>
      <c r="I326" s="352"/>
      <c r="J326" s="352"/>
      <c r="K326" s="352"/>
      <c r="L326" s="355">
        <v>0</v>
      </c>
      <c r="M326" s="2"/>
    </row>
    <row r="327" spans="1:13" ht="15.75">
      <c r="A327" s="350"/>
      <c r="B327" s="351"/>
      <c r="C327" s="352"/>
      <c r="D327" s="352"/>
      <c r="E327" s="351"/>
      <c r="F327" s="351"/>
      <c r="G327" s="340"/>
      <c r="H327" s="352"/>
      <c r="I327" s="352"/>
      <c r="J327" s="352"/>
      <c r="K327" s="352"/>
      <c r="L327" s="355">
        <v>0</v>
      </c>
      <c r="M327" s="2"/>
    </row>
    <row r="328" spans="1:13" ht="15.75">
      <c r="A328" s="350"/>
      <c r="B328" s="351"/>
      <c r="C328" s="352"/>
      <c r="D328" s="352"/>
      <c r="E328" s="351"/>
      <c r="F328" s="351"/>
      <c r="G328" s="340"/>
      <c r="H328" s="352"/>
      <c r="I328" s="352"/>
      <c r="J328" s="352"/>
      <c r="K328" s="352"/>
      <c r="L328" s="355">
        <v>0</v>
      </c>
      <c r="M328" s="2"/>
    </row>
    <row r="329" spans="1:13" ht="15.75">
      <c r="A329" s="350"/>
      <c r="B329" s="351"/>
      <c r="C329" s="352"/>
      <c r="D329" s="352"/>
      <c r="E329" s="351"/>
      <c r="F329" s="351"/>
      <c r="G329" s="340"/>
      <c r="H329" s="352"/>
      <c r="I329" s="352"/>
      <c r="J329" s="352"/>
      <c r="K329" s="352"/>
      <c r="L329" s="355">
        <v>0</v>
      </c>
      <c r="M329" s="2"/>
    </row>
    <row r="330" spans="1:13" ht="15.75">
      <c r="A330" s="350"/>
      <c r="B330" s="351"/>
      <c r="C330" s="352"/>
      <c r="D330" s="352"/>
      <c r="E330" s="351"/>
      <c r="F330" s="351"/>
      <c r="G330" s="340"/>
      <c r="H330" s="352"/>
      <c r="I330" s="352"/>
      <c r="J330" s="352"/>
      <c r="K330" s="352"/>
      <c r="L330" s="355">
        <v>0</v>
      </c>
      <c r="M330" s="2"/>
    </row>
    <row r="331" spans="1:13" ht="15.75">
      <c r="A331" s="350"/>
      <c r="B331" s="351"/>
      <c r="C331" s="352"/>
      <c r="D331" s="352"/>
      <c r="E331" s="351"/>
      <c r="F331" s="351"/>
      <c r="G331" s="340"/>
      <c r="H331" s="352"/>
      <c r="I331" s="352"/>
      <c r="J331" s="352"/>
      <c r="K331" s="352"/>
      <c r="L331" s="355">
        <v>0</v>
      </c>
      <c r="M331" s="2"/>
    </row>
    <row r="332" spans="1:13" ht="15.75">
      <c r="A332" s="350"/>
      <c r="B332" s="351"/>
      <c r="C332" s="352"/>
      <c r="D332" s="352"/>
      <c r="E332" s="351"/>
      <c r="F332" s="351"/>
      <c r="G332" s="340"/>
      <c r="H332" s="352"/>
      <c r="I332" s="352"/>
      <c r="J332" s="352"/>
      <c r="K332" s="352"/>
      <c r="L332" s="355">
        <v>0</v>
      </c>
      <c r="M332" s="2"/>
    </row>
    <row r="333" spans="1:13" ht="15.75">
      <c r="A333" s="350"/>
      <c r="B333" s="351"/>
      <c r="C333" s="352"/>
      <c r="D333" s="352"/>
      <c r="E333" s="351"/>
      <c r="F333" s="351"/>
      <c r="G333" s="340"/>
      <c r="H333" s="352"/>
      <c r="I333" s="352"/>
      <c r="J333" s="352"/>
      <c r="K333" s="352"/>
      <c r="L333" s="355">
        <v>0</v>
      </c>
      <c r="M333" s="2"/>
    </row>
    <row r="334" spans="1:13" ht="15.75">
      <c r="A334" s="350"/>
      <c r="B334" s="351"/>
      <c r="C334" s="352"/>
      <c r="D334" s="352"/>
      <c r="E334" s="351"/>
      <c r="F334" s="351"/>
      <c r="G334" s="340"/>
      <c r="H334" s="352"/>
      <c r="I334" s="352"/>
      <c r="J334" s="352"/>
      <c r="K334" s="352"/>
      <c r="L334" s="355">
        <v>0</v>
      </c>
      <c r="M334" s="2"/>
    </row>
    <row r="335" spans="1:13" ht="15.75">
      <c r="A335" s="350"/>
      <c r="B335" s="351"/>
      <c r="C335" s="352"/>
      <c r="D335" s="352"/>
      <c r="E335" s="351"/>
      <c r="F335" s="351"/>
      <c r="G335" s="340"/>
      <c r="H335" s="352"/>
      <c r="I335" s="352"/>
      <c r="J335" s="352"/>
      <c r="K335" s="352"/>
      <c r="L335" s="355">
        <v>0</v>
      </c>
      <c r="M335" s="2"/>
    </row>
    <row r="336" spans="1:13" ht="15.75">
      <c r="A336" s="350"/>
      <c r="B336" s="351"/>
      <c r="C336" s="352"/>
      <c r="D336" s="352"/>
      <c r="E336" s="351"/>
      <c r="F336" s="351"/>
      <c r="G336" s="340"/>
      <c r="H336" s="352"/>
      <c r="I336" s="352"/>
      <c r="J336" s="352"/>
      <c r="K336" s="352"/>
      <c r="L336" s="355">
        <v>0</v>
      </c>
      <c r="M336" s="2"/>
    </row>
    <row r="337" spans="1:13" ht="15.75">
      <c r="A337" s="350"/>
      <c r="B337" s="351"/>
      <c r="C337" s="352"/>
      <c r="D337" s="352"/>
      <c r="E337" s="351"/>
      <c r="F337" s="351"/>
      <c r="G337" s="340"/>
      <c r="H337" s="352"/>
      <c r="I337" s="352"/>
      <c r="J337" s="352"/>
      <c r="K337" s="352"/>
      <c r="L337" s="355">
        <v>0</v>
      </c>
      <c r="M337" s="2"/>
    </row>
    <row r="338" spans="1:13" ht="15.75">
      <c r="A338" s="350"/>
      <c r="B338" s="351"/>
      <c r="C338" s="352"/>
      <c r="D338" s="352"/>
      <c r="E338" s="351"/>
      <c r="F338" s="351"/>
      <c r="G338" s="340"/>
      <c r="H338" s="352"/>
      <c r="I338" s="352"/>
      <c r="J338" s="352"/>
      <c r="K338" s="352"/>
      <c r="L338" s="355">
        <v>0</v>
      </c>
      <c r="M338" s="2"/>
    </row>
    <row r="339" spans="1:13" ht="15.75">
      <c r="A339" s="350"/>
      <c r="B339" s="351"/>
      <c r="C339" s="352"/>
      <c r="D339" s="352"/>
      <c r="E339" s="351"/>
      <c r="F339" s="351"/>
      <c r="G339" s="340"/>
      <c r="H339" s="352"/>
      <c r="I339" s="352"/>
      <c r="J339" s="352"/>
      <c r="K339" s="352"/>
      <c r="L339" s="355">
        <v>0</v>
      </c>
      <c r="M339" s="2"/>
    </row>
    <row r="340" spans="1:13" ht="15.75">
      <c r="A340" s="350"/>
      <c r="B340" s="351"/>
      <c r="C340" s="352"/>
      <c r="D340" s="352"/>
      <c r="E340" s="351"/>
      <c r="F340" s="351"/>
      <c r="G340" s="340"/>
      <c r="H340" s="352"/>
      <c r="I340" s="352"/>
      <c r="J340" s="352"/>
      <c r="K340" s="352"/>
      <c r="L340" s="355">
        <v>0</v>
      </c>
      <c r="M340" s="2"/>
    </row>
    <row r="341" spans="1:13" ht="15.75">
      <c r="A341" s="350"/>
      <c r="B341" s="351"/>
      <c r="C341" s="352"/>
      <c r="D341" s="352"/>
      <c r="E341" s="351"/>
      <c r="F341" s="351"/>
      <c r="G341" s="340"/>
      <c r="H341" s="352"/>
      <c r="I341" s="352"/>
      <c r="J341" s="352"/>
      <c r="K341" s="352"/>
      <c r="L341" s="355">
        <v>0</v>
      </c>
      <c r="M341" s="2"/>
    </row>
    <row r="342" spans="1:13" ht="15.75">
      <c r="A342" s="350"/>
      <c r="B342" s="351"/>
      <c r="C342" s="352"/>
      <c r="D342" s="352"/>
      <c r="E342" s="351"/>
      <c r="F342" s="351"/>
      <c r="G342" s="340"/>
      <c r="H342" s="352"/>
      <c r="I342" s="352"/>
      <c r="J342" s="352"/>
      <c r="K342" s="352"/>
      <c r="L342" s="355">
        <v>0</v>
      </c>
      <c r="M342" s="2"/>
    </row>
    <row r="343" spans="1:13" ht="15.75">
      <c r="A343" s="350"/>
      <c r="B343" s="351"/>
      <c r="C343" s="352"/>
      <c r="D343" s="352"/>
      <c r="E343" s="351"/>
      <c r="F343" s="351"/>
      <c r="G343" s="340"/>
      <c r="H343" s="352"/>
      <c r="I343" s="352"/>
      <c r="J343" s="352"/>
      <c r="K343" s="352"/>
      <c r="L343" s="355">
        <v>0</v>
      </c>
      <c r="M343" s="2"/>
    </row>
    <row r="344" spans="1:13" ht="15.75">
      <c r="A344" s="350"/>
      <c r="B344" s="351"/>
      <c r="C344" s="352"/>
      <c r="D344" s="352"/>
      <c r="E344" s="351"/>
      <c r="F344" s="351"/>
      <c r="G344" s="340"/>
      <c r="H344" s="352"/>
      <c r="I344" s="352"/>
      <c r="J344" s="352"/>
      <c r="K344" s="352"/>
      <c r="L344" s="355">
        <v>0</v>
      </c>
      <c r="M344" s="2"/>
    </row>
    <row r="345" spans="1:13" ht="15.75">
      <c r="A345" s="350"/>
      <c r="B345" s="351"/>
      <c r="C345" s="352"/>
      <c r="D345" s="352"/>
      <c r="E345" s="351"/>
      <c r="F345" s="351"/>
      <c r="G345" s="340"/>
      <c r="H345" s="352"/>
      <c r="I345" s="352"/>
      <c r="J345" s="352"/>
      <c r="K345" s="352"/>
      <c r="L345" s="355">
        <v>0</v>
      </c>
      <c r="M345" s="2"/>
    </row>
    <row r="346" spans="1:13" ht="15.75">
      <c r="A346" s="350"/>
      <c r="B346" s="351"/>
      <c r="C346" s="352"/>
      <c r="D346" s="352"/>
      <c r="E346" s="351"/>
      <c r="F346" s="351"/>
      <c r="G346" s="340"/>
      <c r="H346" s="352"/>
      <c r="I346" s="352"/>
      <c r="J346" s="352"/>
      <c r="K346" s="352"/>
      <c r="L346" s="355">
        <v>0</v>
      </c>
      <c r="M346" s="2"/>
    </row>
    <row r="347" spans="1:13" ht="15.75">
      <c r="A347" s="350"/>
      <c r="B347" s="351"/>
      <c r="C347" s="352"/>
      <c r="D347" s="352"/>
      <c r="E347" s="351"/>
      <c r="F347" s="351"/>
      <c r="G347" s="340"/>
      <c r="H347" s="352"/>
      <c r="I347" s="352"/>
      <c r="J347" s="352"/>
      <c r="K347" s="352"/>
      <c r="L347" s="355">
        <v>0</v>
      </c>
      <c r="M347" s="2"/>
    </row>
    <row r="348" spans="1:13" ht="15.75">
      <c r="A348" s="350"/>
      <c r="B348" s="351"/>
      <c r="C348" s="352"/>
      <c r="D348" s="352"/>
      <c r="E348" s="351"/>
      <c r="F348" s="351"/>
      <c r="G348" s="340"/>
      <c r="H348" s="352"/>
      <c r="I348" s="352"/>
      <c r="J348" s="352"/>
      <c r="K348" s="352"/>
      <c r="L348" s="355">
        <v>0</v>
      </c>
      <c r="M348" s="2"/>
    </row>
    <row r="349" spans="1:13" ht="15.75">
      <c r="A349" s="350"/>
      <c r="B349" s="351"/>
      <c r="C349" s="352"/>
      <c r="D349" s="352"/>
      <c r="E349" s="351"/>
      <c r="F349" s="351"/>
      <c r="G349" s="340"/>
      <c r="H349" s="352"/>
      <c r="I349" s="352"/>
      <c r="J349" s="352"/>
      <c r="K349" s="352"/>
      <c r="L349" s="355">
        <v>0</v>
      </c>
      <c r="M349" s="2"/>
    </row>
    <row r="350" spans="1:13" ht="15.75">
      <c r="A350" s="350"/>
      <c r="B350" s="351"/>
      <c r="C350" s="352"/>
      <c r="D350" s="352"/>
      <c r="E350" s="351"/>
      <c r="F350" s="351"/>
      <c r="G350" s="340"/>
      <c r="H350" s="352"/>
      <c r="I350" s="352"/>
      <c r="J350" s="352"/>
      <c r="K350" s="352"/>
      <c r="L350" s="355">
        <v>0</v>
      </c>
      <c r="M350" s="2"/>
    </row>
    <row r="351" spans="1:13" ht="15.75">
      <c r="A351" s="350"/>
      <c r="B351" s="351"/>
      <c r="C351" s="352"/>
      <c r="D351" s="352"/>
      <c r="E351" s="351"/>
      <c r="F351" s="351"/>
      <c r="G351" s="340"/>
      <c r="H351" s="352"/>
      <c r="I351" s="352"/>
      <c r="J351" s="352"/>
      <c r="K351" s="352"/>
      <c r="L351" s="355">
        <v>0</v>
      </c>
      <c r="M351" s="2"/>
    </row>
    <row r="352" spans="1:13" ht="15.75">
      <c r="A352" s="350"/>
      <c r="B352" s="351"/>
      <c r="C352" s="352"/>
      <c r="D352" s="352"/>
      <c r="E352" s="351"/>
      <c r="F352" s="351"/>
      <c r="G352" s="340"/>
      <c r="H352" s="352"/>
      <c r="I352" s="352"/>
      <c r="J352" s="352"/>
      <c r="K352" s="352"/>
      <c r="L352" s="355">
        <v>0</v>
      </c>
      <c r="M352" s="2"/>
    </row>
    <row r="353" spans="1:13" ht="15.75">
      <c r="A353" s="350"/>
      <c r="B353" s="351"/>
      <c r="C353" s="352"/>
      <c r="D353" s="352"/>
      <c r="E353" s="351"/>
      <c r="F353" s="351"/>
      <c r="G353" s="340"/>
      <c r="H353" s="352"/>
      <c r="I353" s="352"/>
      <c r="J353" s="352"/>
      <c r="K353" s="352"/>
      <c r="L353" s="355">
        <v>0</v>
      </c>
      <c r="M353" s="2"/>
    </row>
    <row r="354" spans="1:13" ht="15.75">
      <c r="A354" s="350"/>
      <c r="B354" s="351"/>
      <c r="C354" s="352"/>
      <c r="D354" s="352"/>
      <c r="E354" s="351"/>
      <c r="F354" s="351"/>
      <c r="G354" s="340"/>
      <c r="H354" s="352"/>
      <c r="I354" s="352"/>
      <c r="J354" s="352"/>
      <c r="K354" s="352"/>
      <c r="L354" s="355">
        <v>0</v>
      </c>
      <c r="M354" s="2"/>
    </row>
    <row r="355" spans="1:13" ht="15.75">
      <c r="A355" s="350"/>
      <c r="B355" s="351"/>
      <c r="C355" s="352"/>
      <c r="D355" s="352"/>
      <c r="E355" s="351"/>
      <c r="F355" s="351"/>
      <c r="G355" s="340"/>
      <c r="H355" s="352"/>
      <c r="I355" s="352"/>
      <c r="J355" s="352"/>
      <c r="K355" s="352"/>
      <c r="L355" s="355">
        <v>0</v>
      </c>
      <c r="M355" s="2"/>
    </row>
    <row r="356" spans="1:13" ht="15.75">
      <c r="A356" s="350"/>
      <c r="B356" s="351"/>
      <c r="C356" s="352"/>
      <c r="D356" s="352"/>
      <c r="E356" s="351"/>
      <c r="F356" s="351"/>
      <c r="G356" s="340"/>
      <c r="H356" s="352"/>
      <c r="I356" s="352"/>
      <c r="J356" s="352"/>
      <c r="K356" s="352"/>
      <c r="L356" s="355">
        <v>0</v>
      </c>
      <c r="M356" s="2"/>
    </row>
    <row r="357" spans="1:13" ht="15.75">
      <c r="A357" s="350"/>
      <c r="B357" s="351"/>
      <c r="C357" s="352"/>
      <c r="D357" s="352"/>
      <c r="E357" s="351"/>
      <c r="F357" s="351"/>
      <c r="G357" s="340"/>
      <c r="H357" s="352"/>
      <c r="I357" s="352"/>
      <c r="J357" s="352"/>
      <c r="K357" s="352"/>
      <c r="L357" s="355">
        <v>0</v>
      </c>
      <c r="M357" s="2"/>
    </row>
    <row r="358" spans="1:13" ht="15.75">
      <c r="A358" s="350"/>
      <c r="B358" s="351"/>
      <c r="C358" s="352"/>
      <c r="D358" s="352"/>
      <c r="E358" s="351"/>
      <c r="F358" s="351"/>
      <c r="G358" s="340"/>
      <c r="H358" s="352"/>
      <c r="I358" s="352"/>
      <c r="J358" s="352"/>
      <c r="K358" s="352"/>
      <c r="L358" s="355">
        <v>0</v>
      </c>
      <c r="M358" s="2"/>
    </row>
    <row r="359" spans="1:13" ht="15.75">
      <c r="A359" s="350"/>
      <c r="B359" s="351"/>
      <c r="C359" s="352"/>
      <c r="D359" s="352"/>
      <c r="E359" s="351"/>
      <c r="F359" s="351"/>
      <c r="G359" s="340"/>
      <c r="H359" s="352"/>
      <c r="I359" s="352"/>
      <c r="J359" s="352"/>
      <c r="K359" s="352"/>
      <c r="L359" s="355">
        <v>0</v>
      </c>
      <c r="M359" s="2"/>
    </row>
    <row r="360" spans="1:13" ht="15.75">
      <c r="A360" s="350"/>
      <c r="B360" s="351"/>
      <c r="C360" s="352"/>
      <c r="D360" s="352"/>
      <c r="E360" s="351"/>
      <c r="F360" s="351"/>
      <c r="G360" s="340"/>
      <c r="H360" s="352"/>
      <c r="I360" s="352"/>
      <c r="J360" s="352"/>
      <c r="K360" s="352"/>
      <c r="L360" s="355">
        <v>0</v>
      </c>
      <c r="M360" s="2"/>
    </row>
    <row r="361" spans="1:13" ht="15.75">
      <c r="A361" s="350"/>
      <c r="B361" s="351"/>
      <c r="C361" s="352"/>
      <c r="D361" s="352"/>
      <c r="E361" s="351"/>
      <c r="F361" s="351"/>
      <c r="G361" s="340"/>
      <c r="H361" s="352"/>
      <c r="I361" s="352"/>
      <c r="J361" s="352"/>
      <c r="K361" s="352"/>
      <c r="L361" s="355">
        <v>0</v>
      </c>
      <c r="M361" s="2"/>
    </row>
    <row r="362" spans="1:13" ht="15.75">
      <c r="A362" s="350"/>
      <c r="B362" s="351"/>
      <c r="C362" s="352"/>
      <c r="D362" s="352"/>
      <c r="E362" s="351"/>
      <c r="F362" s="351"/>
      <c r="G362" s="340"/>
      <c r="H362" s="352"/>
      <c r="I362" s="352"/>
      <c r="J362" s="352"/>
      <c r="K362" s="352"/>
      <c r="L362" s="355">
        <v>0</v>
      </c>
      <c r="M362" s="2"/>
    </row>
    <row r="363" spans="1:13" ht="15.75">
      <c r="A363" s="350"/>
      <c r="B363" s="351"/>
      <c r="C363" s="352"/>
      <c r="D363" s="352"/>
      <c r="E363" s="351"/>
      <c r="F363" s="351"/>
      <c r="G363" s="340"/>
      <c r="H363" s="352"/>
      <c r="I363" s="352"/>
      <c r="J363" s="352"/>
      <c r="K363" s="352"/>
      <c r="L363" s="355">
        <v>0</v>
      </c>
      <c r="M363" s="2"/>
    </row>
    <row r="364" spans="1:13" ht="15.75">
      <c r="A364" s="350"/>
      <c r="B364" s="351"/>
      <c r="C364" s="352"/>
      <c r="D364" s="352"/>
      <c r="E364" s="351"/>
      <c r="F364" s="351"/>
      <c r="G364" s="340"/>
      <c r="H364" s="352"/>
      <c r="I364" s="352"/>
      <c r="J364" s="352"/>
      <c r="K364" s="352"/>
      <c r="L364" s="355">
        <v>0</v>
      </c>
      <c r="M364" s="2"/>
    </row>
    <row r="365" spans="1:13" ht="15.75">
      <c r="A365" s="350"/>
      <c r="B365" s="351"/>
      <c r="C365" s="352"/>
      <c r="D365" s="352"/>
      <c r="E365" s="351"/>
      <c r="F365" s="351"/>
      <c r="G365" s="340"/>
      <c r="H365" s="352"/>
      <c r="I365" s="352"/>
      <c r="J365" s="352"/>
      <c r="K365" s="352"/>
      <c r="L365" s="355">
        <v>0</v>
      </c>
      <c r="M365" s="2"/>
    </row>
    <row r="366" spans="1:13" ht="15.75">
      <c r="A366" s="350"/>
      <c r="B366" s="351"/>
      <c r="C366" s="352"/>
      <c r="D366" s="352"/>
      <c r="E366" s="351"/>
      <c r="F366" s="351"/>
      <c r="G366" s="340"/>
      <c r="H366" s="352"/>
      <c r="I366" s="352"/>
      <c r="J366" s="352"/>
      <c r="K366" s="352"/>
      <c r="L366" s="355">
        <v>0</v>
      </c>
      <c r="M366" s="2"/>
    </row>
    <row r="367" spans="1:13" ht="15.75">
      <c r="A367" s="350"/>
      <c r="B367" s="351"/>
      <c r="C367" s="352"/>
      <c r="D367" s="352"/>
      <c r="E367" s="351"/>
      <c r="F367" s="351"/>
      <c r="G367" s="340"/>
      <c r="H367" s="352"/>
      <c r="I367" s="352"/>
      <c r="J367" s="352"/>
      <c r="K367" s="352"/>
      <c r="L367" s="355">
        <v>0</v>
      </c>
      <c r="M367" s="2"/>
    </row>
    <row r="368" spans="1:13" ht="15.75">
      <c r="A368" s="350"/>
      <c r="B368" s="351"/>
      <c r="C368" s="352"/>
      <c r="D368" s="352"/>
      <c r="E368" s="351"/>
      <c r="F368" s="351"/>
      <c r="G368" s="340"/>
      <c r="H368" s="352"/>
      <c r="I368" s="352"/>
      <c r="J368" s="352"/>
      <c r="K368" s="352"/>
      <c r="L368" s="355">
        <v>0</v>
      </c>
      <c r="M368" s="2"/>
    </row>
    <row r="369" spans="1:13" ht="15.75">
      <c r="A369" s="350"/>
      <c r="B369" s="351"/>
      <c r="C369" s="352"/>
      <c r="D369" s="352"/>
      <c r="E369" s="351"/>
      <c r="F369" s="351"/>
      <c r="G369" s="340"/>
      <c r="H369" s="352"/>
      <c r="I369" s="352"/>
      <c r="J369" s="352"/>
      <c r="K369" s="352"/>
      <c r="L369" s="355">
        <v>0</v>
      </c>
      <c r="M369" s="2"/>
    </row>
    <row r="370" spans="1:13" ht="15.75">
      <c r="A370" s="350"/>
      <c r="B370" s="351"/>
      <c r="C370" s="352"/>
      <c r="D370" s="352"/>
      <c r="E370" s="351"/>
      <c r="F370" s="351"/>
      <c r="G370" s="340"/>
      <c r="H370" s="352"/>
      <c r="I370" s="352"/>
      <c r="J370" s="352"/>
      <c r="K370" s="352"/>
      <c r="L370" s="355">
        <v>0</v>
      </c>
      <c r="M370" s="2"/>
    </row>
    <row r="371" spans="1:13" ht="15.75">
      <c r="A371" s="350"/>
      <c r="B371" s="351"/>
      <c r="C371" s="352"/>
      <c r="D371" s="352"/>
      <c r="E371" s="351"/>
      <c r="F371" s="351"/>
      <c r="G371" s="340"/>
      <c r="H371" s="352"/>
      <c r="I371" s="352"/>
      <c r="J371" s="352"/>
      <c r="K371" s="352"/>
      <c r="L371" s="355">
        <v>0</v>
      </c>
      <c r="M371" s="2"/>
    </row>
    <row r="372" spans="1:13" ht="15.75">
      <c r="A372" s="350"/>
      <c r="B372" s="351"/>
      <c r="C372" s="352"/>
      <c r="D372" s="352"/>
      <c r="E372" s="351"/>
      <c r="F372" s="351"/>
      <c r="G372" s="340"/>
      <c r="H372" s="352"/>
      <c r="I372" s="352"/>
      <c r="J372" s="352"/>
      <c r="K372" s="352"/>
      <c r="L372" s="355">
        <v>0</v>
      </c>
      <c r="M372" s="2"/>
    </row>
    <row r="373" spans="1:13" ht="15.75">
      <c r="A373" s="350"/>
      <c r="B373" s="351"/>
      <c r="C373" s="352"/>
      <c r="D373" s="352"/>
      <c r="E373" s="351"/>
      <c r="F373" s="351"/>
      <c r="G373" s="340"/>
      <c r="H373" s="352"/>
      <c r="I373" s="352"/>
      <c r="J373" s="352"/>
      <c r="K373" s="352"/>
      <c r="L373" s="355">
        <v>0</v>
      </c>
      <c r="M373" s="2"/>
    </row>
    <row r="374" spans="1:13" ht="15.75">
      <c r="A374" s="350"/>
      <c r="B374" s="351"/>
      <c r="C374" s="352"/>
      <c r="D374" s="352"/>
      <c r="E374" s="351"/>
      <c r="F374" s="351"/>
      <c r="G374" s="340"/>
      <c r="H374" s="352"/>
      <c r="I374" s="352"/>
      <c r="J374" s="352"/>
      <c r="K374" s="352"/>
      <c r="L374" s="355">
        <v>0</v>
      </c>
      <c r="M374" s="2"/>
    </row>
    <row r="375" spans="1:13" ht="15.75">
      <c r="A375" s="350"/>
      <c r="B375" s="351"/>
      <c r="C375" s="352"/>
      <c r="D375" s="352"/>
      <c r="E375" s="351"/>
      <c r="F375" s="351"/>
      <c r="G375" s="340"/>
      <c r="H375" s="352"/>
      <c r="I375" s="352"/>
      <c r="J375" s="352"/>
      <c r="K375" s="352"/>
      <c r="L375" s="355">
        <v>0</v>
      </c>
      <c r="M375" s="2"/>
    </row>
    <row r="376" spans="1:13" ht="15.75">
      <c r="A376" s="350"/>
      <c r="B376" s="351"/>
      <c r="C376" s="352"/>
      <c r="D376" s="352"/>
      <c r="E376" s="351"/>
      <c r="F376" s="351"/>
      <c r="G376" s="340"/>
      <c r="H376" s="352"/>
      <c r="I376" s="352"/>
      <c r="J376" s="352"/>
      <c r="K376" s="352"/>
      <c r="L376" s="355">
        <v>0</v>
      </c>
      <c r="M376" s="2"/>
    </row>
    <row r="377" spans="1:13" ht="15.75">
      <c r="A377" s="350"/>
      <c r="B377" s="351"/>
      <c r="C377" s="352"/>
      <c r="D377" s="352"/>
      <c r="E377" s="351"/>
      <c r="F377" s="351"/>
      <c r="G377" s="340"/>
      <c r="H377" s="352"/>
      <c r="I377" s="352"/>
      <c r="J377" s="352"/>
      <c r="K377" s="352"/>
      <c r="L377" s="355">
        <v>0</v>
      </c>
      <c r="M377" s="2"/>
    </row>
    <row r="378" spans="1:13" ht="15.75">
      <c r="A378" s="350"/>
      <c r="B378" s="351"/>
      <c r="C378" s="352"/>
      <c r="D378" s="352"/>
      <c r="E378" s="351"/>
      <c r="F378" s="351"/>
      <c r="G378" s="340"/>
      <c r="H378" s="352"/>
      <c r="I378" s="352"/>
      <c r="J378" s="352"/>
      <c r="K378" s="352"/>
      <c r="L378" s="355">
        <v>0</v>
      </c>
      <c r="M378" s="2"/>
    </row>
    <row r="379" spans="1:13" ht="15.75">
      <c r="A379" s="350"/>
      <c r="B379" s="351"/>
      <c r="C379" s="352"/>
      <c r="D379" s="352"/>
      <c r="E379" s="351"/>
      <c r="F379" s="351"/>
      <c r="G379" s="340"/>
      <c r="H379" s="352"/>
      <c r="I379" s="352"/>
      <c r="J379" s="352"/>
      <c r="K379" s="352"/>
      <c r="L379" s="355">
        <v>0</v>
      </c>
      <c r="M379" s="2"/>
    </row>
    <row r="380" spans="1:13" ht="15.75">
      <c r="A380" s="350"/>
      <c r="B380" s="351"/>
      <c r="C380" s="352"/>
      <c r="D380" s="352"/>
      <c r="E380" s="351"/>
      <c r="F380" s="351"/>
      <c r="G380" s="340"/>
      <c r="H380" s="352"/>
      <c r="I380" s="352"/>
      <c r="J380" s="352"/>
      <c r="K380" s="352"/>
      <c r="L380" s="355">
        <v>0</v>
      </c>
      <c r="M380" s="2"/>
    </row>
    <row r="381" spans="1:13" ht="15.75">
      <c r="A381" s="350"/>
      <c r="B381" s="351"/>
      <c r="C381" s="352"/>
      <c r="D381" s="352"/>
      <c r="E381" s="351"/>
      <c r="F381" s="351"/>
      <c r="G381" s="340"/>
      <c r="H381" s="352"/>
      <c r="I381" s="352"/>
      <c r="J381" s="352"/>
      <c r="K381" s="352"/>
      <c r="L381" s="355">
        <v>0</v>
      </c>
      <c r="M381" s="2"/>
    </row>
    <row r="382" spans="1:13" ht="15.75">
      <c r="A382" s="350"/>
      <c r="B382" s="351"/>
      <c r="C382" s="352"/>
      <c r="D382" s="352"/>
      <c r="E382" s="351"/>
      <c r="F382" s="351"/>
      <c r="G382" s="340"/>
      <c r="H382" s="352"/>
      <c r="I382" s="352"/>
      <c r="J382" s="352"/>
      <c r="K382" s="352"/>
      <c r="L382" s="355">
        <v>0</v>
      </c>
      <c r="M382" s="2"/>
    </row>
    <row r="383" spans="1:13" ht="15.75">
      <c r="A383" s="350"/>
      <c r="B383" s="351"/>
      <c r="C383" s="352"/>
      <c r="D383" s="352"/>
      <c r="E383" s="351"/>
      <c r="F383" s="351"/>
      <c r="G383" s="340"/>
      <c r="H383" s="352"/>
      <c r="I383" s="352"/>
      <c r="J383" s="352"/>
      <c r="K383" s="352"/>
      <c r="L383" s="355">
        <v>0</v>
      </c>
      <c r="M383" s="2"/>
    </row>
    <row r="384" spans="1:13" ht="15.75">
      <c r="A384" s="350"/>
      <c r="B384" s="351"/>
      <c r="C384" s="352"/>
      <c r="D384" s="352"/>
      <c r="E384" s="351"/>
      <c r="F384" s="351"/>
      <c r="G384" s="340"/>
      <c r="H384" s="352"/>
      <c r="I384" s="352"/>
      <c r="J384" s="352"/>
      <c r="K384" s="352"/>
      <c r="L384" s="355">
        <v>0</v>
      </c>
      <c r="M384" s="2"/>
    </row>
    <row r="385" spans="1:13" ht="15.75">
      <c r="A385" s="350"/>
      <c r="B385" s="351"/>
      <c r="C385" s="352"/>
      <c r="D385" s="352"/>
      <c r="E385" s="351"/>
      <c r="F385" s="351"/>
      <c r="G385" s="340"/>
      <c r="H385" s="352"/>
      <c r="I385" s="352"/>
      <c r="J385" s="352"/>
      <c r="K385" s="352"/>
      <c r="L385" s="355">
        <v>0</v>
      </c>
      <c r="M385" s="2"/>
    </row>
    <row r="386" spans="1:13" ht="15.75">
      <c r="A386" s="350"/>
      <c r="B386" s="351"/>
      <c r="C386" s="352"/>
      <c r="D386" s="352"/>
      <c r="E386" s="351"/>
      <c r="F386" s="351"/>
      <c r="G386" s="340"/>
      <c r="H386" s="352"/>
      <c r="I386" s="352"/>
      <c r="J386" s="352"/>
      <c r="K386" s="352"/>
      <c r="L386" s="355">
        <v>0</v>
      </c>
      <c r="M386" s="2"/>
    </row>
    <row r="387" spans="1:13" ht="15.75">
      <c r="A387" s="350"/>
      <c r="B387" s="351"/>
      <c r="C387" s="352"/>
      <c r="D387" s="352"/>
      <c r="E387" s="351"/>
      <c r="F387" s="351"/>
      <c r="G387" s="340"/>
      <c r="H387" s="352"/>
      <c r="I387" s="352"/>
      <c r="J387" s="352"/>
      <c r="K387" s="352"/>
      <c r="L387" s="355">
        <v>0</v>
      </c>
      <c r="M387" s="2"/>
    </row>
    <row r="388" spans="1:13" ht="15.75">
      <c r="A388" s="350"/>
      <c r="B388" s="351"/>
      <c r="C388" s="352"/>
      <c r="D388" s="352"/>
      <c r="E388" s="351"/>
      <c r="F388" s="351"/>
      <c r="G388" s="340"/>
      <c r="H388" s="352"/>
      <c r="I388" s="352"/>
      <c r="J388" s="352"/>
      <c r="K388" s="352"/>
      <c r="L388" s="355">
        <v>0</v>
      </c>
      <c r="M388" s="2"/>
    </row>
    <row r="389" spans="1:13" ht="15.75">
      <c r="A389" s="350"/>
      <c r="B389" s="351"/>
      <c r="C389" s="352"/>
      <c r="D389" s="352"/>
      <c r="E389" s="351"/>
      <c r="F389" s="351"/>
      <c r="G389" s="340"/>
      <c r="H389" s="352"/>
      <c r="I389" s="352"/>
      <c r="J389" s="352"/>
      <c r="K389" s="352"/>
      <c r="L389" s="355">
        <v>0</v>
      </c>
      <c r="M389" s="2"/>
    </row>
    <row r="390" spans="1:13" ht="15.75">
      <c r="A390" s="350"/>
      <c r="B390" s="351"/>
      <c r="C390" s="352"/>
      <c r="D390" s="352"/>
      <c r="E390" s="351"/>
      <c r="F390" s="351"/>
      <c r="G390" s="340"/>
      <c r="H390" s="352"/>
      <c r="I390" s="352"/>
      <c r="J390" s="352"/>
      <c r="K390" s="352"/>
      <c r="L390" s="355">
        <v>0</v>
      </c>
      <c r="M390" s="2"/>
    </row>
    <row r="391" spans="1:13" ht="15.75">
      <c r="A391" s="350"/>
      <c r="B391" s="351"/>
      <c r="C391" s="352"/>
      <c r="D391" s="352"/>
      <c r="E391" s="351"/>
      <c r="F391" s="351"/>
      <c r="G391" s="340"/>
      <c r="H391" s="352"/>
      <c r="I391" s="352"/>
      <c r="J391" s="352"/>
      <c r="K391" s="352"/>
      <c r="L391" s="355">
        <v>0</v>
      </c>
      <c r="M391" s="2"/>
    </row>
    <row r="392" spans="1:13" ht="15.75">
      <c r="A392" s="350"/>
      <c r="B392" s="351"/>
      <c r="C392" s="352"/>
      <c r="D392" s="352"/>
      <c r="E392" s="351"/>
      <c r="F392" s="351"/>
      <c r="G392" s="340"/>
      <c r="H392" s="352"/>
      <c r="I392" s="352"/>
      <c r="J392" s="352"/>
      <c r="K392" s="352"/>
      <c r="L392" s="355">
        <v>0</v>
      </c>
      <c r="M392" s="2"/>
    </row>
    <row r="393" spans="1:13" ht="15.75">
      <c r="A393" s="350"/>
      <c r="B393" s="351"/>
      <c r="C393" s="352"/>
      <c r="D393" s="352"/>
      <c r="E393" s="351"/>
      <c r="F393" s="351"/>
      <c r="G393" s="340"/>
      <c r="H393" s="352"/>
      <c r="I393" s="352"/>
      <c r="J393" s="352"/>
      <c r="K393" s="352"/>
      <c r="L393" s="355">
        <v>0</v>
      </c>
      <c r="M393" s="2"/>
    </row>
    <row r="394" spans="1:13" ht="15.75">
      <c r="A394" s="350"/>
      <c r="B394" s="351"/>
      <c r="C394" s="352"/>
      <c r="D394" s="352"/>
      <c r="E394" s="351"/>
      <c r="F394" s="351"/>
      <c r="G394" s="340"/>
      <c r="H394" s="352"/>
      <c r="I394" s="352"/>
      <c r="J394" s="352"/>
      <c r="K394" s="352"/>
      <c r="L394" s="355">
        <v>0</v>
      </c>
      <c r="M394" s="2"/>
    </row>
    <row r="395" spans="1:13" ht="15.75">
      <c r="A395" s="350"/>
      <c r="B395" s="351"/>
      <c r="C395" s="352"/>
      <c r="D395" s="352"/>
      <c r="E395" s="351"/>
      <c r="F395" s="351"/>
      <c r="G395" s="340"/>
      <c r="H395" s="352"/>
      <c r="I395" s="352"/>
      <c r="J395" s="352"/>
      <c r="K395" s="352"/>
      <c r="L395" s="355">
        <v>0</v>
      </c>
      <c r="M395" s="2"/>
    </row>
    <row r="396" spans="1:13" ht="15.75">
      <c r="A396" s="350"/>
      <c r="B396" s="351"/>
      <c r="C396" s="352"/>
      <c r="D396" s="352"/>
      <c r="E396" s="351"/>
      <c r="F396" s="351"/>
      <c r="G396" s="340"/>
      <c r="H396" s="352"/>
      <c r="I396" s="352"/>
      <c r="J396" s="352"/>
      <c r="K396" s="352"/>
      <c r="L396" s="355">
        <v>0</v>
      </c>
      <c r="M396" s="2"/>
    </row>
    <row r="397" spans="1:13" ht="15.75">
      <c r="A397" s="350"/>
      <c r="B397" s="351"/>
      <c r="C397" s="352"/>
      <c r="D397" s="352"/>
      <c r="E397" s="351"/>
      <c r="F397" s="351"/>
      <c r="G397" s="340"/>
      <c r="H397" s="352"/>
      <c r="I397" s="352"/>
      <c r="J397" s="352"/>
      <c r="K397" s="352"/>
      <c r="L397" s="355">
        <v>0</v>
      </c>
      <c r="M397" s="2"/>
    </row>
    <row r="398" spans="1:13" ht="15.75">
      <c r="A398" s="350"/>
      <c r="B398" s="351"/>
      <c r="C398" s="352"/>
      <c r="D398" s="352"/>
      <c r="E398" s="351"/>
      <c r="F398" s="351"/>
      <c r="G398" s="340"/>
      <c r="H398" s="352"/>
      <c r="I398" s="352"/>
      <c r="J398" s="352"/>
      <c r="K398" s="352"/>
      <c r="L398" s="355">
        <v>0</v>
      </c>
      <c r="M398" s="2"/>
    </row>
    <row r="399" spans="1:13" ht="15.75">
      <c r="A399" s="350"/>
      <c r="B399" s="351"/>
      <c r="C399" s="352"/>
      <c r="D399" s="352"/>
      <c r="E399" s="351"/>
      <c r="F399" s="351"/>
      <c r="G399" s="340"/>
      <c r="H399" s="352"/>
      <c r="I399" s="352"/>
      <c r="J399" s="352"/>
      <c r="K399" s="352"/>
      <c r="L399" s="355">
        <v>0</v>
      </c>
      <c r="M399" s="2"/>
    </row>
    <row r="400" spans="1:13" ht="15.75">
      <c r="A400" s="350"/>
      <c r="B400" s="351"/>
      <c r="C400" s="352"/>
      <c r="D400" s="352"/>
      <c r="E400" s="351"/>
      <c r="F400" s="351"/>
      <c r="G400" s="340"/>
      <c r="H400" s="352"/>
      <c r="I400" s="352"/>
      <c r="J400" s="352"/>
      <c r="K400" s="352"/>
      <c r="L400" s="355">
        <v>0</v>
      </c>
      <c r="M400" s="2"/>
    </row>
    <row r="401" spans="1:13" ht="15.75">
      <c r="A401" s="350"/>
      <c r="B401" s="351"/>
      <c r="C401" s="352"/>
      <c r="D401" s="352"/>
      <c r="E401" s="351"/>
      <c r="F401" s="351"/>
      <c r="G401" s="340"/>
      <c r="H401" s="352"/>
      <c r="I401" s="352"/>
      <c r="J401" s="352"/>
      <c r="K401" s="352"/>
      <c r="L401" s="355">
        <v>0</v>
      </c>
      <c r="M401" s="2"/>
    </row>
    <row r="402" spans="1:13" ht="15.75">
      <c r="A402" s="350"/>
      <c r="B402" s="351"/>
      <c r="C402" s="352"/>
      <c r="D402" s="352"/>
      <c r="E402" s="351"/>
      <c r="F402" s="351"/>
      <c r="G402" s="340"/>
      <c r="H402" s="352"/>
      <c r="I402" s="352"/>
      <c r="J402" s="352"/>
      <c r="K402" s="352"/>
      <c r="L402" s="355">
        <v>0</v>
      </c>
      <c r="M402" s="2"/>
    </row>
    <row r="403" spans="1:13" ht="15.75">
      <c r="A403" s="350"/>
      <c r="B403" s="351"/>
      <c r="C403" s="352"/>
      <c r="D403" s="352"/>
      <c r="E403" s="351"/>
      <c r="F403" s="351"/>
      <c r="G403" s="340"/>
      <c r="H403" s="352"/>
      <c r="I403" s="352"/>
      <c r="J403" s="352"/>
      <c r="K403" s="352"/>
      <c r="L403" s="355">
        <v>0</v>
      </c>
      <c r="M403" s="2"/>
    </row>
    <row r="404" spans="1:13" ht="15.75">
      <c r="A404" s="350"/>
      <c r="B404" s="351"/>
      <c r="C404" s="352"/>
      <c r="D404" s="352"/>
      <c r="E404" s="351"/>
      <c r="F404" s="351"/>
      <c r="G404" s="340"/>
      <c r="H404" s="352"/>
      <c r="I404" s="352"/>
      <c r="J404" s="352"/>
      <c r="K404" s="352"/>
      <c r="L404" s="355">
        <v>0</v>
      </c>
      <c r="M404" s="2"/>
    </row>
    <row r="405" spans="1:13" ht="15.75">
      <c r="A405" s="350"/>
      <c r="B405" s="351"/>
      <c r="C405" s="352"/>
      <c r="D405" s="352"/>
      <c r="E405" s="351"/>
      <c r="F405" s="351"/>
      <c r="G405" s="340"/>
      <c r="H405" s="352"/>
      <c r="I405" s="352"/>
      <c r="J405" s="352"/>
      <c r="K405" s="352"/>
      <c r="L405" s="355">
        <v>0</v>
      </c>
      <c r="M405" s="2"/>
    </row>
    <row r="406" spans="1:13" ht="15.75">
      <c r="A406" s="350"/>
      <c r="B406" s="351"/>
      <c r="C406" s="352"/>
      <c r="D406" s="352"/>
      <c r="E406" s="351"/>
      <c r="F406" s="351"/>
      <c r="G406" s="340"/>
      <c r="H406" s="352"/>
      <c r="I406" s="352"/>
      <c r="J406" s="352"/>
      <c r="K406" s="352"/>
      <c r="L406" s="355">
        <v>0</v>
      </c>
      <c r="M406" s="2"/>
    </row>
    <row r="407" spans="1:13" ht="15.75">
      <c r="A407" s="350"/>
      <c r="B407" s="351"/>
      <c r="C407" s="352"/>
      <c r="D407" s="352"/>
      <c r="E407" s="351"/>
      <c r="F407" s="351"/>
      <c r="G407" s="340"/>
      <c r="H407" s="352"/>
      <c r="I407" s="352"/>
      <c r="J407" s="352"/>
      <c r="K407" s="352"/>
      <c r="L407" s="355">
        <v>0</v>
      </c>
      <c r="M407" s="2"/>
    </row>
    <row r="408" spans="1:13" ht="15.75">
      <c r="A408" s="350"/>
      <c r="B408" s="351"/>
      <c r="C408" s="352"/>
      <c r="D408" s="352"/>
      <c r="E408" s="351"/>
      <c r="F408" s="351"/>
      <c r="G408" s="340"/>
      <c r="H408" s="352"/>
      <c r="I408" s="352"/>
      <c r="J408" s="352"/>
      <c r="K408" s="352"/>
      <c r="L408" s="355">
        <v>0</v>
      </c>
      <c r="M408" s="2"/>
    </row>
    <row r="409" spans="1:13" ht="15.75">
      <c r="A409" s="350"/>
      <c r="B409" s="351"/>
      <c r="C409" s="352"/>
      <c r="D409" s="352"/>
      <c r="E409" s="351"/>
      <c r="F409" s="351"/>
      <c r="G409" s="340"/>
      <c r="H409" s="352"/>
      <c r="I409" s="352"/>
      <c r="J409" s="352"/>
      <c r="K409" s="352"/>
      <c r="L409" s="355">
        <v>0</v>
      </c>
      <c r="M409" s="2"/>
    </row>
    <row r="410" spans="1:13" ht="15.75">
      <c r="A410" s="350"/>
      <c r="B410" s="351"/>
      <c r="C410" s="352"/>
      <c r="D410" s="352"/>
      <c r="E410" s="351"/>
      <c r="F410" s="351"/>
      <c r="G410" s="340"/>
      <c r="H410" s="352"/>
      <c r="I410" s="352"/>
      <c r="J410" s="352"/>
      <c r="K410" s="352"/>
      <c r="L410" s="355">
        <v>0</v>
      </c>
      <c r="M410" s="2"/>
    </row>
    <row r="411" spans="1:13" ht="15.75">
      <c r="A411" s="350"/>
      <c r="B411" s="351"/>
      <c r="C411" s="352"/>
      <c r="D411" s="352"/>
      <c r="E411" s="351"/>
      <c r="F411" s="351"/>
      <c r="G411" s="340"/>
      <c r="H411" s="352"/>
      <c r="I411" s="352"/>
      <c r="J411" s="352"/>
      <c r="K411" s="352"/>
      <c r="L411" s="355">
        <v>0</v>
      </c>
      <c r="M411" s="2"/>
    </row>
    <row r="412" spans="1:13" ht="15.75">
      <c r="A412" s="350"/>
      <c r="B412" s="351"/>
      <c r="C412" s="352"/>
      <c r="D412" s="352"/>
      <c r="E412" s="351"/>
      <c r="F412" s="351"/>
      <c r="G412" s="340"/>
      <c r="H412" s="352"/>
      <c r="I412" s="352"/>
      <c r="J412" s="352"/>
      <c r="K412" s="352"/>
      <c r="L412" s="355">
        <v>0</v>
      </c>
      <c r="M412" s="2"/>
    </row>
    <row r="413" spans="1:13" ht="15.75">
      <c r="A413" s="350"/>
      <c r="B413" s="351"/>
      <c r="C413" s="352"/>
      <c r="D413" s="352"/>
      <c r="E413" s="351"/>
      <c r="F413" s="351"/>
      <c r="G413" s="340"/>
      <c r="H413" s="352"/>
      <c r="I413" s="352"/>
      <c r="J413" s="352"/>
      <c r="K413" s="352"/>
      <c r="L413" s="355">
        <v>0</v>
      </c>
      <c r="M413" s="2"/>
    </row>
    <row r="414" spans="1:13" ht="15.75">
      <c r="A414" s="350"/>
      <c r="B414" s="351"/>
      <c r="C414" s="352"/>
      <c r="D414" s="352"/>
      <c r="E414" s="351"/>
      <c r="F414" s="351"/>
      <c r="G414" s="340"/>
      <c r="H414" s="352"/>
      <c r="I414" s="352"/>
      <c r="J414" s="352"/>
      <c r="K414" s="352"/>
      <c r="L414" s="355">
        <v>0</v>
      </c>
      <c r="M414" s="2"/>
    </row>
    <row r="415" spans="1:13" ht="15.75">
      <c r="A415" s="350"/>
      <c r="B415" s="351"/>
      <c r="C415" s="352"/>
      <c r="D415" s="352"/>
      <c r="E415" s="351"/>
      <c r="F415" s="351"/>
      <c r="G415" s="340"/>
      <c r="H415" s="352"/>
      <c r="I415" s="352"/>
      <c r="J415" s="352"/>
      <c r="K415" s="352"/>
      <c r="L415" s="355">
        <v>0</v>
      </c>
      <c r="M415" s="2"/>
    </row>
    <row r="416" spans="1:13" ht="15.75">
      <c r="A416" s="350"/>
      <c r="B416" s="351"/>
      <c r="C416" s="352"/>
      <c r="D416" s="352"/>
      <c r="E416" s="351"/>
      <c r="F416" s="351"/>
      <c r="G416" s="340"/>
      <c r="H416" s="352"/>
      <c r="I416" s="352"/>
      <c r="J416" s="352"/>
      <c r="K416" s="352"/>
      <c r="L416" s="355">
        <v>0</v>
      </c>
      <c r="M416" s="2"/>
    </row>
    <row r="417" spans="1:13" ht="15.75">
      <c r="A417" s="350"/>
      <c r="B417" s="351"/>
      <c r="C417" s="352"/>
      <c r="D417" s="352"/>
      <c r="E417" s="351"/>
      <c r="F417" s="351"/>
      <c r="G417" s="340"/>
      <c r="H417" s="352"/>
      <c r="I417" s="352"/>
      <c r="J417" s="352"/>
      <c r="K417" s="352"/>
      <c r="L417" s="355">
        <v>0</v>
      </c>
      <c r="M417" s="2"/>
    </row>
    <row r="418" spans="1:13" ht="15.75">
      <c r="A418" s="350"/>
      <c r="B418" s="351"/>
      <c r="C418" s="352"/>
      <c r="D418" s="352"/>
      <c r="E418" s="351"/>
      <c r="F418" s="351"/>
      <c r="G418" s="340"/>
      <c r="H418" s="352"/>
      <c r="I418" s="352"/>
      <c r="J418" s="352"/>
      <c r="K418" s="352"/>
      <c r="L418" s="355">
        <v>0</v>
      </c>
      <c r="M418" s="2"/>
    </row>
    <row r="419" spans="1:13" ht="15.75">
      <c r="A419" s="350"/>
      <c r="B419" s="351"/>
      <c r="C419" s="352"/>
      <c r="D419" s="352"/>
      <c r="E419" s="351"/>
      <c r="F419" s="351"/>
      <c r="G419" s="340"/>
      <c r="H419" s="352"/>
      <c r="I419" s="352"/>
      <c r="J419" s="352"/>
      <c r="K419" s="352"/>
      <c r="L419" s="355">
        <v>0</v>
      </c>
      <c r="M419" s="2"/>
    </row>
    <row r="420" spans="1:13" ht="15.75">
      <c r="A420" s="350"/>
      <c r="B420" s="351"/>
      <c r="C420" s="352"/>
      <c r="D420" s="352"/>
      <c r="E420" s="351"/>
      <c r="F420" s="351"/>
      <c r="G420" s="340"/>
      <c r="H420" s="352"/>
      <c r="I420" s="352"/>
      <c r="J420" s="352"/>
      <c r="K420" s="352"/>
      <c r="L420" s="355">
        <v>0</v>
      </c>
      <c r="M420" s="2"/>
    </row>
    <row r="421" spans="1:13" ht="15.75">
      <c r="A421" s="350"/>
      <c r="B421" s="351"/>
      <c r="C421" s="352"/>
      <c r="D421" s="352"/>
      <c r="E421" s="351"/>
      <c r="F421" s="351"/>
      <c r="G421" s="340"/>
      <c r="H421" s="352"/>
      <c r="I421" s="352"/>
      <c r="J421" s="352"/>
      <c r="K421" s="352"/>
      <c r="L421" s="355">
        <v>0</v>
      </c>
      <c r="M421" s="2"/>
    </row>
    <row r="422" spans="1:13" ht="15.75">
      <c r="A422" s="350"/>
      <c r="B422" s="351"/>
      <c r="C422" s="352"/>
      <c r="D422" s="352"/>
      <c r="E422" s="351"/>
      <c r="F422" s="351"/>
      <c r="G422" s="340"/>
      <c r="H422" s="352"/>
      <c r="I422" s="352"/>
      <c r="J422" s="352"/>
      <c r="K422" s="352"/>
      <c r="L422" s="355">
        <v>0</v>
      </c>
      <c r="M422" s="2"/>
    </row>
    <row r="423" spans="1:13" ht="15.75">
      <c r="A423" s="350"/>
      <c r="B423" s="351"/>
      <c r="C423" s="352"/>
      <c r="D423" s="352"/>
      <c r="E423" s="351"/>
      <c r="F423" s="351"/>
      <c r="G423" s="340"/>
      <c r="H423" s="352"/>
      <c r="I423" s="352"/>
      <c r="J423" s="352"/>
      <c r="K423" s="352"/>
      <c r="L423" s="355">
        <v>0</v>
      </c>
      <c r="M423" s="2"/>
    </row>
    <row r="424" spans="1:13" ht="15.75">
      <c r="A424" s="350"/>
      <c r="B424" s="351"/>
      <c r="C424" s="352"/>
      <c r="D424" s="352"/>
      <c r="E424" s="351"/>
      <c r="F424" s="351"/>
      <c r="G424" s="340"/>
      <c r="H424" s="352"/>
      <c r="I424" s="352"/>
      <c r="J424" s="352"/>
      <c r="K424" s="352"/>
      <c r="L424" s="355">
        <v>0</v>
      </c>
      <c r="M424" s="2"/>
    </row>
    <row r="425" spans="1:13" ht="15.75">
      <c r="A425" s="350"/>
      <c r="B425" s="351"/>
      <c r="C425" s="352"/>
      <c r="D425" s="352"/>
      <c r="E425" s="351"/>
      <c r="F425" s="351"/>
      <c r="G425" s="340"/>
      <c r="H425" s="352"/>
      <c r="I425" s="352"/>
      <c r="J425" s="352"/>
      <c r="K425" s="352"/>
      <c r="L425" s="355">
        <v>0</v>
      </c>
      <c r="M425" s="2"/>
    </row>
    <row r="426" spans="1:13" ht="15.75">
      <c r="A426" s="350"/>
      <c r="B426" s="351"/>
      <c r="C426" s="352"/>
      <c r="D426" s="352"/>
      <c r="E426" s="351"/>
      <c r="F426" s="351"/>
      <c r="G426" s="340"/>
      <c r="H426" s="352"/>
      <c r="I426" s="352"/>
      <c r="J426" s="352"/>
      <c r="K426" s="352"/>
      <c r="L426" s="355">
        <v>0</v>
      </c>
      <c r="M426" s="2"/>
    </row>
    <row r="427" spans="1:13" ht="15.75">
      <c r="A427" s="350"/>
      <c r="B427" s="351"/>
      <c r="C427" s="352"/>
      <c r="D427" s="352"/>
      <c r="E427" s="351"/>
      <c r="F427" s="351"/>
      <c r="G427" s="340"/>
      <c r="H427" s="352"/>
      <c r="I427" s="352"/>
      <c r="J427" s="352"/>
      <c r="K427" s="352"/>
      <c r="L427" s="355">
        <v>0</v>
      </c>
      <c r="M427" s="2"/>
    </row>
    <row r="428" spans="1:13" ht="15.75">
      <c r="A428" s="350"/>
      <c r="B428" s="351"/>
      <c r="C428" s="352"/>
      <c r="D428" s="352"/>
      <c r="E428" s="351"/>
      <c r="F428" s="351"/>
      <c r="G428" s="340"/>
      <c r="H428" s="352"/>
      <c r="I428" s="352"/>
      <c r="J428" s="352"/>
      <c r="K428" s="352"/>
      <c r="L428" s="355">
        <v>0</v>
      </c>
      <c r="M428" s="2"/>
    </row>
    <row r="429" spans="1:13" ht="15.75">
      <c r="A429" s="350"/>
      <c r="B429" s="351"/>
      <c r="C429" s="352"/>
      <c r="D429" s="352"/>
      <c r="E429" s="351"/>
      <c r="F429" s="351"/>
      <c r="G429" s="340"/>
      <c r="H429" s="352"/>
      <c r="I429" s="352"/>
      <c r="J429" s="352"/>
      <c r="K429" s="352"/>
      <c r="L429" s="355">
        <v>0</v>
      </c>
      <c r="M429" s="2"/>
    </row>
    <row r="430" spans="1:13" ht="15.75">
      <c r="A430" s="350"/>
      <c r="B430" s="351"/>
      <c r="C430" s="352"/>
      <c r="D430" s="352"/>
      <c r="E430" s="351"/>
      <c r="F430" s="351"/>
      <c r="G430" s="340"/>
      <c r="H430" s="352"/>
      <c r="I430" s="352"/>
      <c r="J430" s="352"/>
      <c r="K430" s="352"/>
      <c r="L430" s="355">
        <v>0</v>
      </c>
      <c r="M430" s="2"/>
    </row>
    <row r="431" spans="1:13" ht="15.75">
      <c r="A431" s="350"/>
      <c r="B431" s="351"/>
      <c r="C431" s="352"/>
      <c r="D431" s="352"/>
      <c r="E431" s="351"/>
      <c r="F431" s="351"/>
      <c r="G431" s="340"/>
      <c r="H431" s="352"/>
      <c r="I431" s="352"/>
      <c r="J431" s="352"/>
      <c r="K431" s="352"/>
      <c r="L431" s="355">
        <v>0</v>
      </c>
      <c r="M431" s="2"/>
    </row>
    <row r="432" spans="1:13" ht="15.75">
      <c r="A432" s="350"/>
      <c r="B432" s="351"/>
      <c r="C432" s="352"/>
      <c r="D432" s="352"/>
      <c r="E432" s="351"/>
      <c r="F432" s="351"/>
      <c r="G432" s="340"/>
      <c r="H432" s="352"/>
      <c r="I432" s="352"/>
      <c r="J432" s="352"/>
      <c r="K432" s="352"/>
      <c r="L432" s="355">
        <v>0</v>
      </c>
      <c r="M432" s="2"/>
    </row>
    <row r="433" spans="1:13" ht="15.75">
      <c r="A433" s="350"/>
      <c r="B433" s="351"/>
      <c r="C433" s="352"/>
      <c r="D433" s="352"/>
      <c r="E433" s="351"/>
      <c r="F433" s="351"/>
      <c r="G433" s="340"/>
      <c r="H433" s="352"/>
      <c r="I433" s="352"/>
      <c r="J433" s="352"/>
      <c r="K433" s="352"/>
      <c r="L433" s="355">
        <v>0</v>
      </c>
      <c r="M433" s="2"/>
    </row>
    <row r="434" spans="1:13" ht="15.75">
      <c r="A434" s="350"/>
      <c r="B434" s="351"/>
      <c r="C434" s="352"/>
      <c r="D434" s="352"/>
      <c r="E434" s="351"/>
      <c r="F434" s="351"/>
      <c r="G434" s="340"/>
      <c r="H434" s="352"/>
      <c r="I434" s="352"/>
      <c r="J434" s="352"/>
      <c r="K434" s="352"/>
      <c r="L434" s="355">
        <v>0</v>
      </c>
      <c r="M434" s="2"/>
    </row>
    <row r="435" spans="1:13" ht="15.75">
      <c r="A435" s="350"/>
      <c r="B435" s="351"/>
      <c r="C435" s="352"/>
      <c r="D435" s="352"/>
      <c r="E435" s="351"/>
      <c r="F435" s="351"/>
      <c r="G435" s="340"/>
      <c r="H435" s="352"/>
      <c r="I435" s="352"/>
      <c r="J435" s="352"/>
      <c r="K435" s="352"/>
      <c r="L435" s="355">
        <v>0</v>
      </c>
      <c r="M435" s="2"/>
    </row>
    <row r="436" spans="1:13" ht="15.75">
      <c r="A436" s="350"/>
      <c r="B436" s="351"/>
      <c r="C436" s="352"/>
      <c r="D436" s="352"/>
      <c r="E436" s="351"/>
      <c r="F436" s="351"/>
      <c r="G436" s="340"/>
      <c r="H436" s="352"/>
      <c r="I436" s="352"/>
      <c r="J436" s="352"/>
      <c r="K436" s="352"/>
      <c r="L436" s="355">
        <v>0</v>
      </c>
      <c r="M436" s="2"/>
    </row>
    <row r="437" spans="1:13" ht="15.75">
      <c r="A437" s="350"/>
      <c r="B437" s="351"/>
      <c r="C437" s="352"/>
      <c r="D437" s="352"/>
      <c r="E437" s="351"/>
      <c r="F437" s="351"/>
      <c r="G437" s="340"/>
      <c r="H437" s="352"/>
      <c r="I437" s="352"/>
      <c r="J437" s="352"/>
      <c r="K437" s="352"/>
      <c r="L437" s="355">
        <v>0</v>
      </c>
      <c r="M437" s="2"/>
    </row>
    <row r="438" spans="1:13" ht="15.75">
      <c r="A438" s="350"/>
      <c r="B438" s="351"/>
      <c r="C438" s="352"/>
      <c r="D438" s="352"/>
      <c r="E438" s="351"/>
      <c r="F438" s="351"/>
      <c r="G438" s="340"/>
      <c r="H438" s="352"/>
      <c r="I438" s="352"/>
      <c r="J438" s="352"/>
      <c r="K438" s="352"/>
      <c r="L438" s="355">
        <v>0</v>
      </c>
      <c r="M438" s="2"/>
    </row>
    <row r="439" spans="1:13" ht="15.75">
      <c r="A439" s="350"/>
      <c r="B439" s="351"/>
      <c r="C439" s="352"/>
      <c r="D439" s="352"/>
      <c r="E439" s="351"/>
      <c r="F439" s="351"/>
      <c r="G439" s="340"/>
      <c r="H439" s="352"/>
      <c r="I439" s="352"/>
      <c r="J439" s="352"/>
      <c r="K439" s="352"/>
      <c r="L439" s="355">
        <v>0</v>
      </c>
      <c r="M439" s="2"/>
    </row>
    <row r="440" spans="1:13" ht="15.75">
      <c r="A440" s="350"/>
      <c r="B440" s="351"/>
      <c r="C440" s="352"/>
      <c r="D440" s="352"/>
      <c r="E440" s="351"/>
      <c r="F440" s="351"/>
      <c r="G440" s="340"/>
      <c r="H440" s="352"/>
      <c r="I440" s="352"/>
      <c r="J440" s="352"/>
      <c r="K440" s="352"/>
      <c r="L440" s="355">
        <v>0</v>
      </c>
      <c r="M440" s="2"/>
    </row>
    <row r="441" spans="1:13" ht="15.75">
      <c r="A441" s="350"/>
      <c r="B441" s="351"/>
      <c r="C441" s="352"/>
      <c r="D441" s="352"/>
      <c r="E441" s="351"/>
      <c r="F441" s="351"/>
      <c r="G441" s="340"/>
      <c r="H441" s="352"/>
      <c r="I441" s="352"/>
      <c r="J441" s="352"/>
      <c r="K441" s="352"/>
      <c r="L441" s="355">
        <v>0</v>
      </c>
      <c r="M441" s="2"/>
    </row>
    <row r="442" spans="1:13" ht="15.75">
      <c r="A442" s="350"/>
      <c r="B442" s="351"/>
      <c r="C442" s="352"/>
      <c r="D442" s="352"/>
      <c r="E442" s="351"/>
      <c r="F442" s="351"/>
      <c r="G442" s="340"/>
      <c r="H442" s="352"/>
      <c r="I442" s="352"/>
      <c r="J442" s="352"/>
      <c r="K442" s="352"/>
      <c r="L442" s="355">
        <v>0</v>
      </c>
      <c r="M442" s="2"/>
    </row>
    <row r="443" spans="1:13" ht="15.75">
      <c r="A443" s="350"/>
      <c r="B443" s="351"/>
      <c r="C443" s="352"/>
      <c r="D443" s="352"/>
      <c r="E443" s="351"/>
      <c r="F443" s="351"/>
      <c r="G443" s="340"/>
      <c r="H443" s="352"/>
      <c r="I443" s="352"/>
      <c r="J443" s="352"/>
      <c r="K443" s="352"/>
      <c r="L443" s="355">
        <v>0</v>
      </c>
      <c r="M443" s="2"/>
    </row>
    <row r="444" spans="1:13" ht="15.75">
      <c r="A444" s="350"/>
      <c r="B444" s="351"/>
      <c r="C444" s="352"/>
      <c r="D444" s="352"/>
      <c r="E444" s="351"/>
      <c r="F444" s="351"/>
      <c r="G444" s="340"/>
      <c r="H444" s="352"/>
      <c r="I444" s="352"/>
      <c r="J444" s="352"/>
      <c r="K444" s="352"/>
      <c r="L444" s="355">
        <v>0</v>
      </c>
      <c r="M444" s="2"/>
    </row>
    <row r="445" spans="1:13" ht="15.75">
      <c r="A445" s="350"/>
      <c r="B445" s="351"/>
      <c r="C445" s="352"/>
      <c r="D445" s="352"/>
      <c r="E445" s="351"/>
      <c r="F445" s="351"/>
      <c r="G445" s="340"/>
      <c r="H445" s="352"/>
      <c r="I445" s="352"/>
      <c r="J445" s="352"/>
      <c r="K445" s="352"/>
      <c r="L445" s="355">
        <v>0</v>
      </c>
      <c r="M445" s="2"/>
    </row>
    <row r="446" spans="1:13" ht="15.75">
      <c r="A446" s="350"/>
      <c r="B446" s="351"/>
      <c r="C446" s="352"/>
      <c r="D446" s="352"/>
      <c r="E446" s="351"/>
      <c r="F446" s="351"/>
      <c r="G446" s="340"/>
      <c r="H446" s="352"/>
      <c r="I446" s="352"/>
      <c r="J446" s="352"/>
      <c r="K446" s="352"/>
      <c r="L446" s="355">
        <v>0</v>
      </c>
      <c r="M446" s="2"/>
    </row>
    <row r="447" spans="1:13" ht="15.75">
      <c r="A447" s="350"/>
      <c r="B447" s="351"/>
      <c r="C447" s="352"/>
      <c r="D447" s="352"/>
      <c r="E447" s="351"/>
      <c r="F447" s="351"/>
      <c r="G447" s="340"/>
      <c r="H447" s="352"/>
      <c r="I447" s="352"/>
      <c r="J447" s="352"/>
      <c r="K447" s="352"/>
      <c r="L447" s="355">
        <v>0</v>
      </c>
      <c r="M447" s="2"/>
    </row>
    <row r="448" spans="1:13" ht="15.75">
      <c r="A448" s="350"/>
      <c r="B448" s="351"/>
      <c r="C448" s="352"/>
      <c r="D448" s="352"/>
      <c r="E448" s="351"/>
      <c r="F448" s="351"/>
      <c r="G448" s="340"/>
      <c r="H448" s="352"/>
      <c r="I448" s="352"/>
      <c r="J448" s="352"/>
      <c r="K448" s="352"/>
      <c r="L448" s="355">
        <v>0</v>
      </c>
      <c r="M448" s="2"/>
    </row>
    <row r="449" spans="1:13" ht="15.75">
      <c r="A449" s="350"/>
      <c r="B449" s="351"/>
      <c r="C449" s="352"/>
      <c r="D449" s="352"/>
      <c r="E449" s="351"/>
      <c r="F449" s="351"/>
      <c r="G449" s="340"/>
      <c r="H449" s="352"/>
      <c r="I449" s="352"/>
      <c r="J449" s="352"/>
      <c r="K449" s="352"/>
      <c r="L449" s="355">
        <v>0</v>
      </c>
      <c r="M449" s="2"/>
    </row>
    <row r="450" spans="1:13" ht="15.75">
      <c r="A450" s="350"/>
      <c r="B450" s="351"/>
      <c r="C450" s="352"/>
      <c r="D450" s="352"/>
      <c r="E450" s="351"/>
      <c r="F450" s="351"/>
      <c r="G450" s="340"/>
      <c r="H450" s="352"/>
      <c r="I450" s="352"/>
      <c r="J450" s="352"/>
      <c r="K450" s="352"/>
      <c r="L450" s="355">
        <v>0</v>
      </c>
      <c r="M450" s="2"/>
    </row>
    <row r="451" spans="1:13" ht="15.75">
      <c r="A451" s="350"/>
      <c r="B451" s="351"/>
      <c r="C451" s="352"/>
      <c r="D451" s="352"/>
      <c r="E451" s="351"/>
      <c r="F451" s="351"/>
      <c r="G451" s="340"/>
      <c r="H451" s="352"/>
      <c r="I451" s="352"/>
      <c r="J451" s="352"/>
      <c r="K451" s="352"/>
      <c r="L451" s="355">
        <v>0</v>
      </c>
      <c r="M451" s="2"/>
    </row>
    <row r="452" spans="1:13" ht="15.75">
      <c r="A452" s="350"/>
      <c r="B452" s="351"/>
      <c r="C452" s="352"/>
      <c r="D452" s="352"/>
      <c r="E452" s="351"/>
      <c r="F452" s="351"/>
      <c r="G452" s="340"/>
      <c r="H452" s="352"/>
      <c r="I452" s="352"/>
      <c r="J452" s="352"/>
      <c r="K452" s="352"/>
      <c r="L452" s="355">
        <v>0</v>
      </c>
      <c r="M452" s="2"/>
    </row>
    <row r="453" spans="1:13" ht="15.75">
      <c r="A453" s="350"/>
      <c r="B453" s="351"/>
      <c r="C453" s="352"/>
      <c r="D453" s="352"/>
      <c r="E453" s="351"/>
      <c r="F453" s="351"/>
      <c r="G453" s="340"/>
      <c r="H453" s="352"/>
      <c r="I453" s="352"/>
      <c r="J453" s="352"/>
      <c r="K453" s="352"/>
      <c r="L453" s="355">
        <v>0</v>
      </c>
      <c r="M453" s="2"/>
    </row>
    <row r="454" spans="1:13" ht="15.75">
      <c r="A454" s="350"/>
      <c r="B454" s="351"/>
      <c r="C454" s="352"/>
      <c r="D454" s="352"/>
      <c r="E454" s="351"/>
      <c r="F454" s="351"/>
      <c r="G454" s="340"/>
      <c r="H454" s="352"/>
      <c r="I454" s="352"/>
      <c r="J454" s="352"/>
      <c r="K454" s="352"/>
      <c r="L454" s="355">
        <v>0</v>
      </c>
      <c r="M454" s="2"/>
    </row>
    <row r="455" spans="1:13" ht="15.75">
      <c r="A455" s="350"/>
      <c r="B455" s="351"/>
      <c r="C455" s="352"/>
      <c r="D455" s="352"/>
      <c r="E455" s="351"/>
      <c r="F455" s="351"/>
      <c r="G455" s="340"/>
      <c r="H455" s="352"/>
      <c r="I455" s="352"/>
      <c r="J455" s="352"/>
      <c r="K455" s="352"/>
      <c r="L455" s="355">
        <v>0</v>
      </c>
      <c r="M455" s="2"/>
    </row>
    <row r="456" spans="1:13" ht="15.75">
      <c r="A456" s="350"/>
      <c r="B456" s="351"/>
      <c r="C456" s="352"/>
      <c r="D456" s="352"/>
      <c r="E456" s="351"/>
      <c r="F456" s="351"/>
      <c r="G456" s="340"/>
      <c r="H456" s="352"/>
      <c r="I456" s="352"/>
      <c r="J456" s="352"/>
      <c r="K456" s="352"/>
      <c r="L456" s="355">
        <v>0</v>
      </c>
      <c r="M456" s="2"/>
    </row>
    <row r="457" spans="1:13" ht="15.75">
      <c r="A457" s="350"/>
      <c r="B457" s="351"/>
      <c r="C457" s="352"/>
      <c r="D457" s="352"/>
      <c r="E457" s="351"/>
      <c r="F457" s="351"/>
      <c r="G457" s="340"/>
      <c r="H457" s="352"/>
      <c r="I457" s="352"/>
      <c r="J457" s="352"/>
      <c r="K457" s="352"/>
      <c r="L457" s="355">
        <v>0</v>
      </c>
      <c r="M457" s="2"/>
    </row>
    <row r="458" spans="1:13" ht="15.75">
      <c r="A458" s="350"/>
      <c r="B458" s="351"/>
      <c r="C458" s="352"/>
      <c r="D458" s="352"/>
      <c r="E458" s="351"/>
      <c r="F458" s="351"/>
      <c r="G458" s="340"/>
      <c r="H458" s="352"/>
      <c r="I458" s="352"/>
      <c r="J458" s="352"/>
      <c r="K458" s="352"/>
      <c r="L458" s="355">
        <v>0</v>
      </c>
      <c r="M458" s="2"/>
    </row>
    <row r="459" spans="1:13" ht="15.75">
      <c r="A459" s="350"/>
      <c r="B459" s="351"/>
      <c r="C459" s="352"/>
      <c r="D459" s="352"/>
      <c r="E459" s="351"/>
      <c r="F459" s="351"/>
      <c r="G459" s="340"/>
      <c r="H459" s="352"/>
      <c r="I459" s="352"/>
      <c r="J459" s="352"/>
      <c r="K459" s="352"/>
      <c r="L459" s="355">
        <v>0</v>
      </c>
      <c r="M459" s="2"/>
    </row>
    <row r="460" spans="1:13" ht="15.75">
      <c r="A460" s="350"/>
      <c r="B460" s="351"/>
      <c r="C460" s="352"/>
      <c r="D460" s="352"/>
      <c r="E460" s="351"/>
      <c r="F460" s="351"/>
      <c r="G460" s="340"/>
      <c r="H460" s="352"/>
      <c r="I460" s="352"/>
      <c r="J460" s="352"/>
      <c r="K460" s="352"/>
      <c r="L460" s="355">
        <v>0</v>
      </c>
      <c r="M460" s="2"/>
    </row>
    <row r="461" spans="1:13" ht="15.75">
      <c r="A461" s="350"/>
      <c r="B461" s="351"/>
      <c r="C461" s="352"/>
      <c r="D461" s="352"/>
      <c r="E461" s="351"/>
      <c r="F461" s="351"/>
      <c r="G461" s="340"/>
      <c r="H461" s="352"/>
      <c r="I461" s="352"/>
      <c r="J461" s="352"/>
      <c r="K461" s="352"/>
      <c r="L461" s="355">
        <v>0</v>
      </c>
      <c r="M461" s="2"/>
    </row>
    <row r="462" spans="1:13" ht="15.75">
      <c r="A462" s="350"/>
      <c r="B462" s="351"/>
      <c r="C462" s="352"/>
      <c r="D462" s="352"/>
      <c r="E462" s="351"/>
      <c r="F462" s="351"/>
      <c r="G462" s="340"/>
      <c r="H462" s="352"/>
      <c r="I462" s="352"/>
      <c r="J462" s="352"/>
      <c r="K462" s="352"/>
      <c r="L462" s="355">
        <v>0</v>
      </c>
      <c r="M462" s="2"/>
    </row>
    <row r="463" spans="1:13" ht="15.75">
      <c r="A463" s="350"/>
      <c r="B463" s="351"/>
      <c r="C463" s="352"/>
      <c r="D463" s="352"/>
      <c r="E463" s="351"/>
      <c r="F463" s="351"/>
      <c r="G463" s="340"/>
      <c r="H463" s="352"/>
      <c r="I463" s="352"/>
      <c r="J463" s="352"/>
      <c r="K463" s="352"/>
      <c r="L463" s="355">
        <v>0</v>
      </c>
      <c r="M463" s="2"/>
    </row>
    <row r="464" spans="1:13" ht="15.75">
      <c r="A464" s="350"/>
      <c r="B464" s="351"/>
      <c r="C464" s="352"/>
      <c r="D464" s="352"/>
      <c r="E464" s="351"/>
      <c r="F464" s="351"/>
      <c r="G464" s="340"/>
      <c r="H464" s="352"/>
      <c r="I464" s="352"/>
      <c r="J464" s="352"/>
      <c r="K464" s="352"/>
      <c r="L464" s="355">
        <v>0</v>
      </c>
      <c r="M464" s="2"/>
    </row>
    <row r="465" spans="1:13" ht="15.75">
      <c r="A465" s="350"/>
      <c r="B465" s="351"/>
      <c r="C465" s="352"/>
      <c r="D465" s="352"/>
      <c r="E465" s="351"/>
      <c r="F465" s="351"/>
      <c r="G465" s="340"/>
      <c r="H465" s="352"/>
      <c r="I465" s="352"/>
      <c r="J465" s="352"/>
      <c r="K465" s="352"/>
      <c r="L465" s="355">
        <v>0</v>
      </c>
      <c r="M465" s="2"/>
    </row>
    <row r="466" spans="1:13" ht="15.75">
      <c r="A466" s="350"/>
      <c r="B466" s="351"/>
      <c r="C466" s="352"/>
      <c r="D466" s="352"/>
      <c r="E466" s="351"/>
      <c r="F466" s="351"/>
      <c r="G466" s="340"/>
      <c r="H466" s="352"/>
      <c r="I466" s="352"/>
      <c r="J466" s="352"/>
      <c r="K466" s="352"/>
      <c r="L466" s="355">
        <v>0</v>
      </c>
      <c r="M466" s="2"/>
    </row>
    <row r="467" spans="1:13" ht="15.75">
      <c r="A467" s="350"/>
      <c r="B467" s="351"/>
      <c r="C467" s="352"/>
      <c r="D467" s="352"/>
      <c r="E467" s="351"/>
      <c r="F467" s="351"/>
      <c r="G467" s="340"/>
      <c r="H467" s="352"/>
      <c r="I467" s="352"/>
      <c r="J467" s="352"/>
      <c r="K467" s="352"/>
      <c r="L467" s="355">
        <v>0</v>
      </c>
      <c r="M467" s="2"/>
    </row>
    <row r="468" spans="1:13" ht="15.75">
      <c r="A468" s="350"/>
      <c r="B468" s="351"/>
      <c r="C468" s="352"/>
      <c r="D468" s="352"/>
      <c r="E468" s="351"/>
      <c r="F468" s="351"/>
      <c r="G468" s="340"/>
      <c r="H468" s="352"/>
      <c r="I468" s="352"/>
      <c r="J468" s="352"/>
      <c r="K468" s="352"/>
      <c r="L468" s="355">
        <v>0</v>
      </c>
      <c r="M468" s="2"/>
    </row>
    <row r="469" spans="1:13" ht="15.75">
      <c r="A469" s="350"/>
      <c r="B469" s="351"/>
      <c r="C469" s="352"/>
      <c r="D469" s="352"/>
      <c r="E469" s="351"/>
      <c r="F469" s="351"/>
      <c r="G469" s="340"/>
      <c r="H469" s="352"/>
      <c r="I469" s="352"/>
      <c r="J469" s="352"/>
      <c r="K469" s="352"/>
      <c r="L469" s="355">
        <v>0</v>
      </c>
      <c r="M469" s="2"/>
    </row>
    <row r="470" spans="1:13" ht="15.75">
      <c r="A470" s="350"/>
      <c r="B470" s="351"/>
      <c r="C470" s="352"/>
      <c r="D470" s="352"/>
      <c r="E470" s="351"/>
      <c r="F470" s="351"/>
      <c r="G470" s="340"/>
      <c r="H470" s="352"/>
      <c r="I470" s="352"/>
      <c r="J470" s="352"/>
      <c r="K470" s="352"/>
      <c r="L470" s="355">
        <v>0</v>
      </c>
      <c r="M470" s="2"/>
    </row>
    <row r="471" spans="1:13" ht="15.75">
      <c r="A471" s="350"/>
      <c r="B471" s="351"/>
      <c r="C471" s="352"/>
      <c r="D471" s="352"/>
      <c r="E471" s="351"/>
      <c r="F471" s="351"/>
      <c r="G471" s="340"/>
      <c r="H471" s="352"/>
      <c r="I471" s="352"/>
      <c r="J471" s="352"/>
      <c r="K471" s="352"/>
      <c r="L471" s="355">
        <v>0</v>
      </c>
      <c r="M471" s="2"/>
    </row>
    <row r="472" spans="1:13" ht="15.75">
      <c r="A472" s="350"/>
      <c r="B472" s="351"/>
      <c r="C472" s="352"/>
      <c r="D472" s="352"/>
      <c r="E472" s="351"/>
      <c r="F472" s="351"/>
      <c r="G472" s="340"/>
      <c r="H472" s="352"/>
      <c r="I472" s="352"/>
      <c r="J472" s="352"/>
      <c r="K472" s="352"/>
      <c r="L472" s="355">
        <v>0</v>
      </c>
      <c r="M472" s="2"/>
    </row>
    <row r="473" spans="1:13" ht="15.75">
      <c r="A473" s="350"/>
      <c r="B473" s="351"/>
      <c r="C473" s="352"/>
      <c r="D473" s="352"/>
      <c r="E473" s="351"/>
      <c r="F473" s="351"/>
      <c r="G473" s="340"/>
      <c r="H473" s="352"/>
      <c r="I473" s="352"/>
      <c r="J473" s="352"/>
      <c r="K473" s="352"/>
      <c r="L473" s="355">
        <v>0</v>
      </c>
      <c r="M473" s="2"/>
    </row>
    <row r="474" spans="1:13" ht="15.75">
      <c r="A474" s="350"/>
      <c r="B474" s="351"/>
      <c r="C474" s="352"/>
      <c r="D474" s="352"/>
      <c r="E474" s="351"/>
      <c r="F474" s="351"/>
      <c r="G474" s="340"/>
      <c r="H474" s="352"/>
      <c r="I474" s="352"/>
      <c r="J474" s="352"/>
      <c r="K474" s="352"/>
      <c r="L474" s="355">
        <v>0</v>
      </c>
      <c r="M474" s="2"/>
    </row>
    <row r="475" spans="1:13" ht="15.75">
      <c r="A475" s="350"/>
      <c r="B475" s="351"/>
      <c r="C475" s="352"/>
      <c r="D475" s="352"/>
      <c r="E475" s="351"/>
      <c r="F475" s="351"/>
      <c r="G475" s="340"/>
      <c r="H475" s="352"/>
      <c r="I475" s="352"/>
      <c r="J475" s="352"/>
      <c r="K475" s="352"/>
      <c r="L475" s="355">
        <v>0</v>
      </c>
      <c r="M475" s="2"/>
    </row>
    <row r="476" spans="1:13" ht="15.75">
      <c r="A476" s="350"/>
      <c r="B476" s="351"/>
      <c r="C476" s="352"/>
      <c r="D476" s="352"/>
      <c r="E476" s="351"/>
      <c r="F476" s="351"/>
      <c r="G476" s="340"/>
      <c r="H476" s="352"/>
      <c r="I476" s="352"/>
      <c r="J476" s="352"/>
      <c r="K476" s="352"/>
      <c r="L476" s="355">
        <v>0</v>
      </c>
      <c r="M476" s="2"/>
    </row>
    <row r="477" spans="1:13" ht="15.75">
      <c r="A477" s="350"/>
      <c r="B477" s="351"/>
      <c r="C477" s="352"/>
      <c r="D477" s="352"/>
      <c r="E477" s="351"/>
      <c r="F477" s="351"/>
      <c r="G477" s="340"/>
      <c r="H477" s="352"/>
      <c r="I477" s="352"/>
      <c r="J477" s="352"/>
      <c r="K477" s="352"/>
      <c r="L477" s="355">
        <v>0</v>
      </c>
      <c r="M477" s="2"/>
    </row>
    <row r="478" spans="1:13" ht="15.75">
      <c r="A478" s="350"/>
      <c r="B478" s="351"/>
      <c r="C478" s="352"/>
      <c r="D478" s="352"/>
      <c r="E478" s="351"/>
      <c r="F478" s="351"/>
      <c r="G478" s="340"/>
      <c r="H478" s="352"/>
      <c r="I478" s="352"/>
      <c r="J478" s="352"/>
      <c r="K478" s="352"/>
      <c r="L478" s="355">
        <v>0</v>
      </c>
      <c r="M478" s="2"/>
    </row>
    <row r="479" spans="1:13" ht="15.75">
      <c r="A479" s="350"/>
      <c r="B479" s="351"/>
      <c r="C479" s="352"/>
      <c r="D479" s="352"/>
      <c r="E479" s="351"/>
      <c r="F479" s="351"/>
      <c r="G479" s="340"/>
      <c r="H479" s="352"/>
      <c r="I479" s="352"/>
      <c r="J479" s="352"/>
      <c r="K479" s="352"/>
      <c r="L479" s="355">
        <v>0</v>
      </c>
      <c r="M479" s="2"/>
    </row>
    <row r="480" spans="1:13" ht="15.75">
      <c r="A480" s="350"/>
      <c r="B480" s="351"/>
      <c r="C480" s="352"/>
      <c r="D480" s="352"/>
      <c r="E480" s="351"/>
      <c r="F480" s="351"/>
      <c r="G480" s="340"/>
      <c r="H480" s="352"/>
      <c r="I480" s="352"/>
      <c r="J480" s="352"/>
      <c r="K480" s="352"/>
      <c r="L480" s="355">
        <v>0</v>
      </c>
      <c r="M480" s="2"/>
    </row>
    <row r="481" spans="1:13" ht="15.75">
      <c r="A481" s="350"/>
      <c r="B481" s="351"/>
      <c r="C481" s="352"/>
      <c r="D481" s="352"/>
      <c r="E481" s="351"/>
      <c r="F481" s="351"/>
      <c r="G481" s="340"/>
      <c r="H481" s="352"/>
      <c r="I481" s="352"/>
      <c r="J481" s="352"/>
      <c r="K481" s="352"/>
      <c r="L481" s="355">
        <v>0</v>
      </c>
      <c r="M481" s="2"/>
    </row>
    <row r="482" spans="1:13" ht="15.75">
      <c r="A482" s="350"/>
      <c r="B482" s="351"/>
      <c r="C482" s="352"/>
      <c r="D482" s="352"/>
      <c r="E482" s="351"/>
      <c r="F482" s="351"/>
      <c r="G482" s="340"/>
      <c r="H482" s="352"/>
      <c r="I482" s="352"/>
      <c r="J482" s="352"/>
      <c r="K482" s="352"/>
      <c r="L482" s="355">
        <v>0</v>
      </c>
      <c r="M482" s="2"/>
    </row>
    <row r="483" spans="1:13" ht="15.75">
      <c r="A483" s="350"/>
      <c r="B483" s="351"/>
      <c r="C483" s="352"/>
      <c r="D483" s="352"/>
      <c r="E483" s="351"/>
      <c r="F483" s="351"/>
      <c r="G483" s="340"/>
      <c r="H483" s="352"/>
      <c r="I483" s="352"/>
      <c r="J483" s="352"/>
      <c r="K483" s="352"/>
      <c r="L483" s="355">
        <v>0</v>
      </c>
      <c r="M483" s="2"/>
    </row>
    <row r="484" spans="1:13" ht="15.75">
      <c r="A484" s="350"/>
      <c r="B484" s="351"/>
      <c r="C484" s="352"/>
      <c r="D484" s="352"/>
      <c r="E484" s="351"/>
      <c r="F484" s="351"/>
      <c r="G484" s="340"/>
      <c r="H484" s="352"/>
      <c r="I484" s="352"/>
      <c r="J484" s="352"/>
      <c r="K484" s="352"/>
      <c r="L484" s="355">
        <v>0</v>
      </c>
      <c r="M484" s="2"/>
    </row>
    <row r="485" spans="1:13" ht="15.75">
      <c r="A485" s="350"/>
      <c r="B485" s="351"/>
      <c r="C485" s="352"/>
      <c r="D485" s="352"/>
      <c r="E485" s="351"/>
      <c r="F485" s="351"/>
      <c r="G485" s="340"/>
      <c r="H485" s="352"/>
      <c r="I485" s="352"/>
      <c r="J485" s="352"/>
      <c r="K485" s="352"/>
      <c r="L485" s="355">
        <v>0</v>
      </c>
      <c r="M485" s="2"/>
    </row>
    <row r="486" spans="1:13" ht="15.75">
      <c r="A486" s="350"/>
      <c r="B486" s="351"/>
      <c r="C486" s="352"/>
      <c r="D486" s="352"/>
      <c r="E486" s="351"/>
      <c r="F486" s="351"/>
      <c r="G486" s="340"/>
      <c r="H486" s="352"/>
      <c r="I486" s="352"/>
      <c r="J486" s="352"/>
      <c r="K486" s="352"/>
      <c r="L486" s="355">
        <v>0</v>
      </c>
      <c r="M486" s="2"/>
    </row>
    <row r="487" spans="1:13" ht="15.75">
      <c r="A487" s="350"/>
      <c r="B487" s="351"/>
      <c r="C487" s="352"/>
      <c r="D487" s="352"/>
      <c r="E487" s="351"/>
      <c r="F487" s="351"/>
      <c r="G487" s="340"/>
      <c r="H487" s="352"/>
      <c r="I487" s="352"/>
      <c r="J487" s="352"/>
      <c r="K487" s="352"/>
      <c r="L487" s="355">
        <v>0</v>
      </c>
      <c r="M487" s="2"/>
    </row>
    <row r="488" spans="1:13" ht="15.75">
      <c r="A488" s="350"/>
      <c r="B488" s="351"/>
      <c r="C488" s="352"/>
      <c r="D488" s="352"/>
      <c r="E488" s="351"/>
      <c r="F488" s="351"/>
      <c r="G488" s="340"/>
      <c r="H488" s="352"/>
      <c r="I488" s="352"/>
      <c r="J488" s="352"/>
      <c r="K488" s="352"/>
      <c r="L488" s="355">
        <v>0</v>
      </c>
      <c r="M488" s="2"/>
    </row>
    <row r="489" spans="1:13" ht="15.75">
      <c r="A489" s="350"/>
      <c r="B489" s="351"/>
      <c r="C489" s="352"/>
      <c r="D489" s="352"/>
      <c r="E489" s="351"/>
      <c r="F489" s="351"/>
      <c r="G489" s="340"/>
      <c r="H489" s="352"/>
      <c r="I489" s="352"/>
      <c r="J489" s="352"/>
      <c r="K489" s="352"/>
      <c r="L489" s="355">
        <v>0</v>
      </c>
      <c r="M489" s="2"/>
    </row>
    <row r="490" spans="1:13" ht="15.75">
      <c r="A490" s="350"/>
      <c r="B490" s="351"/>
      <c r="C490" s="352"/>
      <c r="D490" s="352"/>
      <c r="E490" s="351"/>
      <c r="F490" s="351"/>
      <c r="G490" s="340"/>
      <c r="H490" s="352"/>
      <c r="I490" s="352"/>
      <c r="J490" s="352"/>
      <c r="K490" s="352"/>
      <c r="L490" s="355">
        <v>0</v>
      </c>
      <c r="M490" s="2"/>
    </row>
    <row r="491" spans="1:13" ht="15.75">
      <c r="A491" s="350"/>
      <c r="B491" s="351"/>
      <c r="C491" s="352"/>
      <c r="D491" s="352"/>
      <c r="E491" s="351"/>
      <c r="F491" s="351"/>
      <c r="G491" s="340"/>
      <c r="H491" s="352"/>
      <c r="I491" s="352"/>
      <c r="J491" s="352"/>
      <c r="K491" s="352"/>
      <c r="L491" s="355">
        <v>0</v>
      </c>
      <c r="M491" s="2"/>
    </row>
    <row r="492" spans="1:13" ht="15.75">
      <c r="A492" s="350"/>
      <c r="B492" s="351"/>
      <c r="C492" s="352"/>
      <c r="D492" s="352"/>
      <c r="E492" s="351"/>
      <c r="F492" s="351"/>
      <c r="G492" s="340"/>
      <c r="H492" s="352"/>
      <c r="I492" s="352"/>
      <c r="J492" s="352"/>
      <c r="K492" s="352"/>
      <c r="L492" s="355">
        <v>0</v>
      </c>
      <c r="M492" s="2"/>
    </row>
    <row r="493" spans="1:13" ht="15.75">
      <c r="A493" s="350"/>
      <c r="B493" s="351"/>
      <c r="C493" s="352"/>
      <c r="D493" s="352"/>
      <c r="E493" s="351"/>
      <c r="F493" s="351"/>
      <c r="G493" s="340"/>
      <c r="H493" s="352"/>
      <c r="I493" s="352"/>
      <c r="J493" s="352"/>
      <c r="K493" s="352"/>
      <c r="L493" s="355">
        <v>0</v>
      </c>
      <c r="M493" s="2"/>
    </row>
    <row r="494" spans="1:13" ht="15.75">
      <c r="A494" s="350"/>
      <c r="B494" s="351"/>
      <c r="C494" s="352"/>
      <c r="D494" s="352"/>
      <c r="E494" s="351"/>
      <c r="F494" s="351"/>
      <c r="G494" s="340"/>
      <c r="H494" s="352"/>
      <c r="I494" s="352"/>
      <c r="J494" s="352"/>
      <c r="K494" s="352"/>
      <c r="L494" s="355">
        <v>0</v>
      </c>
      <c r="M494" s="2"/>
    </row>
    <row r="495" spans="1:13" ht="15.75">
      <c r="A495" s="350"/>
      <c r="B495" s="351"/>
      <c r="C495" s="352"/>
      <c r="D495" s="352"/>
      <c r="E495" s="351"/>
      <c r="F495" s="351"/>
      <c r="G495" s="340"/>
      <c r="H495" s="352"/>
      <c r="I495" s="352"/>
      <c r="J495" s="352"/>
      <c r="K495" s="352"/>
      <c r="L495" s="355">
        <v>0</v>
      </c>
      <c r="M495" s="2"/>
    </row>
    <row r="496" spans="1:13" ht="15.75">
      <c r="A496" s="350"/>
      <c r="B496" s="351"/>
      <c r="C496" s="352"/>
      <c r="D496" s="352"/>
      <c r="E496" s="351"/>
      <c r="F496" s="351"/>
      <c r="G496" s="340"/>
      <c r="H496" s="352"/>
      <c r="I496" s="352"/>
      <c r="J496" s="352"/>
      <c r="K496" s="352"/>
      <c r="L496" s="355">
        <v>0</v>
      </c>
      <c r="M496" s="2"/>
    </row>
    <row r="497" spans="1:13" ht="15.75">
      <c r="A497" s="350"/>
      <c r="B497" s="351"/>
      <c r="C497" s="352"/>
      <c r="D497" s="352"/>
      <c r="E497" s="351"/>
      <c r="F497" s="351"/>
      <c r="G497" s="340"/>
      <c r="H497" s="352"/>
      <c r="I497" s="352"/>
      <c r="J497" s="352"/>
      <c r="K497" s="352"/>
      <c r="L497" s="355">
        <v>0</v>
      </c>
      <c r="M497" s="2"/>
    </row>
    <row r="498" spans="1:13" ht="15.75">
      <c r="A498" s="350"/>
      <c r="B498" s="351"/>
      <c r="C498" s="352"/>
      <c r="D498" s="352"/>
      <c r="E498" s="351"/>
      <c r="F498" s="351"/>
      <c r="G498" s="340"/>
      <c r="H498" s="352"/>
      <c r="I498" s="352"/>
      <c r="J498" s="352"/>
      <c r="K498" s="352"/>
      <c r="L498" s="355">
        <v>0</v>
      </c>
      <c r="M498" s="2"/>
    </row>
    <row r="499" spans="1:13" ht="15.75">
      <c r="A499" s="350"/>
      <c r="B499" s="351"/>
      <c r="C499" s="352"/>
      <c r="D499" s="352"/>
      <c r="E499" s="351"/>
      <c r="F499" s="351"/>
      <c r="G499" s="340"/>
      <c r="H499" s="352"/>
      <c r="I499" s="352"/>
      <c r="J499" s="352"/>
      <c r="K499" s="352"/>
      <c r="L499" s="355">
        <v>0</v>
      </c>
      <c r="M499" s="2"/>
    </row>
    <row r="500" spans="1:13" ht="15.75">
      <c r="A500" s="350"/>
      <c r="B500" s="351"/>
      <c r="C500" s="352"/>
      <c r="D500" s="352"/>
      <c r="E500" s="351"/>
      <c r="F500" s="351"/>
      <c r="G500" s="340"/>
      <c r="H500" s="352"/>
      <c r="I500" s="352"/>
      <c r="J500" s="352"/>
      <c r="K500" s="352"/>
      <c r="L500" s="355">
        <v>0</v>
      </c>
      <c r="M500" s="2"/>
    </row>
    <row r="501" spans="1:13" ht="15.75">
      <c r="A501" s="350"/>
      <c r="B501" s="351"/>
      <c r="C501" s="352"/>
      <c r="D501" s="352"/>
      <c r="E501" s="351"/>
      <c r="F501" s="351"/>
      <c r="G501" s="340"/>
      <c r="H501" s="352"/>
      <c r="I501" s="352"/>
      <c r="J501" s="352"/>
      <c r="K501" s="352"/>
      <c r="L501" s="355">
        <v>0</v>
      </c>
      <c r="M501" s="2"/>
    </row>
    <row r="502" spans="1:13" ht="15.75">
      <c r="A502" s="350"/>
      <c r="B502" s="351"/>
      <c r="C502" s="352"/>
      <c r="D502" s="352"/>
      <c r="E502" s="351"/>
      <c r="F502" s="351"/>
      <c r="G502" s="340"/>
      <c r="H502" s="352"/>
      <c r="I502" s="352"/>
      <c r="J502" s="352"/>
      <c r="K502" s="352"/>
      <c r="L502" s="355">
        <v>0</v>
      </c>
      <c r="M502" s="2"/>
    </row>
    <row r="503" spans="1:13" ht="15.75">
      <c r="A503" s="350"/>
      <c r="B503" s="351"/>
      <c r="C503" s="352"/>
      <c r="D503" s="352"/>
      <c r="E503" s="351"/>
      <c r="F503" s="351"/>
      <c r="G503" s="340"/>
      <c r="H503" s="352"/>
      <c r="I503" s="352"/>
      <c r="J503" s="352"/>
      <c r="K503" s="352"/>
      <c r="L503" s="355">
        <v>0</v>
      </c>
      <c r="M503" s="2"/>
    </row>
    <row r="504" spans="1:13" ht="15.75">
      <c r="A504" s="350"/>
      <c r="B504" s="351"/>
      <c r="C504" s="352"/>
      <c r="D504" s="352"/>
      <c r="E504" s="351"/>
      <c r="F504" s="351"/>
      <c r="G504" s="340"/>
      <c r="H504" s="352"/>
      <c r="I504" s="352"/>
      <c r="J504" s="352"/>
      <c r="K504" s="352"/>
      <c r="L504" s="355">
        <v>0</v>
      </c>
      <c r="M504" s="2"/>
    </row>
    <row r="505" spans="1:13" ht="15.75">
      <c r="A505" s="350"/>
      <c r="B505" s="351"/>
      <c r="C505" s="352"/>
      <c r="D505" s="352"/>
      <c r="E505" s="351"/>
      <c r="F505" s="351"/>
      <c r="G505" s="340"/>
      <c r="H505" s="352"/>
      <c r="I505" s="352"/>
      <c r="J505" s="352"/>
      <c r="K505" s="352"/>
      <c r="L505" s="355">
        <v>0</v>
      </c>
      <c r="M505" s="2"/>
    </row>
    <row r="506" spans="1:13" ht="15.75">
      <c r="A506" s="350"/>
      <c r="B506" s="351"/>
      <c r="C506" s="352"/>
      <c r="D506" s="352"/>
      <c r="E506" s="351"/>
      <c r="F506" s="351"/>
      <c r="G506" s="340"/>
      <c r="H506" s="352"/>
      <c r="I506" s="352"/>
      <c r="J506" s="352"/>
      <c r="K506" s="352"/>
      <c r="L506" s="355">
        <v>0</v>
      </c>
      <c r="M506" s="2"/>
    </row>
    <row r="507" spans="1:13" ht="15.75">
      <c r="A507" s="350"/>
      <c r="B507" s="351"/>
      <c r="C507" s="352"/>
      <c r="D507" s="352"/>
      <c r="E507" s="351"/>
      <c r="F507" s="351"/>
      <c r="G507" s="340"/>
      <c r="H507" s="352"/>
      <c r="I507" s="352"/>
      <c r="J507" s="352"/>
      <c r="K507" s="352"/>
      <c r="L507" s="355">
        <v>0</v>
      </c>
      <c r="M507" s="2"/>
    </row>
    <row r="508" spans="1:13" ht="15.75">
      <c r="A508" s="350"/>
      <c r="B508" s="351"/>
      <c r="C508" s="352"/>
      <c r="D508" s="352"/>
      <c r="E508" s="351"/>
      <c r="F508" s="351"/>
      <c r="G508" s="340"/>
      <c r="H508" s="352"/>
      <c r="I508" s="352"/>
      <c r="J508" s="352"/>
      <c r="K508" s="352"/>
      <c r="L508" s="355">
        <v>0</v>
      </c>
      <c r="M508" s="2"/>
    </row>
    <row r="509" spans="1:13" ht="15.75">
      <c r="A509" s="350"/>
      <c r="B509" s="351"/>
      <c r="C509" s="352"/>
      <c r="D509" s="352"/>
      <c r="E509" s="351"/>
      <c r="F509" s="351"/>
      <c r="G509" s="340"/>
      <c r="H509" s="352"/>
      <c r="I509" s="352"/>
      <c r="J509" s="352"/>
      <c r="K509" s="352"/>
      <c r="L509" s="355">
        <v>0</v>
      </c>
      <c r="M509" s="2"/>
    </row>
    <row r="510" spans="1:13" ht="15.75">
      <c r="A510" s="350"/>
      <c r="B510" s="351"/>
      <c r="C510" s="352"/>
      <c r="D510" s="352"/>
      <c r="E510" s="351"/>
      <c r="F510" s="351"/>
      <c r="G510" s="340"/>
      <c r="H510" s="352"/>
      <c r="I510" s="352"/>
      <c r="J510" s="352"/>
      <c r="K510" s="352"/>
      <c r="L510" s="355">
        <v>0</v>
      </c>
      <c r="M510" s="2"/>
    </row>
    <row r="511" spans="1:13" ht="15.75">
      <c r="A511" s="350"/>
      <c r="B511" s="351"/>
      <c r="C511" s="352"/>
      <c r="D511" s="352"/>
      <c r="E511" s="351"/>
      <c r="F511" s="351"/>
      <c r="G511" s="340"/>
      <c r="H511" s="352"/>
      <c r="I511" s="352"/>
      <c r="J511" s="352"/>
      <c r="K511" s="352"/>
      <c r="L511" s="355">
        <v>0</v>
      </c>
      <c r="M511" s="2"/>
    </row>
    <row r="512" spans="1:13" ht="15.75">
      <c r="A512" s="350"/>
      <c r="B512" s="351"/>
      <c r="C512" s="352"/>
      <c r="D512" s="352"/>
      <c r="E512" s="351"/>
      <c r="F512" s="351"/>
      <c r="G512" s="340"/>
      <c r="H512" s="352"/>
      <c r="I512" s="352"/>
      <c r="J512" s="352"/>
      <c r="K512" s="352"/>
      <c r="L512" s="355">
        <v>0</v>
      </c>
      <c r="M512" s="2"/>
    </row>
    <row r="513" spans="1:13" ht="15.75">
      <c r="A513" s="350"/>
      <c r="B513" s="351"/>
      <c r="C513" s="352"/>
      <c r="D513" s="352"/>
      <c r="E513" s="351"/>
      <c r="F513" s="351"/>
      <c r="G513" s="340"/>
      <c r="H513" s="352"/>
      <c r="I513" s="352"/>
      <c r="J513" s="352"/>
      <c r="K513" s="352"/>
      <c r="L513" s="355">
        <v>0</v>
      </c>
      <c r="M513" s="2"/>
    </row>
    <row r="514" spans="1:13" ht="15.75">
      <c r="A514" s="350"/>
      <c r="B514" s="351"/>
      <c r="C514" s="352"/>
      <c r="D514" s="352"/>
      <c r="E514" s="351"/>
      <c r="F514" s="351"/>
      <c r="G514" s="340"/>
      <c r="H514" s="352"/>
      <c r="I514" s="352"/>
      <c r="J514" s="352"/>
      <c r="K514" s="352"/>
      <c r="L514" s="355">
        <v>0</v>
      </c>
      <c r="M514" s="2"/>
    </row>
    <row r="515" spans="1:13" ht="15.75">
      <c r="A515" s="350"/>
      <c r="B515" s="351"/>
      <c r="C515" s="352"/>
      <c r="D515" s="352"/>
      <c r="E515" s="351"/>
      <c r="F515" s="351"/>
      <c r="G515" s="340"/>
      <c r="H515" s="352"/>
      <c r="I515" s="352"/>
      <c r="J515" s="352"/>
      <c r="K515" s="352"/>
      <c r="L515" s="355">
        <v>0</v>
      </c>
      <c r="M515" s="2"/>
    </row>
    <row r="516" spans="1:13" ht="15.75">
      <c r="A516" s="350"/>
      <c r="B516" s="351"/>
      <c r="C516" s="352"/>
      <c r="D516" s="352"/>
      <c r="E516" s="351"/>
      <c r="F516" s="351"/>
      <c r="G516" s="340"/>
      <c r="H516" s="352"/>
      <c r="I516" s="352"/>
      <c r="J516" s="352"/>
      <c r="K516" s="352"/>
      <c r="L516" s="355">
        <v>0</v>
      </c>
      <c r="M516" s="2"/>
    </row>
    <row r="517" spans="1:13" ht="15.75">
      <c r="A517" s="350"/>
      <c r="B517" s="351"/>
      <c r="C517" s="352"/>
      <c r="D517" s="352"/>
      <c r="E517" s="351"/>
      <c r="F517" s="351"/>
      <c r="G517" s="340"/>
      <c r="H517" s="352"/>
      <c r="I517" s="352"/>
      <c r="J517" s="352"/>
      <c r="K517" s="352"/>
      <c r="L517" s="355">
        <v>0</v>
      </c>
      <c r="M517" s="2"/>
    </row>
    <row r="518" spans="1:13" ht="15.75">
      <c r="A518" s="350"/>
      <c r="B518" s="351"/>
      <c r="C518" s="352"/>
      <c r="D518" s="352"/>
      <c r="E518" s="351"/>
      <c r="F518" s="351"/>
      <c r="G518" s="340"/>
      <c r="H518" s="352"/>
      <c r="I518" s="352"/>
      <c r="J518" s="352"/>
      <c r="K518" s="352"/>
      <c r="L518" s="355">
        <v>0</v>
      </c>
      <c r="M518" s="2"/>
    </row>
    <row r="519" spans="1:13" ht="15.75">
      <c r="A519" s="350"/>
      <c r="B519" s="351"/>
      <c r="C519" s="352"/>
      <c r="D519" s="352"/>
      <c r="E519" s="351"/>
      <c r="F519" s="351"/>
      <c r="G519" s="340"/>
      <c r="H519" s="352"/>
      <c r="I519" s="352"/>
      <c r="J519" s="352"/>
      <c r="K519" s="352"/>
      <c r="L519" s="355">
        <v>0</v>
      </c>
      <c r="M519" s="2"/>
    </row>
    <row r="520" spans="1:13" ht="15.75">
      <c r="A520" s="350"/>
      <c r="B520" s="351"/>
      <c r="C520" s="352"/>
      <c r="D520" s="352"/>
      <c r="E520" s="351"/>
      <c r="F520" s="351"/>
      <c r="G520" s="340"/>
      <c r="H520" s="352"/>
      <c r="I520" s="352"/>
      <c r="J520" s="352"/>
      <c r="K520" s="352"/>
      <c r="L520" s="355">
        <v>0</v>
      </c>
      <c r="M520" s="2"/>
    </row>
    <row r="521" spans="1:13" ht="15.75">
      <c r="A521" s="350"/>
      <c r="B521" s="351"/>
      <c r="C521" s="352"/>
      <c r="D521" s="352"/>
      <c r="E521" s="351"/>
      <c r="F521" s="351"/>
      <c r="G521" s="340"/>
      <c r="H521" s="352"/>
      <c r="I521" s="352"/>
      <c r="J521" s="352"/>
      <c r="K521" s="352"/>
      <c r="L521" s="355">
        <v>0</v>
      </c>
      <c r="M521" s="2"/>
    </row>
    <row r="522" spans="1:13" ht="15.75">
      <c r="A522" s="350"/>
      <c r="B522" s="351"/>
      <c r="C522" s="352"/>
      <c r="D522" s="352"/>
      <c r="E522" s="351"/>
      <c r="F522" s="351"/>
      <c r="G522" s="340"/>
      <c r="H522" s="352"/>
      <c r="I522" s="352"/>
      <c r="J522" s="352"/>
      <c r="K522" s="352"/>
      <c r="L522" s="355">
        <v>0</v>
      </c>
      <c r="M522" s="2"/>
    </row>
    <row r="523" spans="1:13" ht="15.75">
      <c r="A523" s="350"/>
      <c r="B523" s="351"/>
      <c r="C523" s="352"/>
      <c r="D523" s="352"/>
      <c r="E523" s="351"/>
      <c r="F523" s="351"/>
      <c r="G523" s="340"/>
      <c r="H523" s="352"/>
      <c r="I523" s="352"/>
      <c r="J523" s="352"/>
      <c r="K523" s="352"/>
      <c r="L523" s="355">
        <v>0</v>
      </c>
      <c r="M523" s="2"/>
    </row>
    <row r="524" spans="1:13" ht="15.75">
      <c r="A524" s="350"/>
      <c r="B524" s="351"/>
      <c r="C524" s="352"/>
      <c r="D524" s="352"/>
      <c r="E524" s="351"/>
      <c r="F524" s="351"/>
      <c r="G524" s="340"/>
      <c r="H524" s="352"/>
      <c r="I524" s="352"/>
      <c r="J524" s="352"/>
      <c r="K524" s="352"/>
      <c r="L524" s="355">
        <v>0</v>
      </c>
      <c r="M524" s="2"/>
    </row>
    <row r="525" spans="1:13" ht="15.75">
      <c r="A525" s="350"/>
      <c r="B525" s="351"/>
      <c r="C525" s="352"/>
      <c r="D525" s="352"/>
      <c r="E525" s="351"/>
      <c r="F525" s="351"/>
      <c r="G525" s="340"/>
      <c r="H525" s="352"/>
      <c r="I525" s="352"/>
      <c r="J525" s="352"/>
      <c r="K525" s="352"/>
      <c r="L525" s="355">
        <v>0</v>
      </c>
      <c r="M525" s="2"/>
    </row>
    <row r="526" spans="1:13" ht="15.75">
      <c r="A526" s="350"/>
      <c r="B526" s="351"/>
      <c r="C526" s="352"/>
      <c r="D526" s="352"/>
      <c r="E526" s="351"/>
      <c r="F526" s="351"/>
      <c r="G526" s="340"/>
      <c r="H526" s="352"/>
      <c r="I526" s="352"/>
      <c r="J526" s="352"/>
      <c r="K526" s="352"/>
      <c r="L526" s="355">
        <v>0</v>
      </c>
      <c r="M526" s="2"/>
    </row>
    <row r="527" spans="1:13" ht="15.75">
      <c r="A527" s="350"/>
      <c r="B527" s="351"/>
      <c r="C527" s="352"/>
      <c r="D527" s="352"/>
      <c r="E527" s="351"/>
      <c r="F527" s="351"/>
      <c r="G527" s="340"/>
      <c r="H527" s="352"/>
      <c r="I527" s="352"/>
      <c r="J527" s="352"/>
      <c r="K527" s="352"/>
      <c r="L527" s="355">
        <v>0</v>
      </c>
      <c r="M527" s="2"/>
    </row>
    <row r="528" spans="1:13" ht="15.75">
      <c r="A528" s="350"/>
      <c r="B528" s="351"/>
      <c r="C528" s="352"/>
      <c r="D528" s="352"/>
      <c r="E528" s="351"/>
      <c r="F528" s="351"/>
      <c r="G528" s="340"/>
      <c r="H528" s="352"/>
      <c r="I528" s="352"/>
      <c r="J528" s="352"/>
      <c r="K528" s="352"/>
      <c r="L528" s="355">
        <v>0</v>
      </c>
      <c r="M528" s="2"/>
    </row>
    <row r="529" spans="1:13" ht="15.75">
      <c r="A529" s="350"/>
      <c r="B529" s="351"/>
      <c r="C529" s="352"/>
      <c r="D529" s="352"/>
      <c r="E529" s="351"/>
      <c r="F529" s="351"/>
      <c r="G529" s="340"/>
      <c r="H529" s="352"/>
      <c r="I529" s="352"/>
      <c r="J529" s="352"/>
      <c r="K529" s="352"/>
      <c r="L529" s="355">
        <v>0</v>
      </c>
      <c r="M529" s="2"/>
    </row>
    <row r="530" spans="1:13" ht="15.75">
      <c r="A530" s="350"/>
      <c r="B530" s="351"/>
      <c r="C530" s="352"/>
      <c r="D530" s="352"/>
      <c r="E530" s="351"/>
      <c r="F530" s="351"/>
      <c r="G530" s="340"/>
      <c r="H530" s="352"/>
      <c r="I530" s="352"/>
      <c r="J530" s="352"/>
      <c r="K530" s="352"/>
      <c r="L530" s="355">
        <v>0</v>
      </c>
      <c r="M530" s="2"/>
    </row>
    <row r="531" spans="1:13" ht="15.75">
      <c r="A531" s="350"/>
      <c r="B531" s="351"/>
      <c r="C531" s="352"/>
      <c r="D531" s="352"/>
      <c r="E531" s="351"/>
      <c r="F531" s="351"/>
      <c r="G531" s="340"/>
      <c r="H531" s="352"/>
      <c r="I531" s="352"/>
      <c r="J531" s="352"/>
      <c r="K531" s="352"/>
      <c r="L531" s="355">
        <v>0</v>
      </c>
      <c r="M531" s="2"/>
    </row>
    <row r="532" spans="1:13" ht="15.75">
      <c r="A532" s="350"/>
      <c r="B532" s="351"/>
      <c r="C532" s="352"/>
      <c r="D532" s="352"/>
      <c r="E532" s="351"/>
      <c r="F532" s="351"/>
      <c r="G532" s="340"/>
      <c r="H532" s="352"/>
      <c r="I532" s="352"/>
      <c r="J532" s="352"/>
      <c r="K532" s="352"/>
      <c r="L532" s="355">
        <v>0</v>
      </c>
      <c r="M532" s="2"/>
    </row>
    <row r="533" spans="1:13" ht="15.75">
      <c r="A533" s="350"/>
      <c r="B533" s="351"/>
      <c r="C533" s="352"/>
      <c r="D533" s="352"/>
      <c r="E533" s="351"/>
      <c r="F533" s="351"/>
      <c r="G533" s="340"/>
      <c r="H533" s="352"/>
      <c r="I533" s="352"/>
      <c r="J533" s="352"/>
      <c r="K533" s="352"/>
      <c r="L533" s="355">
        <v>0</v>
      </c>
      <c r="M533" s="2"/>
    </row>
    <row r="534" spans="1:13" ht="15.75">
      <c r="A534" s="350"/>
      <c r="B534" s="351"/>
      <c r="C534" s="352"/>
      <c r="D534" s="352"/>
      <c r="E534" s="351"/>
      <c r="F534" s="351"/>
      <c r="G534" s="340"/>
      <c r="H534" s="352"/>
      <c r="I534" s="352"/>
      <c r="J534" s="352"/>
      <c r="K534" s="352"/>
      <c r="L534" s="355">
        <v>0</v>
      </c>
      <c r="M534" s="2"/>
    </row>
    <row r="535" spans="1:13" ht="15.75">
      <c r="A535" s="350"/>
      <c r="B535" s="351"/>
      <c r="C535" s="352"/>
      <c r="D535" s="352"/>
      <c r="E535" s="351"/>
      <c r="F535" s="351"/>
      <c r="G535" s="340"/>
      <c r="H535" s="352"/>
      <c r="I535" s="352"/>
      <c r="J535" s="352"/>
      <c r="K535" s="352"/>
      <c r="L535" s="355">
        <v>0</v>
      </c>
      <c r="M535" s="2"/>
    </row>
    <row r="536" spans="1:13" ht="15.75">
      <c r="A536" s="350"/>
      <c r="B536" s="351"/>
      <c r="C536" s="352"/>
      <c r="D536" s="352"/>
      <c r="E536" s="351"/>
      <c r="F536" s="351"/>
      <c r="G536" s="340"/>
      <c r="H536" s="352"/>
      <c r="I536" s="352"/>
      <c r="J536" s="352"/>
      <c r="K536" s="352"/>
      <c r="L536" s="355">
        <v>0</v>
      </c>
      <c r="M536" s="2"/>
    </row>
    <row r="537" spans="1:13" ht="15.75">
      <c r="A537" s="350"/>
      <c r="B537" s="351"/>
      <c r="C537" s="352"/>
      <c r="D537" s="352"/>
      <c r="E537" s="351"/>
      <c r="F537" s="351"/>
      <c r="G537" s="340"/>
      <c r="H537" s="352"/>
      <c r="I537" s="352"/>
      <c r="J537" s="352"/>
      <c r="K537" s="352"/>
      <c r="L537" s="355">
        <v>0</v>
      </c>
      <c r="M537" s="2"/>
    </row>
    <row r="538" spans="1:13" ht="15.75">
      <c r="A538" s="350"/>
      <c r="B538" s="351"/>
      <c r="C538" s="352"/>
      <c r="D538" s="352"/>
      <c r="E538" s="351"/>
      <c r="F538" s="351"/>
      <c r="G538" s="340"/>
      <c r="H538" s="352"/>
      <c r="I538" s="352"/>
      <c r="J538" s="352"/>
      <c r="K538" s="352"/>
      <c r="L538" s="355">
        <v>0</v>
      </c>
      <c r="M538" s="2"/>
    </row>
    <row r="539" spans="1:13" ht="15.75">
      <c r="A539" s="350"/>
      <c r="B539" s="351"/>
      <c r="C539" s="352"/>
      <c r="D539" s="352"/>
      <c r="E539" s="351"/>
      <c r="F539" s="351"/>
      <c r="G539" s="340"/>
      <c r="H539" s="352"/>
      <c r="I539" s="352"/>
      <c r="J539" s="352"/>
      <c r="K539" s="352"/>
      <c r="L539" s="355">
        <v>0</v>
      </c>
      <c r="M539" s="2"/>
    </row>
    <row r="540" spans="1:13" ht="15.75">
      <c r="A540" s="350"/>
      <c r="B540" s="351"/>
      <c r="C540" s="352"/>
      <c r="D540" s="352"/>
      <c r="E540" s="351"/>
      <c r="F540" s="351"/>
      <c r="G540" s="340"/>
      <c r="H540" s="352"/>
      <c r="I540" s="352"/>
      <c r="J540" s="352"/>
      <c r="K540" s="352"/>
      <c r="L540" s="355">
        <v>0</v>
      </c>
      <c r="M540" s="2"/>
    </row>
    <row r="541" spans="1:13" ht="15.75">
      <c r="A541" s="350"/>
      <c r="B541" s="351"/>
      <c r="C541" s="352"/>
      <c r="D541" s="352"/>
      <c r="E541" s="351"/>
      <c r="F541" s="351"/>
      <c r="G541" s="340"/>
      <c r="H541" s="352"/>
      <c r="I541" s="352"/>
      <c r="J541" s="352"/>
      <c r="K541" s="352"/>
      <c r="L541" s="355">
        <v>0</v>
      </c>
      <c r="M541" s="2"/>
    </row>
    <row r="542" spans="1:13" ht="15.75">
      <c r="A542" s="350"/>
      <c r="B542" s="351"/>
      <c r="C542" s="352"/>
      <c r="D542" s="352"/>
      <c r="E542" s="351"/>
      <c r="F542" s="351"/>
      <c r="G542" s="340"/>
      <c r="H542" s="352"/>
      <c r="I542" s="352"/>
      <c r="J542" s="352"/>
      <c r="K542" s="352"/>
      <c r="L542" s="355">
        <v>0</v>
      </c>
      <c r="M542" s="2"/>
    </row>
    <row r="543" spans="1:13" ht="15.75">
      <c r="A543" s="350"/>
      <c r="B543" s="351"/>
      <c r="C543" s="352"/>
      <c r="D543" s="352"/>
      <c r="E543" s="351"/>
      <c r="F543" s="351"/>
      <c r="G543" s="340"/>
      <c r="H543" s="352"/>
      <c r="I543" s="352"/>
      <c r="J543" s="352"/>
      <c r="K543" s="352"/>
      <c r="L543" s="355">
        <v>0</v>
      </c>
      <c r="M543" s="2"/>
    </row>
    <row r="544" spans="1:13" ht="15.75">
      <c r="A544" s="350"/>
      <c r="B544" s="351"/>
      <c r="C544" s="352"/>
      <c r="D544" s="352"/>
      <c r="E544" s="351"/>
      <c r="F544" s="351"/>
      <c r="G544" s="340"/>
      <c r="H544" s="352"/>
      <c r="I544" s="352"/>
      <c r="J544" s="352"/>
      <c r="K544" s="352"/>
      <c r="L544" s="355">
        <v>0</v>
      </c>
      <c r="M544" s="2"/>
    </row>
    <row r="545" spans="1:13" ht="15.75">
      <c r="A545" s="350"/>
      <c r="B545" s="351"/>
      <c r="C545" s="352"/>
      <c r="D545" s="352"/>
      <c r="E545" s="351"/>
      <c r="F545" s="351"/>
      <c r="G545" s="340"/>
      <c r="H545" s="352"/>
      <c r="I545" s="352"/>
      <c r="J545" s="352"/>
      <c r="K545" s="352"/>
      <c r="L545" s="355">
        <v>0</v>
      </c>
      <c r="M545" s="2"/>
    </row>
    <row r="546" spans="1:13" ht="15.75">
      <c r="A546" s="350"/>
      <c r="B546" s="351"/>
      <c r="C546" s="352"/>
      <c r="D546" s="352"/>
      <c r="E546" s="351"/>
      <c r="F546" s="351"/>
      <c r="G546" s="340"/>
      <c r="H546" s="352"/>
      <c r="I546" s="352"/>
      <c r="J546" s="352"/>
      <c r="K546" s="352"/>
      <c r="L546" s="355">
        <v>0</v>
      </c>
      <c r="M546" s="2"/>
    </row>
    <row r="547" spans="1:13" ht="15.75">
      <c r="A547" s="350"/>
      <c r="B547" s="351"/>
      <c r="C547" s="352"/>
      <c r="D547" s="352"/>
      <c r="E547" s="351"/>
      <c r="F547" s="351"/>
      <c r="G547" s="340"/>
      <c r="H547" s="352"/>
      <c r="I547" s="352"/>
      <c r="J547" s="352"/>
      <c r="K547" s="352"/>
      <c r="L547" s="355">
        <v>0</v>
      </c>
      <c r="M547" s="2"/>
    </row>
    <row r="548" spans="1:13" ht="15.75">
      <c r="A548" s="350"/>
      <c r="B548" s="351"/>
      <c r="C548" s="352"/>
      <c r="D548" s="352"/>
      <c r="E548" s="351"/>
      <c r="F548" s="351"/>
      <c r="G548" s="340"/>
      <c r="H548" s="352"/>
      <c r="I548" s="352"/>
      <c r="J548" s="352"/>
      <c r="K548" s="352"/>
      <c r="L548" s="355">
        <v>0</v>
      </c>
      <c r="M548" s="2"/>
    </row>
    <row r="549" spans="1:13" ht="15.75">
      <c r="A549" s="350"/>
      <c r="B549" s="351"/>
      <c r="C549" s="352"/>
      <c r="D549" s="352"/>
      <c r="E549" s="351"/>
      <c r="F549" s="351"/>
      <c r="G549" s="340"/>
      <c r="H549" s="352"/>
      <c r="I549" s="352"/>
      <c r="J549" s="352"/>
      <c r="K549" s="352"/>
      <c r="L549" s="355">
        <v>0</v>
      </c>
      <c r="M549" s="2"/>
    </row>
    <row r="550" spans="1:13" ht="15.75">
      <c r="A550" s="350"/>
      <c r="B550" s="351"/>
      <c r="C550" s="352"/>
      <c r="D550" s="352"/>
      <c r="E550" s="351"/>
      <c r="F550" s="351"/>
      <c r="G550" s="340"/>
      <c r="H550" s="352"/>
      <c r="I550" s="352"/>
      <c r="J550" s="352"/>
      <c r="K550" s="352"/>
      <c r="L550" s="355">
        <v>0</v>
      </c>
      <c r="M550" s="2"/>
    </row>
    <row r="551" spans="1:13" ht="15.75">
      <c r="A551" s="350"/>
      <c r="B551" s="351"/>
      <c r="C551" s="352"/>
      <c r="D551" s="352"/>
      <c r="E551" s="351"/>
      <c r="F551" s="351"/>
      <c r="G551" s="340"/>
      <c r="H551" s="352"/>
      <c r="I551" s="352"/>
      <c r="J551" s="352"/>
      <c r="K551" s="352"/>
      <c r="L551" s="355">
        <v>0</v>
      </c>
      <c r="M551" s="2"/>
    </row>
    <row r="552" spans="1:13" ht="15.75">
      <c r="A552" s="350"/>
      <c r="B552" s="351"/>
      <c r="C552" s="352"/>
      <c r="D552" s="352"/>
      <c r="E552" s="351"/>
      <c r="F552" s="351"/>
      <c r="G552" s="340"/>
      <c r="H552" s="352"/>
      <c r="I552" s="352"/>
      <c r="J552" s="352"/>
      <c r="K552" s="352"/>
      <c r="L552" s="355">
        <v>0</v>
      </c>
      <c r="M552" s="2"/>
    </row>
    <row r="553" spans="1:13" ht="15.75">
      <c r="A553" s="350"/>
      <c r="B553" s="351"/>
      <c r="C553" s="352"/>
      <c r="D553" s="352"/>
      <c r="E553" s="351"/>
      <c r="F553" s="351"/>
      <c r="G553" s="340"/>
      <c r="H553" s="352"/>
      <c r="I553" s="352"/>
      <c r="J553" s="352"/>
      <c r="K553" s="352"/>
      <c r="L553" s="355">
        <v>0</v>
      </c>
      <c r="M553" s="2"/>
    </row>
    <row r="554" spans="1:13" ht="15.75">
      <c r="A554" s="350"/>
      <c r="B554" s="351"/>
      <c r="C554" s="352"/>
      <c r="D554" s="352"/>
      <c r="E554" s="351"/>
      <c r="F554" s="351"/>
      <c r="G554" s="340"/>
      <c r="H554" s="352"/>
      <c r="I554" s="352"/>
      <c r="J554" s="352"/>
      <c r="K554" s="352"/>
      <c r="L554" s="355">
        <v>0</v>
      </c>
      <c r="M554" s="2"/>
    </row>
    <row r="555" spans="1:13" ht="15.75">
      <c r="A555" s="350"/>
      <c r="B555" s="351"/>
      <c r="C555" s="352"/>
      <c r="D555" s="352"/>
      <c r="E555" s="351"/>
      <c r="F555" s="351"/>
      <c r="G555" s="340"/>
      <c r="H555" s="352"/>
      <c r="I555" s="352"/>
      <c r="J555" s="352"/>
      <c r="K555" s="352"/>
      <c r="L555" s="355">
        <v>0</v>
      </c>
      <c r="M555" s="2"/>
    </row>
    <row r="556" spans="1:13" ht="15.75">
      <c r="A556" s="350"/>
      <c r="B556" s="351"/>
      <c r="C556" s="352"/>
      <c r="D556" s="352"/>
      <c r="E556" s="351"/>
      <c r="F556" s="351"/>
      <c r="G556" s="340"/>
      <c r="H556" s="352"/>
      <c r="I556" s="352"/>
      <c r="J556" s="352"/>
      <c r="K556" s="352"/>
      <c r="L556" s="355">
        <v>0</v>
      </c>
      <c r="M556" s="2"/>
    </row>
    <row r="557" spans="1:13" ht="15.75">
      <c r="A557" s="350"/>
      <c r="B557" s="351"/>
      <c r="C557" s="352"/>
      <c r="D557" s="352"/>
      <c r="E557" s="351"/>
      <c r="F557" s="351"/>
      <c r="G557" s="340"/>
      <c r="H557" s="352"/>
      <c r="I557" s="352"/>
      <c r="J557" s="352"/>
      <c r="K557" s="352"/>
      <c r="L557" s="355">
        <v>0</v>
      </c>
      <c r="M557" s="2"/>
    </row>
    <row r="558" spans="1:13" ht="15.75">
      <c r="A558" s="350"/>
      <c r="B558" s="351"/>
      <c r="C558" s="352"/>
      <c r="D558" s="352"/>
      <c r="E558" s="351"/>
      <c r="F558" s="351"/>
      <c r="G558" s="340"/>
      <c r="H558" s="352"/>
      <c r="I558" s="352"/>
      <c r="J558" s="352"/>
      <c r="K558" s="352"/>
      <c r="L558" s="355">
        <v>0</v>
      </c>
      <c r="M558" s="2"/>
    </row>
    <row r="559" spans="1:13" ht="15.75">
      <c r="A559" s="350"/>
      <c r="B559" s="351"/>
      <c r="C559" s="352"/>
      <c r="D559" s="352"/>
      <c r="E559" s="351"/>
      <c r="F559" s="351"/>
      <c r="G559" s="340"/>
      <c r="H559" s="352"/>
      <c r="I559" s="352"/>
      <c r="J559" s="352"/>
      <c r="K559" s="352"/>
      <c r="L559" s="355">
        <v>0</v>
      </c>
      <c r="M559" s="2"/>
    </row>
    <row r="560" spans="1:13" ht="15.75">
      <c r="A560" s="350"/>
      <c r="B560" s="351"/>
      <c r="C560" s="352"/>
      <c r="D560" s="352"/>
      <c r="E560" s="351"/>
      <c r="F560" s="351"/>
      <c r="G560" s="340"/>
      <c r="H560" s="352"/>
      <c r="I560" s="352"/>
      <c r="J560" s="352"/>
      <c r="K560" s="352"/>
      <c r="L560" s="355">
        <v>0</v>
      </c>
      <c r="M560" s="2"/>
    </row>
    <row r="561" spans="1:13" ht="15.75">
      <c r="A561" s="350"/>
      <c r="B561" s="351"/>
      <c r="C561" s="352"/>
      <c r="D561" s="352"/>
      <c r="E561" s="351"/>
      <c r="F561" s="351"/>
      <c r="G561" s="340"/>
      <c r="H561" s="352"/>
      <c r="I561" s="352"/>
      <c r="J561" s="352"/>
      <c r="K561" s="352"/>
      <c r="L561" s="355">
        <v>0</v>
      </c>
      <c r="M561" s="2"/>
    </row>
    <row r="562" spans="1:13" ht="15.75">
      <c r="A562" s="350"/>
      <c r="B562" s="351"/>
      <c r="C562" s="352"/>
      <c r="D562" s="352"/>
      <c r="E562" s="351"/>
      <c r="F562" s="351"/>
      <c r="G562" s="340"/>
      <c r="H562" s="352"/>
      <c r="I562" s="352"/>
      <c r="J562" s="352"/>
      <c r="K562" s="352"/>
      <c r="L562" s="355">
        <v>0</v>
      </c>
      <c r="M562" s="2"/>
    </row>
    <row r="563" spans="1:13" ht="15.75">
      <c r="A563" s="350"/>
      <c r="B563" s="351"/>
      <c r="C563" s="352"/>
      <c r="D563" s="352"/>
      <c r="E563" s="351"/>
      <c r="F563" s="351"/>
      <c r="G563" s="340"/>
      <c r="H563" s="352"/>
      <c r="I563" s="352"/>
      <c r="J563" s="352"/>
      <c r="K563" s="352"/>
      <c r="L563" s="355">
        <v>0</v>
      </c>
      <c r="M563" s="2"/>
    </row>
    <row r="564" spans="1:13" ht="15.75">
      <c r="A564" s="350"/>
      <c r="B564" s="351"/>
      <c r="C564" s="352"/>
      <c r="D564" s="352"/>
      <c r="E564" s="351"/>
      <c r="F564" s="351"/>
      <c r="G564" s="340"/>
      <c r="H564" s="352"/>
      <c r="I564" s="352"/>
      <c r="J564" s="352"/>
      <c r="K564" s="352"/>
      <c r="L564" s="355">
        <v>0</v>
      </c>
      <c r="M564" s="2"/>
    </row>
    <row r="565" spans="1:13" ht="15.75">
      <c r="A565" s="350"/>
      <c r="B565" s="351"/>
      <c r="C565" s="352"/>
      <c r="D565" s="352"/>
      <c r="E565" s="351"/>
      <c r="F565" s="351"/>
      <c r="G565" s="340"/>
      <c r="H565" s="352"/>
      <c r="I565" s="352"/>
      <c r="J565" s="352"/>
      <c r="K565" s="352"/>
      <c r="L565" s="355">
        <v>0</v>
      </c>
      <c r="M565" s="2"/>
    </row>
    <row r="566" spans="1:13" ht="15.75">
      <c r="A566" s="350"/>
      <c r="B566" s="351"/>
      <c r="C566" s="352"/>
      <c r="D566" s="352"/>
      <c r="E566" s="351"/>
      <c r="F566" s="351"/>
      <c r="G566" s="340"/>
      <c r="H566" s="352"/>
      <c r="I566" s="352"/>
      <c r="J566" s="352"/>
      <c r="K566" s="352"/>
      <c r="L566" s="355">
        <v>0</v>
      </c>
      <c r="M566" s="2"/>
    </row>
    <row r="567" spans="1:13" ht="15.75">
      <c r="A567" s="350"/>
      <c r="B567" s="351"/>
      <c r="C567" s="352"/>
      <c r="D567" s="352"/>
      <c r="E567" s="351"/>
      <c r="F567" s="351"/>
      <c r="G567" s="340"/>
      <c r="H567" s="352"/>
      <c r="I567" s="352"/>
      <c r="J567" s="352"/>
      <c r="K567" s="352"/>
      <c r="L567" s="355">
        <v>0</v>
      </c>
      <c r="M567" s="2"/>
    </row>
    <row r="568" spans="1:13" ht="15.75">
      <c r="A568" s="350"/>
      <c r="B568" s="351"/>
      <c r="C568" s="352"/>
      <c r="D568" s="352"/>
      <c r="E568" s="351"/>
      <c r="F568" s="351"/>
      <c r="G568" s="340"/>
      <c r="H568" s="352"/>
      <c r="I568" s="352"/>
      <c r="J568" s="352"/>
      <c r="K568" s="352"/>
      <c r="L568" s="355">
        <v>0</v>
      </c>
      <c r="M568" s="2"/>
    </row>
    <row r="569" spans="1:13" ht="15.75">
      <c r="A569" s="350"/>
      <c r="B569" s="351"/>
      <c r="C569" s="352"/>
      <c r="D569" s="352"/>
      <c r="E569" s="351"/>
      <c r="F569" s="351"/>
      <c r="G569" s="340"/>
      <c r="H569" s="352"/>
      <c r="I569" s="352"/>
      <c r="J569" s="352"/>
      <c r="K569" s="352"/>
      <c r="L569" s="355">
        <v>0</v>
      </c>
      <c r="M569" s="2"/>
    </row>
    <row r="570" spans="1:13" ht="15.75">
      <c r="A570" s="350"/>
      <c r="B570" s="351"/>
      <c r="C570" s="352"/>
      <c r="D570" s="352"/>
      <c r="E570" s="351"/>
      <c r="F570" s="351"/>
      <c r="G570" s="340"/>
      <c r="H570" s="352"/>
      <c r="I570" s="352"/>
      <c r="J570" s="352"/>
      <c r="K570" s="352"/>
      <c r="L570" s="355">
        <v>0</v>
      </c>
      <c r="M570" s="2"/>
    </row>
    <row r="571" spans="1:13" ht="15.75">
      <c r="A571" s="350"/>
      <c r="B571" s="351"/>
      <c r="C571" s="352"/>
      <c r="D571" s="352"/>
      <c r="E571" s="351"/>
      <c r="F571" s="351"/>
      <c r="G571" s="340"/>
      <c r="H571" s="352"/>
      <c r="I571" s="352"/>
      <c r="J571" s="352"/>
      <c r="K571" s="352"/>
      <c r="L571" s="355">
        <v>0</v>
      </c>
      <c r="M571" s="2"/>
    </row>
    <row r="572" spans="1:13" ht="15.75">
      <c r="A572" s="350"/>
      <c r="B572" s="351"/>
      <c r="C572" s="352"/>
      <c r="D572" s="352"/>
      <c r="E572" s="351"/>
      <c r="F572" s="351"/>
      <c r="G572" s="340"/>
      <c r="H572" s="352"/>
      <c r="I572" s="352"/>
      <c r="J572" s="352"/>
      <c r="K572" s="352"/>
      <c r="L572" s="355">
        <v>0</v>
      </c>
      <c r="M572" s="2"/>
    </row>
    <row r="573" spans="1:13" ht="15.75">
      <c r="A573" s="350"/>
      <c r="B573" s="351"/>
      <c r="C573" s="352"/>
      <c r="D573" s="352"/>
      <c r="E573" s="351"/>
      <c r="F573" s="351"/>
      <c r="G573" s="340"/>
      <c r="H573" s="352"/>
      <c r="I573" s="352"/>
      <c r="J573" s="352"/>
      <c r="K573" s="352"/>
      <c r="L573" s="355">
        <v>0</v>
      </c>
      <c r="M573" s="2"/>
    </row>
    <row r="574" spans="1:13" ht="15.75">
      <c r="A574" s="350"/>
      <c r="B574" s="351"/>
      <c r="C574" s="352"/>
      <c r="D574" s="352"/>
      <c r="E574" s="351"/>
      <c r="F574" s="351"/>
      <c r="G574" s="340"/>
      <c r="H574" s="352"/>
      <c r="I574" s="352"/>
      <c r="J574" s="352"/>
      <c r="K574" s="352"/>
      <c r="L574" s="355">
        <v>0</v>
      </c>
      <c r="M574" s="2"/>
    </row>
    <row r="575" spans="1:13" ht="15.75">
      <c r="A575" s="350"/>
      <c r="B575" s="351"/>
      <c r="C575" s="352"/>
      <c r="D575" s="352"/>
      <c r="E575" s="351"/>
      <c r="F575" s="351"/>
      <c r="G575" s="340"/>
      <c r="H575" s="352"/>
      <c r="I575" s="352"/>
      <c r="J575" s="352"/>
      <c r="K575" s="352"/>
      <c r="L575" s="355">
        <v>0</v>
      </c>
      <c r="M575" s="2"/>
    </row>
    <row r="576" spans="1:13" ht="15.75">
      <c r="A576" s="350"/>
      <c r="B576" s="351"/>
      <c r="C576" s="352"/>
      <c r="D576" s="352"/>
      <c r="E576" s="351"/>
      <c r="F576" s="351"/>
      <c r="G576" s="340"/>
      <c r="H576" s="352"/>
      <c r="I576" s="352"/>
      <c r="J576" s="352"/>
      <c r="K576" s="352"/>
      <c r="L576" s="355">
        <v>0</v>
      </c>
      <c r="M576" s="2"/>
    </row>
    <row r="577" spans="1:13" ht="15.75">
      <c r="A577" s="350"/>
      <c r="B577" s="351"/>
      <c r="C577" s="352"/>
      <c r="D577" s="352"/>
      <c r="E577" s="351"/>
      <c r="F577" s="351"/>
      <c r="G577" s="340"/>
      <c r="H577" s="352"/>
      <c r="I577" s="352"/>
      <c r="J577" s="352"/>
      <c r="K577" s="352"/>
      <c r="L577" s="355">
        <v>0</v>
      </c>
      <c r="M577" s="2"/>
    </row>
    <row r="578" spans="1:13" ht="15.75">
      <c r="A578" s="350"/>
      <c r="B578" s="351"/>
      <c r="C578" s="352"/>
      <c r="D578" s="352"/>
      <c r="E578" s="351"/>
      <c r="F578" s="351"/>
      <c r="G578" s="340"/>
      <c r="H578" s="352"/>
      <c r="I578" s="352"/>
      <c r="J578" s="352"/>
      <c r="K578" s="352"/>
      <c r="L578" s="355">
        <v>0</v>
      </c>
      <c r="M578" s="2"/>
    </row>
    <row r="579" spans="1:13" ht="15.75">
      <c r="A579" s="350"/>
      <c r="B579" s="351"/>
      <c r="C579" s="352"/>
      <c r="D579" s="352"/>
      <c r="E579" s="351"/>
      <c r="F579" s="351"/>
      <c r="G579" s="340"/>
      <c r="H579" s="352"/>
      <c r="I579" s="352"/>
      <c r="J579" s="352"/>
      <c r="K579" s="352"/>
      <c r="L579" s="355">
        <v>0</v>
      </c>
      <c r="M579" s="2"/>
    </row>
    <row r="580" spans="1:13" ht="15.75">
      <c r="A580" s="350"/>
      <c r="B580" s="351"/>
      <c r="C580" s="352"/>
      <c r="D580" s="352"/>
      <c r="E580" s="351"/>
      <c r="F580" s="351"/>
      <c r="G580" s="340"/>
      <c r="H580" s="352"/>
      <c r="I580" s="352"/>
      <c r="J580" s="352"/>
      <c r="K580" s="352"/>
      <c r="L580" s="355">
        <v>0</v>
      </c>
      <c r="M580" s="2"/>
    </row>
    <row r="581" spans="1:13" ht="15.75">
      <c r="A581" s="350"/>
      <c r="B581" s="351"/>
      <c r="C581" s="352"/>
      <c r="D581" s="352"/>
      <c r="E581" s="351"/>
      <c r="F581" s="351"/>
      <c r="G581" s="340"/>
      <c r="H581" s="352"/>
      <c r="I581" s="352"/>
      <c r="J581" s="352"/>
      <c r="K581" s="352"/>
      <c r="L581" s="355">
        <v>0</v>
      </c>
      <c r="M581" s="2"/>
    </row>
    <row r="582" spans="1:13" ht="15.75">
      <c r="A582" s="350"/>
      <c r="B582" s="351"/>
      <c r="C582" s="352"/>
      <c r="D582" s="352"/>
      <c r="E582" s="351"/>
      <c r="F582" s="351"/>
      <c r="G582" s="340"/>
      <c r="H582" s="352"/>
      <c r="I582" s="352"/>
      <c r="J582" s="352"/>
      <c r="K582" s="352"/>
      <c r="L582" s="355">
        <v>0</v>
      </c>
      <c r="M582" s="2"/>
    </row>
    <row r="583" spans="1:13" ht="15.75">
      <c r="A583" s="350"/>
      <c r="B583" s="351"/>
      <c r="C583" s="352"/>
      <c r="D583" s="352"/>
      <c r="E583" s="351"/>
      <c r="F583" s="351"/>
      <c r="G583" s="340"/>
      <c r="H583" s="352"/>
      <c r="I583" s="352"/>
      <c r="J583" s="352"/>
      <c r="K583" s="352"/>
      <c r="L583" s="355">
        <v>0</v>
      </c>
      <c r="M583" s="2"/>
    </row>
    <row r="584" spans="1:13" ht="15.75">
      <c r="A584" s="350"/>
      <c r="B584" s="351"/>
      <c r="C584" s="352"/>
      <c r="D584" s="352"/>
      <c r="E584" s="351"/>
      <c r="F584" s="351"/>
      <c r="G584" s="340"/>
      <c r="H584" s="352"/>
      <c r="I584" s="352"/>
      <c r="J584" s="352"/>
      <c r="K584" s="352"/>
      <c r="L584" s="355">
        <v>0</v>
      </c>
      <c r="M584" s="2"/>
    </row>
    <row r="585" spans="1:13" ht="15.75">
      <c r="A585" s="350"/>
      <c r="B585" s="351"/>
      <c r="C585" s="352"/>
      <c r="D585" s="352"/>
      <c r="E585" s="351"/>
      <c r="F585" s="351"/>
      <c r="G585" s="340"/>
      <c r="H585" s="352"/>
      <c r="I585" s="352"/>
      <c r="J585" s="352"/>
      <c r="K585" s="352"/>
      <c r="L585" s="355">
        <v>0</v>
      </c>
      <c r="M585" s="2"/>
    </row>
    <row r="586" spans="1:13" ht="15.75">
      <c r="A586" s="350"/>
      <c r="B586" s="351"/>
      <c r="C586" s="352"/>
      <c r="D586" s="352"/>
      <c r="E586" s="351"/>
      <c r="F586" s="351"/>
      <c r="G586" s="340"/>
      <c r="H586" s="352"/>
      <c r="I586" s="352"/>
      <c r="J586" s="352"/>
      <c r="K586" s="352"/>
      <c r="L586" s="355">
        <v>0</v>
      </c>
      <c r="M586" s="2"/>
    </row>
    <row r="587" spans="1:13" ht="15.75">
      <c r="A587" s="350"/>
      <c r="B587" s="351"/>
      <c r="C587" s="352"/>
      <c r="D587" s="352"/>
      <c r="E587" s="351"/>
      <c r="F587" s="351"/>
      <c r="G587" s="340"/>
      <c r="H587" s="352"/>
      <c r="I587" s="352"/>
      <c r="J587" s="352"/>
      <c r="K587" s="352"/>
      <c r="L587" s="355">
        <v>0</v>
      </c>
      <c r="M587" s="2"/>
    </row>
    <row r="588" spans="1:13" ht="15.75">
      <c r="A588" s="350"/>
      <c r="B588" s="351"/>
      <c r="C588" s="352"/>
      <c r="D588" s="352"/>
      <c r="E588" s="351"/>
      <c r="F588" s="351"/>
      <c r="G588" s="340"/>
      <c r="H588" s="352"/>
      <c r="I588" s="352"/>
      <c r="J588" s="352"/>
      <c r="K588" s="352"/>
      <c r="L588" s="355">
        <v>0</v>
      </c>
      <c r="M588" s="2"/>
    </row>
    <row r="589" spans="1:13" ht="15.75">
      <c r="A589" s="350"/>
      <c r="B589" s="351"/>
      <c r="C589" s="352"/>
      <c r="D589" s="352"/>
      <c r="E589" s="351"/>
      <c r="F589" s="351"/>
      <c r="G589" s="340"/>
      <c r="H589" s="352"/>
      <c r="I589" s="352"/>
      <c r="J589" s="352"/>
      <c r="K589" s="352"/>
      <c r="L589" s="355">
        <v>0</v>
      </c>
      <c r="M589" s="2"/>
    </row>
    <row r="590" spans="1:13" ht="15.75">
      <c r="A590" s="350"/>
      <c r="B590" s="351"/>
      <c r="C590" s="352"/>
      <c r="D590" s="352"/>
      <c r="E590" s="351"/>
      <c r="F590" s="351"/>
      <c r="G590" s="340"/>
      <c r="H590" s="352"/>
      <c r="I590" s="352"/>
      <c r="J590" s="352"/>
      <c r="K590" s="352"/>
      <c r="L590" s="355">
        <v>0</v>
      </c>
      <c r="M590" s="2"/>
    </row>
    <row r="591" spans="1:13" ht="15.75">
      <c r="A591" s="350"/>
      <c r="B591" s="351"/>
      <c r="C591" s="352"/>
      <c r="D591" s="352"/>
      <c r="E591" s="351"/>
      <c r="F591" s="351"/>
      <c r="G591" s="340"/>
      <c r="H591" s="352"/>
      <c r="I591" s="352"/>
      <c r="J591" s="352"/>
      <c r="K591" s="352"/>
      <c r="L591" s="355">
        <v>0</v>
      </c>
      <c r="M591" s="2"/>
    </row>
    <row r="592" spans="1:13" ht="15.75">
      <c r="A592" s="350"/>
      <c r="B592" s="351"/>
      <c r="C592" s="352"/>
      <c r="D592" s="352"/>
      <c r="E592" s="351"/>
      <c r="F592" s="351"/>
      <c r="G592" s="340"/>
      <c r="H592" s="352"/>
      <c r="I592" s="352"/>
      <c r="J592" s="352"/>
      <c r="K592" s="352"/>
      <c r="L592" s="355">
        <v>0</v>
      </c>
      <c r="M592" s="2"/>
    </row>
    <row r="593" spans="1:13" ht="15.75">
      <c r="A593" s="350"/>
      <c r="B593" s="351"/>
      <c r="C593" s="352"/>
      <c r="D593" s="352"/>
      <c r="E593" s="351"/>
      <c r="F593" s="351"/>
      <c r="G593" s="340"/>
      <c r="H593" s="352"/>
      <c r="I593" s="352"/>
      <c r="J593" s="352"/>
      <c r="K593" s="352"/>
      <c r="L593" s="355">
        <v>0</v>
      </c>
      <c r="M593" s="2"/>
    </row>
    <row r="594" spans="1:13" ht="15.75">
      <c r="A594" s="350"/>
      <c r="B594" s="351"/>
      <c r="C594" s="352"/>
      <c r="D594" s="352"/>
      <c r="E594" s="351"/>
      <c r="F594" s="351"/>
      <c r="G594" s="340"/>
      <c r="H594" s="352"/>
      <c r="I594" s="352"/>
      <c r="J594" s="352"/>
      <c r="K594" s="352"/>
      <c r="L594" s="355">
        <v>0</v>
      </c>
      <c r="M594" s="2"/>
    </row>
    <row r="595" spans="1:13" ht="15.75">
      <c r="A595" s="350"/>
      <c r="B595" s="351"/>
      <c r="C595" s="352"/>
      <c r="D595" s="352"/>
      <c r="E595" s="351"/>
      <c r="F595" s="351"/>
      <c r="G595" s="340"/>
      <c r="H595" s="352"/>
      <c r="I595" s="352"/>
      <c r="J595" s="352"/>
      <c r="K595" s="352"/>
      <c r="L595" s="355">
        <v>0</v>
      </c>
      <c r="M595" s="2"/>
    </row>
    <row r="596" spans="1:13" ht="15.75">
      <c r="A596" s="350"/>
      <c r="B596" s="351"/>
      <c r="C596" s="352"/>
      <c r="D596" s="352"/>
      <c r="E596" s="351"/>
      <c r="F596" s="351"/>
      <c r="G596" s="340"/>
      <c r="H596" s="352"/>
      <c r="I596" s="352"/>
      <c r="J596" s="352"/>
      <c r="K596" s="352"/>
      <c r="L596" s="355">
        <v>0</v>
      </c>
      <c r="M596" s="2"/>
    </row>
    <row r="597" spans="1:13" ht="15.75">
      <c r="A597" s="350"/>
      <c r="B597" s="351"/>
      <c r="C597" s="352"/>
      <c r="D597" s="352"/>
      <c r="E597" s="351"/>
      <c r="F597" s="351"/>
      <c r="G597" s="340"/>
      <c r="H597" s="352"/>
      <c r="I597" s="352"/>
      <c r="J597" s="352"/>
      <c r="K597" s="352"/>
      <c r="L597" s="355">
        <v>0</v>
      </c>
      <c r="M597" s="2"/>
    </row>
    <row r="598" spans="1:13" ht="15.75">
      <c r="A598" s="350"/>
      <c r="B598" s="351"/>
      <c r="C598" s="352"/>
      <c r="D598" s="352"/>
      <c r="E598" s="351"/>
      <c r="F598" s="351"/>
      <c r="G598" s="340"/>
      <c r="H598" s="352"/>
      <c r="I598" s="352"/>
      <c r="J598" s="352"/>
      <c r="K598" s="352"/>
      <c r="L598" s="355">
        <v>0</v>
      </c>
      <c r="M598" s="2"/>
    </row>
    <row r="599" spans="1:13" ht="15.75">
      <c r="A599" s="350"/>
      <c r="B599" s="351"/>
      <c r="C599" s="352"/>
      <c r="D599" s="352"/>
      <c r="E599" s="351"/>
      <c r="F599" s="351"/>
      <c r="G599" s="340"/>
      <c r="H599" s="352"/>
      <c r="I599" s="352"/>
      <c r="J599" s="352"/>
      <c r="K599" s="352"/>
      <c r="L599" s="355">
        <v>0</v>
      </c>
      <c r="M599" s="2"/>
    </row>
    <row r="600" spans="1:13" ht="15.75">
      <c r="A600" s="350"/>
      <c r="B600" s="351"/>
      <c r="C600" s="352"/>
      <c r="D600" s="352"/>
      <c r="E600" s="351"/>
      <c r="F600" s="351"/>
      <c r="G600" s="340"/>
      <c r="H600" s="352"/>
      <c r="I600" s="352"/>
      <c r="J600" s="352"/>
      <c r="K600" s="352"/>
      <c r="L600" s="355">
        <v>0</v>
      </c>
      <c r="M600" s="2"/>
    </row>
    <row r="601" spans="1:13" ht="15.75">
      <c r="A601" s="350"/>
      <c r="B601" s="351"/>
      <c r="C601" s="352"/>
      <c r="D601" s="352"/>
      <c r="E601" s="351"/>
      <c r="F601" s="351"/>
      <c r="G601" s="340"/>
      <c r="H601" s="352"/>
      <c r="I601" s="352"/>
      <c r="J601" s="352"/>
      <c r="K601" s="352"/>
      <c r="L601" s="355">
        <v>0</v>
      </c>
      <c r="M601" s="2"/>
    </row>
    <row r="602" spans="1:13" ht="15.75">
      <c r="A602" s="350"/>
      <c r="B602" s="351"/>
      <c r="C602" s="352"/>
      <c r="D602" s="352"/>
      <c r="E602" s="351"/>
      <c r="F602" s="351"/>
      <c r="G602" s="340"/>
      <c r="H602" s="352"/>
      <c r="I602" s="352"/>
      <c r="J602" s="352"/>
      <c r="K602" s="352"/>
      <c r="L602" s="355">
        <v>0</v>
      </c>
      <c r="M602" s="2"/>
    </row>
    <row r="603" spans="1:13">
      <c r="D603" s="357"/>
    </row>
    <row r="604" spans="1:13">
      <c r="D604" s="357"/>
    </row>
    <row r="605" spans="1:13">
      <c r="D605" s="357"/>
    </row>
    <row r="606" spans="1:13">
      <c r="D606" s="357"/>
    </row>
    <row r="607" spans="1:13">
      <c r="D607" s="357"/>
    </row>
    <row r="608" spans="1:13">
      <c r="A608" s="359"/>
      <c r="B608" s="2"/>
      <c r="C608" s="2"/>
      <c r="D608" s="357"/>
      <c r="E608" s="360"/>
      <c r="F608" s="2"/>
      <c r="G608" s="2"/>
      <c r="H608" s="2"/>
      <c r="I608" s="2"/>
      <c r="J608" s="2"/>
      <c r="K608" s="2"/>
      <c r="L608" s="2"/>
      <c r="M608" s="2"/>
    </row>
    <row r="609" spans="1:13">
      <c r="A609" s="359"/>
      <c r="B609" s="2"/>
      <c r="C609" s="2"/>
      <c r="D609" s="357"/>
      <c r="E609" s="360"/>
      <c r="F609" s="2"/>
      <c r="G609" s="2"/>
      <c r="H609" s="2"/>
      <c r="I609" s="2"/>
      <c r="J609" s="2"/>
      <c r="K609" s="2"/>
      <c r="L609" s="2"/>
      <c r="M609" s="2"/>
    </row>
    <row r="610" spans="1:13">
      <c r="A610" s="359"/>
      <c r="B610" s="2"/>
      <c r="C610" s="2"/>
      <c r="D610" s="357"/>
      <c r="E610" s="360"/>
      <c r="F610" s="2"/>
      <c r="G610" s="2"/>
      <c r="H610" s="2"/>
      <c r="I610" s="2"/>
      <c r="J610" s="2"/>
      <c r="K610" s="2"/>
      <c r="L610" s="2"/>
      <c r="M610" s="2"/>
    </row>
    <row r="611" spans="1:13">
      <c r="A611" s="359"/>
      <c r="B611" s="2"/>
      <c r="C611" s="2"/>
      <c r="D611" s="357"/>
      <c r="E611" s="360"/>
      <c r="F611" s="2"/>
      <c r="G611" s="2"/>
      <c r="H611" s="2"/>
      <c r="I611" s="2"/>
      <c r="J611" s="2"/>
      <c r="K611" s="2"/>
      <c r="L611" s="2"/>
      <c r="M611" s="2"/>
    </row>
    <row r="612" spans="1:13">
      <c r="A612" s="359"/>
      <c r="B612" s="2"/>
      <c r="C612" s="2"/>
      <c r="D612" s="357"/>
      <c r="E612" s="360"/>
      <c r="F612" s="2"/>
      <c r="G612" s="2"/>
      <c r="H612" s="2"/>
      <c r="I612" s="2"/>
      <c r="J612" s="2"/>
      <c r="K612" s="2"/>
      <c r="L612" s="2"/>
      <c r="M612" s="2"/>
    </row>
    <row r="613" spans="1:13">
      <c r="A613" s="359"/>
      <c r="B613" s="2"/>
      <c r="C613" s="2"/>
      <c r="D613" s="357"/>
      <c r="E613" s="360"/>
      <c r="F613" s="2"/>
      <c r="G613" s="2"/>
      <c r="H613" s="2"/>
      <c r="I613" s="2"/>
      <c r="J613" s="2"/>
      <c r="K613" s="2"/>
      <c r="L613" s="2"/>
      <c r="M613" s="2"/>
    </row>
    <row r="614" spans="1:13">
      <c r="A614" s="359"/>
      <c r="B614" s="2"/>
      <c r="C614" s="2"/>
      <c r="D614" s="357"/>
      <c r="E614" s="360"/>
      <c r="F614" s="2"/>
      <c r="G614" s="2"/>
      <c r="H614" s="2"/>
      <c r="I614" s="2"/>
      <c r="J614" s="2"/>
      <c r="K614" s="2"/>
      <c r="L614" s="2"/>
      <c r="M614" s="2"/>
    </row>
    <row r="615" spans="1:13">
      <c r="A615" s="359"/>
      <c r="B615" s="2"/>
      <c r="C615" s="2"/>
      <c r="D615" s="357"/>
      <c r="E615" s="360"/>
      <c r="F615" s="2"/>
      <c r="G615" s="2"/>
      <c r="H615" s="2"/>
      <c r="I615" s="2"/>
      <c r="J615" s="2"/>
      <c r="K615" s="2"/>
      <c r="L615" s="2"/>
      <c r="M615" s="2"/>
    </row>
    <row r="616" spans="1:13">
      <c r="A616" s="359"/>
      <c r="B616" s="2"/>
      <c r="C616" s="2"/>
      <c r="D616" s="357"/>
      <c r="E616" s="360"/>
      <c r="F616" s="2"/>
      <c r="G616" s="2"/>
      <c r="H616" s="2"/>
      <c r="I616" s="2"/>
      <c r="J616" s="2"/>
      <c r="K616" s="2"/>
      <c r="L616" s="2"/>
      <c r="M616" s="2"/>
    </row>
    <row r="617" spans="1:13">
      <c r="A617" s="359"/>
      <c r="B617" s="2"/>
      <c r="C617" s="2"/>
      <c r="D617" s="357"/>
      <c r="E617" s="360"/>
      <c r="F617" s="2"/>
      <c r="G617" s="2"/>
      <c r="H617" s="2"/>
      <c r="I617" s="2"/>
      <c r="J617" s="2"/>
      <c r="K617" s="2"/>
      <c r="L617" s="2"/>
      <c r="M617" s="2"/>
    </row>
    <row r="618" spans="1:13">
      <c r="A618" s="359"/>
      <c r="B618" s="2"/>
      <c r="C618" s="2"/>
      <c r="D618" s="357"/>
      <c r="E618" s="360"/>
      <c r="F618" s="2"/>
      <c r="G618" s="2"/>
      <c r="H618" s="2"/>
      <c r="I618" s="2"/>
      <c r="J618" s="2"/>
      <c r="K618" s="2"/>
      <c r="L618" s="2"/>
      <c r="M618" s="2"/>
    </row>
    <row r="619" spans="1:13">
      <c r="A619" s="359"/>
      <c r="B619" s="2"/>
      <c r="C619" s="2"/>
      <c r="D619" s="357"/>
      <c r="E619" s="360"/>
      <c r="F619" s="2"/>
      <c r="G619" s="2"/>
      <c r="H619" s="2"/>
      <c r="I619" s="2"/>
      <c r="J619" s="2"/>
      <c r="K619" s="2"/>
      <c r="L619" s="2"/>
      <c r="M619" s="2"/>
    </row>
    <row r="620" spans="1:13">
      <c r="A620" s="359"/>
      <c r="B620" s="2"/>
      <c r="C620" s="2"/>
      <c r="D620" s="357"/>
      <c r="E620" s="360"/>
      <c r="F620" s="2"/>
      <c r="G620" s="2"/>
      <c r="H620" s="2"/>
      <c r="I620" s="2"/>
      <c r="J620" s="2"/>
      <c r="K620" s="2"/>
      <c r="L620" s="2"/>
      <c r="M620" s="2"/>
    </row>
    <row r="621" spans="1:13">
      <c r="A621" s="359"/>
      <c r="B621" s="2"/>
      <c r="C621" s="2"/>
      <c r="D621" s="357"/>
      <c r="E621" s="360"/>
      <c r="F621" s="2"/>
      <c r="G621" s="2"/>
      <c r="H621" s="2"/>
      <c r="I621" s="2"/>
      <c r="J621" s="2"/>
      <c r="K621" s="2"/>
      <c r="L621" s="2"/>
      <c r="M621" s="2"/>
    </row>
    <row r="622" spans="1:13">
      <c r="A622" s="359"/>
      <c r="B622" s="2"/>
      <c r="C622" s="2"/>
      <c r="D622" s="357"/>
      <c r="E622" s="360"/>
      <c r="F622" s="2"/>
      <c r="G622" s="2"/>
      <c r="H622" s="2"/>
      <c r="I622" s="2"/>
      <c r="J622" s="2"/>
      <c r="K622" s="2"/>
      <c r="L622" s="2"/>
      <c r="M622" s="2"/>
    </row>
    <row r="623" spans="1:13">
      <c r="A623" s="359"/>
      <c r="B623" s="2"/>
      <c r="C623" s="2"/>
      <c r="D623" s="357"/>
      <c r="E623" s="360"/>
      <c r="F623" s="2"/>
      <c r="G623" s="2"/>
      <c r="H623" s="2"/>
      <c r="I623" s="2"/>
      <c r="J623" s="2"/>
      <c r="K623" s="2"/>
      <c r="L623" s="2"/>
      <c r="M623" s="2"/>
    </row>
    <row r="624" spans="1:13">
      <c r="A624" s="359"/>
      <c r="B624" s="2"/>
      <c r="C624" s="2"/>
      <c r="D624" s="357"/>
      <c r="E624" s="360"/>
      <c r="F624" s="2"/>
      <c r="G624" s="2"/>
      <c r="H624" s="2"/>
      <c r="I624" s="2"/>
      <c r="J624" s="2"/>
      <c r="K624" s="2"/>
      <c r="L624" s="2"/>
      <c r="M624" s="2"/>
    </row>
    <row r="625" spans="1:13">
      <c r="A625" s="359"/>
      <c r="B625" s="2"/>
      <c r="C625" s="2"/>
      <c r="D625" s="357"/>
      <c r="E625" s="360"/>
      <c r="F625" s="2"/>
      <c r="G625" s="2"/>
      <c r="H625" s="2"/>
      <c r="I625" s="2"/>
      <c r="J625" s="2"/>
      <c r="K625" s="2"/>
      <c r="L625" s="2"/>
      <c r="M625" s="2"/>
    </row>
    <row r="626" spans="1:13">
      <c r="A626" s="359"/>
      <c r="B626" s="2"/>
      <c r="C626" s="2"/>
      <c r="D626" s="357"/>
      <c r="E626" s="360"/>
      <c r="F626" s="2"/>
      <c r="G626" s="2"/>
      <c r="H626" s="2"/>
      <c r="I626" s="2"/>
      <c r="J626" s="2"/>
      <c r="K626" s="2"/>
      <c r="L626" s="2"/>
      <c r="M626" s="2"/>
    </row>
    <row r="627" spans="1:13">
      <c r="A627" s="359"/>
      <c r="B627" s="2"/>
      <c r="C627" s="2"/>
      <c r="D627" s="357"/>
      <c r="E627" s="360"/>
      <c r="F627" s="2"/>
      <c r="G627" s="2"/>
      <c r="H627" s="2"/>
      <c r="I627" s="2"/>
      <c r="J627" s="2"/>
      <c r="K627" s="2"/>
      <c r="L627" s="2"/>
      <c r="M627" s="2"/>
    </row>
    <row r="628" spans="1:13">
      <c r="A628" s="359"/>
      <c r="B628" s="2"/>
      <c r="C628" s="2"/>
      <c r="D628" s="357"/>
      <c r="E628" s="360"/>
      <c r="F628" s="2"/>
      <c r="G628" s="2"/>
      <c r="H628" s="2"/>
      <c r="I628" s="2"/>
      <c r="J628" s="2"/>
      <c r="K628" s="2"/>
      <c r="L628" s="2"/>
      <c r="M628" s="2"/>
    </row>
    <row r="629" spans="1:13">
      <c r="A629" s="359"/>
      <c r="B629" s="2"/>
      <c r="C629" s="2"/>
      <c r="D629" s="357"/>
      <c r="E629" s="360"/>
      <c r="F629" s="2"/>
      <c r="G629" s="2"/>
      <c r="H629" s="2"/>
      <c r="I629" s="2"/>
      <c r="J629" s="2"/>
      <c r="K629" s="2"/>
      <c r="L629" s="2"/>
      <c r="M629" s="2"/>
    </row>
    <row r="630" spans="1:13">
      <c r="A630" s="359"/>
      <c r="B630" s="2"/>
      <c r="C630" s="2"/>
      <c r="D630" s="357"/>
      <c r="E630" s="360"/>
      <c r="F630" s="2"/>
      <c r="G630" s="2"/>
      <c r="H630" s="2"/>
      <c r="I630" s="2"/>
      <c r="J630" s="2"/>
      <c r="K630" s="2"/>
      <c r="L630" s="2"/>
      <c r="M630" s="2"/>
    </row>
    <row r="631" spans="1:13">
      <c r="A631" s="359"/>
      <c r="B631" s="2"/>
      <c r="C631" s="2"/>
      <c r="D631" s="357"/>
      <c r="E631" s="360"/>
      <c r="F631" s="2"/>
      <c r="G631" s="2"/>
      <c r="H631" s="2"/>
      <c r="I631" s="2"/>
      <c r="J631" s="2"/>
      <c r="K631" s="2"/>
      <c r="L631" s="2"/>
      <c r="M631" s="2"/>
    </row>
    <row r="632" spans="1:13">
      <c r="A632" s="359"/>
      <c r="B632" s="2"/>
      <c r="C632" s="2"/>
      <c r="D632" s="357"/>
      <c r="E632" s="360"/>
      <c r="F632" s="2"/>
      <c r="G632" s="2"/>
      <c r="H632" s="2"/>
      <c r="I632" s="2"/>
      <c r="J632" s="2"/>
      <c r="K632" s="2"/>
      <c r="L632" s="2"/>
      <c r="M632" s="2"/>
    </row>
    <row r="633" spans="1:13">
      <c r="A633" s="359"/>
      <c r="B633" s="2"/>
      <c r="C633" s="2"/>
      <c r="D633" s="357"/>
      <c r="E633" s="360"/>
      <c r="F633" s="2"/>
      <c r="G633" s="2"/>
      <c r="H633" s="2"/>
      <c r="I633" s="2"/>
      <c r="J633" s="2"/>
      <c r="K633" s="2"/>
      <c r="L633" s="2"/>
      <c r="M633" s="2"/>
    </row>
    <row r="634" spans="1:13">
      <c r="A634" s="359"/>
      <c r="B634" s="2"/>
      <c r="C634" s="2"/>
      <c r="D634" s="357"/>
      <c r="E634" s="360"/>
      <c r="F634" s="2"/>
      <c r="G634" s="2"/>
      <c r="H634" s="2"/>
      <c r="I634" s="2"/>
      <c r="J634" s="2"/>
      <c r="K634" s="2"/>
      <c r="L634" s="2"/>
      <c r="M634" s="2"/>
    </row>
    <row r="635" spans="1:13">
      <c r="A635" s="359"/>
      <c r="B635" s="2"/>
      <c r="C635" s="2"/>
      <c r="D635" s="357"/>
      <c r="E635" s="360"/>
      <c r="F635" s="2"/>
      <c r="G635" s="2"/>
      <c r="H635" s="2"/>
      <c r="I635" s="2"/>
      <c r="J635" s="2"/>
      <c r="K635" s="2"/>
      <c r="L635" s="2"/>
      <c r="M635" s="2"/>
    </row>
    <row r="636" spans="1:13">
      <c r="A636" s="359"/>
      <c r="B636" s="2"/>
      <c r="C636" s="2"/>
      <c r="D636" s="357"/>
      <c r="E636" s="360"/>
      <c r="F636" s="2"/>
      <c r="G636" s="2"/>
      <c r="H636" s="2"/>
      <c r="I636" s="2"/>
      <c r="J636" s="2"/>
      <c r="K636" s="2"/>
      <c r="L636" s="2"/>
      <c r="M636" s="2"/>
    </row>
    <row r="637" spans="1:13">
      <c r="A637" s="359"/>
      <c r="B637" s="2"/>
      <c r="C637" s="2"/>
      <c r="D637" s="357"/>
      <c r="E637" s="360"/>
      <c r="F637" s="2"/>
      <c r="G637" s="2"/>
      <c r="H637" s="2"/>
      <c r="I637" s="2"/>
      <c r="J637" s="2"/>
      <c r="K637" s="2"/>
      <c r="L637" s="2"/>
      <c r="M637" s="2"/>
    </row>
    <row r="638" spans="1:13">
      <c r="A638" s="359"/>
      <c r="B638" s="2"/>
      <c r="C638" s="2"/>
      <c r="E638" s="360"/>
      <c r="F638" s="2"/>
      <c r="G638" s="2"/>
      <c r="H638" s="2"/>
      <c r="I638" s="2"/>
      <c r="J638" s="2"/>
      <c r="K638" s="2"/>
      <c r="L638" s="2"/>
      <c r="M638" s="2"/>
    </row>
    <row r="639" spans="1:13">
      <c r="A639" s="359"/>
      <c r="B639" s="2"/>
      <c r="C639" s="2"/>
      <c r="E639" s="360"/>
      <c r="F639" s="2"/>
      <c r="G639" s="2"/>
      <c r="H639" s="2"/>
      <c r="I639" s="2"/>
      <c r="J639" s="2"/>
      <c r="K639" s="2"/>
      <c r="L639" s="2"/>
      <c r="M639" s="2"/>
    </row>
    <row r="640" spans="1:13">
      <c r="A640" s="359"/>
      <c r="B640" s="2"/>
      <c r="C640" s="2"/>
      <c r="D640" s="2"/>
      <c r="E640" s="360"/>
      <c r="F640" s="2"/>
      <c r="G640" s="2"/>
      <c r="H640" s="2"/>
      <c r="I640" s="2"/>
      <c r="J640" s="2"/>
      <c r="K640" s="2"/>
      <c r="L640" s="2"/>
      <c r="M640" s="2"/>
    </row>
    <row r="641" spans="1:13">
      <c r="A641" s="359"/>
      <c r="B641" s="2"/>
      <c r="C641" s="2"/>
      <c r="D641" s="2"/>
      <c r="E641" s="360"/>
      <c r="F641" s="2"/>
      <c r="G641" s="2"/>
      <c r="H641" s="2"/>
      <c r="I641" s="2"/>
      <c r="J641" s="2"/>
      <c r="K641" s="2"/>
      <c r="L641" s="2"/>
      <c r="M641" s="2"/>
    </row>
    <row r="642" spans="1:13">
      <c r="A642" s="359"/>
      <c r="B642" s="2"/>
      <c r="C642" s="2"/>
      <c r="D642" s="2"/>
      <c r="E642" s="360"/>
      <c r="F642" s="2"/>
      <c r="G642" s="2"/>
      <c r="H642" s="2"/>
      <c r="I642" s="2"/>
      <c r="J642" s="2"/>
      <c r="K642" s="2"/>
      <c r="L642" s="2"/>
      <c r="M642" s="2"/>
    </row>
    <row r="643" spans="1:13">
      <c r="A643" s="359"/>
      <c r="B643" s="2"/>
      <c r="C643" s="2"/>
      <c r="D643" s="2"/>
      <c r="E643" s="360"/>
      <c r="F643" s="2"/>
      <c r="G643" s="2"/>
      <c r="H643" s="2"/>
      <c r="I643" s="2"/>
      <c r="J643" s="2"/>
      <c r="K643" s="2"/>
      <c r="L643" s="2"/>
      <c r="M643" s="2"/>
    </row>
    <row r="644" spans="1:13">
      <c r="A644" s="359"/>
      <c r="B644" s="2"/>
      <c r="C644" s="2"/>
      <c r="D644" s="2"/>
      <c r="E644" s="360"/>
      <c r="F644" s="2"/>
      <c r="G644" s="2"/>
      <c r="H644" s="2"/>
      <c r="I644" s="2"/>
      <c r="J644" s="2"/>
      <c r="K644" s="2"/>
      <c r="L644" s="2"/>
      <c r="M644" s="2"/>
    </row>
    <row r="645" spans="1:13">
      <c r="A645" s="359"/>
      <c r="B645" s="2"/>
      <c r="C645" s="2"/>
      <c r="D645" s="2"/>
      <c r="E645" s="360"/>
      <c r="F645" s="2"/>
      <c r="G645" s="2"/>
      <c r="H645" s="2"/>
      <c r="I645" s="2"/>
      <c r="J645" s="2"/>
      <c r="K645" s="2"/>
      <c r="L645" s="2"/>
      <c r="M645" s="2"/>
    </row>
    <row r="646" spans="1:13">
      <c r="A646" s="359"/>
      <c r="B646" s="2"/>
      <c r="C646" s="2"/>
      <c r="D646" s="2"/>
      <c r="E646" s="360"/>
      <c r="F646" s="2"/>
      <c r="G646" s="2"/>
      <c r="H646" s="2"/>
      <c r="I646" s="2"/>
      <c r="J646" s="2"/>
      <c r="K646" s="2"/>
      <c r="L646" s="2"/>
      <c r="M646" s="2"/>
    </row>
    <row r="647" spans="1:13">
      <c r="A647" s="359"/>
      <c r="B647" s="2"/>
      <c r="C647" s="2"/>
      <c r="D647" s="2"/>
      <c r="E647" s="360"/>
      <c r="F647" s="2"/>
      <c r="G647" s="2"/>
      <c r="H647" s="2"/>
      <c r="I647" s="2"/>
      <c r="J647" s="2"/>
      <c r="K647" s="2"/>
      <c r="L647" s="2"/>
      <c r="M647" s="2"/>
    </row>
    <row r="648" spans="1:13">
      <c r="A648" s="359"/>
      <c r="B648" s="2"/>
      <c r="C648" s="2"/>
      <c r="D648" s="2"/>
      <c r="E648" s="360"/>
      <c r="F648" s="2"/>
      <c r="G648" s="2"/>
      <c r="H648" s="2"/>
      <c r="I648" s="2"/>
      <c r="J648" s="2"/>
      <c r="K648" s="2"/>
      <c r="L648" s="2"/>
      <c r="M648" s="2"/>
    </row>
    <row r="649" spans="1:13">
      <c r="A649" s="359"/>
      <c r="B649" s="2"/>
      <c r="C649" s="2"/>
      <c r="D649" s="2"/>
      <c r="E649" s="360"/>
      <c r="F649" s="2"/>
      <c r="G649" s="2"/>
      <c r="H649" s="2"/>
      <c r="I649" s="2"/>
      <c r="J649" s="2"/>
      <c r="K649" s="2"/>
      <c r="L649" s="2"/>
      <c r="M649" s="2"/>
    </row>
    <row r="650" spans="1:13">
      <c r="A650" s="359"/>
      <c r="B650" s="2"/>
      <c r="C650" s="2"/>
      <c r="D650" s="2"/>
      <c r="E650" s="360"/>
      <c r="F650" s="2"/>
      <c r="G650" s="2"/>
      <c r="H650" s="2"/>
      <c r="I650" s="2"/>
      <c r="J650" s="2"/>
      <c r="K650" s="2"/>
      <c r="L650" s="2"/>
      <c r="M650" s="2"/>
    </row>
    <row r="651" spans="1:13">
      <c r="A651" s="359"/>
      <c r="B651" s="2"/>
      <c r="C651" s="2"/>
      <c r="D651" s="2"/>
      <c r="E651" s="360"/>
      <c r="F651" s="2"/>
      <c r="G651" s="2"/>
      <c r="H651" s="2"/>
      <c r="I651" s="2"/>
      <c r="J651" s="2"/>
      <c r="K651" s="2"/>
      <c r="L651" s="2"/>
      <c r="M651" s="2"/>
    </row>
    <row r="652" spans="1:13">
      <c r="A652" s="359"/>
      <c r="B652" s="2"/>
      <c r="C652" s="2"/>
      <c r="D652" s="2"/>
      <c r="E652" s="360"/>
      <c r="F652" s="2"/>
      <c r="G652" s="2"/>
      <c r="H652" s="2"/>
      <c r="I652" s="2"/>
      <c r="J652" s="2"/>
      <c r="K652" s="2"/>
      <c r="L652" s="2"/>
      <c r="M652" s="2"/>
    </row>
    <row r="653" spans="1:13">
      <c r="A653" s="359"/>
      <c r="B653" s="2"/>
      <c r="C653" s="2"/>
      <c r="D653" s="2"/>
      <c r="E653" s="360"/>
      <c r="F653" s="2"/>
      <c r="G653" s="2"/>
      <c r="H653" s="2"/>
      <c r="I653" s="2"/>
      <c r="J653" s="2"/>
      <c r="K653" s="2"/>
      <c r="L653" s="2"/>
      <c r="M653" s="2"/>
    </row>
    <row r="654" spans="1:13">
      <c r="A654" s="359"/>
      <c r="B654" s="2"/>
      <c r="C654" s="2"/>
      <c r="D654" s="2"/>
      <c r="E654" s="360"/>
      <c r="F654" s="2"/>
      <c r="G654" s="2"/>
      <c r="H654" s="2"/>
      <c r="I654" s="2"/>
      <c r="J654" s="2"/>
      <c r="K654" s="2"/>
      <c r="L654" s="2"/>
      <c r="M654" s="2"/>
    </row>
    <row r="655" spans="1:13">
      <c r="A655" s="359"/>
      <c r="B655" s="2"/>
      <c r="C655" s="2"/>
      <c r="D655" s="2"/>
      <c r="E655" s="360"/>
      <c r="F655" s="2"/>
      <c r="G655" s="2"/>
      <c r="H655" s="2"/>
      <c r="I655" s="2"/>
      <c r="J655" s="2"/>
      <c r="K655" s="2"/>
      <c r="L655" s="2"/>
      <c r="M655" s="2"/>
    </row>
    <row r="656" spans="1:13">
      <c r="A656" s="359"/>
      <c r="B656" s="2"/>
      <c r="C656" s="2"/>
      <c r="D656" s="2"/>
      <c r="E656" s="360"/>
      <c r="F656" s="2"/>
      <c r="G656" s="2"/>
      <c r="H656" s="2"/>
      <c r="I656" s="2"/>
      <c r="J656" s="2"/>
      <c r="K656" s="2"/>
      <c r="L656" s="2"/>
      <c r="M656" s="2"/>
    </row>
    <row r="657" spans="1:13">
      <c r="A657" s="359"/>
      <c r="B657" s="2"/>
      <c r="C657" s="2"/>
      <c r="D657" s="2"/>
      <c r="E657" s="360"/>
      <c r="F657" s="2"/>
      <c r="G657" s="2"/>
      <c r="H657" s="2"/>
      <c r="I657" s="2"/>
      <c r="J657" s="2"/>
      <c r="K657" s="2"/>
      <c r="L657" s="2"/>
      <c r="M657" s="2"/>
    </row>
    <row r="658" spans="1:13">
      <c r="A658" s="359"/>
      <c r="B658" s="2"/>
      <c r="C658" s="2"/>
      <c r="D658" s="2"/>
      <c r="E658" s="360"/>
      <c r="F658" s="2"/>
      <c r="G658" s="2"/>
      <c r="H658" s="2"/>
      <c r="I658" s="2"/>
      <c r="J658" s="2"/>
      <c r="K658" s="2"/>
      <c r="L658" s="2"/>
      <c r="M658" s="2"/>
    </row>
    <row r="659" spans="1:13">
      <c r="A659" s="359"/>
      <c r="B659" s="2"/>
      <c r="C659" s="2"/>
      <c r="D659" s="2"/>
      <c r="E659" s="360"/>
      <c r="F659" s="2"/>
      <c r="G659" s="2"/>
      <c r="H659" s="2"/>
      <c r="I659" s="2"/>
      <c r="J659" s="2"/>
      <c r="K659" s="2"/>
      <c r="L659" s="2"/>
      <c r="M659" s="2"/>
    </row>
  </sheetData>
  <protectedRanges>
    <protectedRange sqref="B95:B114" name="Intervalo2_1_1_1"/>
    <protectedRange sqref="G97" name="Intervalo2_15_1_1_4"/>
    <protectedRange sqref="L101:L106" name="Intervalo2_1_2"/>
    <protectedRange sqref="L95" name="Intervalo2_1"/>
    <protectedRange sqref="B2:B94" name="Intervalo2_1_1"/>
    <protectedRange sqref="H44" name="Intervalo2_20_1"/>
    <protectedRange sqref="L88:L93" name="Intervalo2_1_3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5" orientation="landscape" horizontalDpi="4294967294" verticalDpi="4294967294" r:id="rId1"/>
  <rowBreaks count="2" manualBreakCount="2">
    <brk id="74" max="11" man="1"/>
    <brk id="9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18</vt:i4>
      </vt:variant>
      <vt:variant>
        <vt:lpstr>Intervalos Nomeados</vt:lpstr>
      </vt:variant>
      <vt:variant>
        <vt:i4>7</vt:i4>
      </vt:variant>
    </vt:vector>
  </HeadingPairs>
  <TitlesOfParts>
    <vt:vector size="25" baseType="lpstr">
      <vt:lpstr>CONTÁBIL FINANCEIRA - PCF</vt:lpstr>
      <vt:lpstr>FUNDO FIXO</vt:lpstr>
      <vt:lpstr>1 CONTA CORRENTE (D E C)</vt:lpstr>
      <vt:lpstr>2 CONTA CORRENTE (D E C)</vt:lpstr>
      <vt:lpstr>SALDO DE ESTOQUE</vt:lpstr>
      <vt:lpstr>APLICAÇÃO FINANCEIRA</vt:lpstr>
      <vt:lpstr>Despesa pessoal ANEXO II </vt:lpstr>
      <vt:lpstr>Demais despesas pesso ANEXO III</vt:lpstr>
      <vt:lpstr>Despesas gerais ANEXO IV</vt:lpstr>
      <vt:lpstr>Receitas ANEXO V</vt:lpstr>
      <vt:lpstr>Demais receitas ANEXO VI</vt:lpstr>
      <vt:lpstr>Contratos ANEXO VII</vt:lpstr>
      <vt:lpstr>Termo aditivo ANEXO VIII</vt:lpstr>
      <vt:lpstr>TURNOVER</vt:lpstr>
      <vt:lpstr>CATEGORIA PROFISSIONAL</vt:lpstr>
      <vt:lpstr>CÁLCULO FOLHA DE PAGAMENTO</vt:lpstr>
      <vt:lpstr>PLANILHA DE CONFERÊNCIA</vt:lpstr>
      <vt:lpstr>Plan1</vt:lpstr>
      <vt:lpstr>'CÁLCULO FOLHA DE PAGAMENTO'!Area_de_impressao</vt:lpstr>
      <vt:lpstr>'CONTÁBIL FINANCEIRA - PCF'!Area_de_impressao</vt:lpstr>
      <vt:lpstr>'Demais despesas pesso ANEXO III'!Area_de_impressao</vt:lpstr>
      <vt:lpstr>'Despesa pessoal ANEXO II '!Area_de_impressao</vt:lpstr>
      <vt:lpstr>'Despesas gerais ANEXO IV'!Area_de_impressao</vt:lpstr>
      <vt:lpstr>'SALDO DE ESTOQUE'!Area_de_impressao</vt:lpstr>
      <vt:lpstr>'Termo aditivo ANEXO VIII'!Area_de_impressao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 Leandra Cruz</dc:creator>
  <cp:lastModifiedBy>NOTEBOOKTI-PC</cp:lastModifiedBy>
  <cp:lastPrinted>2021-08-15T19:09:29Z</cp:lastPrinted>
  <dcterms:created xsi:type="dcterms:W3CDTF">2019-12-13T12:34:00Z</dcterms:created>
  <dcterms:modified xsi:type="dcterms:W3CDTF">2021-08-17T02:47:37Z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1046-11.2.0.9906</vt:lpwstr>
  </property>
</Properties>
</file>