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CandidatosFilaDeEspera" sheetId="1" r:id="rId5"/>
    <sheet state="hidden" name="lista_id" sheetId="2" r:id="rId6"/>
    <sheet state="hidden" name="dados_01" sheetId="3" r:id="rId7"/>
    <sheet state="hidden" name="dados_02" sheetId="4" r:id="rId8"/>
    <sheet state="visible" name="regional_01" sheetId="5" r:id="rId9"/>
    <sheet state="visible" name="regional_02" sheetId="6" r:id="rId10"/>
    <sheet state="visible" name="regional_03" sheetId="7" r:id="rId11"/>
    <sheet state="visible" name="regional_04" sheetId="8" r:id="rId12"/>
    <sheet state="visible" name="regional_05" sheetId="9" r:id="rId13"/>
    <sheet state="visible" name="regional_06" sheetId="10" r:id="rId14"/>
    <sheet state="visible" name="regional_07" sheetId="11" r:id="rId15"/>
    <sheet state="hidden" name="lista_id_2026" sheetId="12" r:id="rId16"/>
    <sheet state="hidden" name="link" sheetId="13" r:id="rId17"/>
  </sheets>
  <definedNames>
    <definedName hidden="1" localSheetId="0" name="_xlnm._FilterDatabase">CandidatosFilaDeEspera!$A$1:$AC$1098</definedName>
    <definedName hidden="1" localSheetId="3" name="_xlnm._FilterDatabase">dados_02!$A$1:$Z$1000</definedName>
  </definedNames>
  <calcPr/>
</workbook>
</file>

<file path=xl/sharedStrings.xml><?xml version="1.0" encoding="utf-8"?>
<sst xmlns="http://schemas.openxmlformats.org/spreadsheetml/2006/main" count="2105" uniqueCount="796">
  <si>
    <t>ID</t>
  </si>
  <si>
    <t>Regional</t>
  </si>
  <si>
    <t>Unidade Escolar</t>
  </si>
  <si>
    <t>INEP</t>
  </si>
  <si>
    <t>Ano Escolar</t>
  </si>
  <si>
    <t>Turno</t>
  </si>
  <si>
    <t>Fila</t>
  </si>
  <si>
    <t>Posição</t>
  </si>
  <si>
    <t>Protocolo</t>
  </si>
  <si>
    <t>Cadastro</t>
  </si>
  <si>
    <t>Nome</t>
  </si>
  <si>
    <t>CPF</t>
  </si>
  <si>
    <t>Data de Nascimento</t>
  </si>
  <si>
    <t>Documentos</t>
  </si>
  <si>
    <t>Quantidade de contatos efetuados</t>
  </si>
  <si>
    <t>QTD</t>
  </si>
  <si>
    <t>REGIONAL</t>
  </si>
  <si>
    <t>ESCOLA</t>
  </si>
  <si>
    <t>NOME ESCOLA PONTO ID</t>
  </si>
  <si>
    <t>REGIONAL 2</t>
  </si>
  <si>
    <t>Escola</t>
  </si>
  <si>
    <t>Coluna 1</t>
  </si>
  <si>
    <t>Coluna 2</t>
  </si>
  <si>
    <t>Coluna 3</t>
  </si>
  <si>
    <t>Coluna 4</t>
  </si>
  <si>
    <t>Coluna 5</t>
  </si>
  <si>
    <t>Coluna 6</t>
  </si>
  <si>
    <t>Coluna 7</t>
  </si>
  <si>
    <t>Coluna 8</t>
  </si>
  <si>
    <t>Coluna 9</t>
  </si>
  <si>
    <t>Coluna 10</t>
  </si>
  <si>
    <t>Coluna 11</t>
  </si>
  <si>
    <t>Coluna 12</t>
  </si>
  <si>
    <t>Coluna 13</t>
  </si>
  <si>
    <t>Coluna 14</t>
  </si>
  <si>
    <t>Coluna 15</t>
  </si>
  <si>
    <t>Coluna 16</t>
  </si>
  <si>
    <t>Coluna 17</t>
  </si>
  <si>
    <t>Coluna 18</t>
  </si>
  <si>
    <t>Coluna 19</t>
  </si>
  <si>
    <t>REGIONAL 1</t>
  </si>
  <si>
    <t>CEMEI PROFESSORA JARDELINA MARIA DA LUZ</t>
  </si>
  <si>
    <t>1BaWhjLEBP1M-wsQ715H5beXWWPvqkowgY3D1v-JQEQk</t>
  </si>
  <si>
    <t>https://docs.google.com/spreadsheets/d/1BaWhjLEBP1M-wsQ715H5beXWWPvqkowgY3D1v-JQEQk/edit?gid=585939456#gid=585939456</t>
  </si>
  <si>
    <t>URB</t>
  </si>
  <si>
    <t>REG</t>
  </si>
  <si>
    <t>CEMEI PROFESSORA MARIA JOSÉ DA SILVA</t>
  </si>
  <si>
    <t>1lRqBQQXPuk2pRQFrntkOT0KBaxUNaIKMjRo0KL88w9Q</t>
  </si>
  <si>
    <t>CEMEI SANTO AMARO</t>
  </si>
  <si>
    <t>1jRfwj2J682Ce0Yz2X--lI2cT_tSjfivef3JgDFlZS6s</t>
  </si>
  <si>
    <t>COLEGIO MUNICIPAL HUMBERTO BARRADAS</t>
  </si>
  <si>
    <t>COLÉGIO MUNICIPAL HUMBERTO BARRADAS</t>
  </si>
  <si>
    <t>1NEoUHVszCuiv5sNxVcXC4BVDq28ThNoksxWCU5tMHyA</t>
  </si>
  <si>
    <t>CRECHE CIRANDA CIRANDINHA</t>
  </si>
  <si>
    <t>1tL6QeWBtsdyOBg0kLhM5f-cFJH36PwKwGcHyl7Eyd64</t>
  </si>
  <si>
    <t>CRECHE PROFESSORA MARIA RITA LINS</t>
  </si>
  <si>
    <t>CRECHE MUNICIPAL PROFESSORA MARIA RITA LINS MARTINS</t>
  </si>
  <si>
    <t>1Fdrl5mJAGd2Uh9KlnHVwhZPyMs7q1_SlLUAECjXiNd4</t>
  </si>
  <si>
    <t>ESCOLA MUNICIPAL ALICE VILAR</t>
  </si>
  <si>
    <t>ESCOLA ALICE VILAR DE AQUINO</t>
  </si>
  <si>
    <t>1wm2dFnT5mrhGNpESqjxguhNq63TE7y3kKPjXv9uexyI</t>
  </si>
  <si>
    <t>ESCOLA MUNICIPAL ANÍBAL VAREJÃO</t>
  </si>
  <si>
    <t>1zWjykojKVubONs_2uY1RdcbhrUABfUDud8Qch1lHQko</t>
  </si>
  <si>
    <t>ESCOLA MUNICIPAL ARNALDO PEIXOTO</t>
  </si>
  <si>
    <t>1f9nt8MjVFj6uTW2LSNPsoqRy-0yURbu5AlSuPHXN8jw</t>
  </si>
  <si>
    <t>ESCOLA MUNICIPAL BENJAMIN CONSTANT</t>
  </si>
  <si>
    <t>1pxEtTbEMKrIzkLu1PlzUGVbbPIinYTtHdmOh2j43CKM</t>
  </si>
  <si>
    <t>ESCOLA MUNICIPAL DOM BOSCO</t>
  </si>
  <si>
    <t>1ej52GJr6x8lyfjWgpitweprpwyyHGMCUaH2B4AJr4GU</t>
  </si>
  <si>
    <t>ESCOLA MUNICIPAL DR JOSÉ LEOPOLDINO</t>
  </si>
  <si>
    <t>ESCOLA MUNICIPAL DR JOSE LEOPOLDINO</t>
  </si>
  <si>
    <t>11i4fnW3jM7PugexT8b4s_N1Y4YP1vdk1KomMyWOzp58</t>
  </si>
  <si>
    <t>ESCOLA MUNICIPAL DR LUIZ GONZAGA MARANHAO</t>
  </si>
  <si>
    <t>1QDoYktHtnimu3E8rsTLMeyZykOaE1ceWWsc93-JTyo4</t>
  </si>
  <si>
    <t>ESCOLA MUNICIPAL DR MAURICIO MARTINS DE ALBUQUERQUE</t>
  </si>
  <si>
    <t>ESCOLA MUNICIPAL DOUTOR MAURÍCIO MARTINS DE ALBUQUERQUE</t>
  </si>
  <si>
    <t>1V6px_3M6Y2wC3TYkH2nyyouJPhKxKSMKdarUeYGqZqo</t>
  </si>
  <si>
    <t>ESCOLA MUNICIPAL JOAO BOSCO DE SENA</t>
  </si>
  <si>
    <t>ESCOLA MUNICIPAL JOÃO BOSCO DE SENA</t>
  </si>
  <si>
    <t>1GiohSC82JPgQdaaOhJ40_vvMmz5dngXEfLivH3bLD3Q</t>
  </si>
  <si>
    <t>ESCOLA MUNICIPAL JOSE CARNEIRO</t>
  </si>
  <si>
    <t>1jRqGNIKqKKnuMq-HrC69luU0701ooKqIelAm-W_wX8U</t>
  </si>
  <si>
    <t>ESCOLA MUNICIPAL JUDITH FIGUEIROA</t>
  </si>
  <si>
    <t>1gPZkPn7FZdPvzfA1l3eoxWlHfqVHmdnrSxtiIZ4eNxU</t>
  </si>
  <si>
    <t>ESCOLA MUNICIPAL LEUZA PEREIRA</t>
  </si>
  <si>
    <t>1BGPECQmNhWWadOBSNW_-PUFYvZxOgE6AfFCosrYHjVI</t>
  </si>
  <si>
    <t>ESCOLA MUNICIPAL LILIOSA RAMOS</t>
  </si>
  <si>
    <t>1NYL0SA0KOsZ_LHtrDpiNYZ2Fw1y9f3UHFXkGqlEWv3w</t>
  </si>
  <si>
    <t>ESCOLA MUNICIPAL MARECHAL CASTELO BRANCO</t>
  </si>
  <si>
    <t>1IqOKzyID96XWhEl-IlAyTpG5I53grwTFoI51DQe-BrY</t>
  </si>
  <si>
    <t>ESCOLA MUNICIPAL MARIA DE LOURDES RAMOS</t>
  </si>
  <si>
    <t>11KYXZDiYTWyu33bK4fjHIVtC4KEhbQH7jaB9grLo7ls</t>
  </si>
  <si>
    <t>ESCOLA MUNICIPAL MEDALHA MILAGROSA</t>
  </si>
  <si>
    <t>1-efXuVaY-DrEApQ39dbm_GCH-fPVi8SnzyQ2cwIDzLc</t>
  </si>
  <si>
    <t>ESCOLA MUNICIPAL NOVA VISAO</t>
  </si>
  <si>
    <t>1x3H-Y7kJXtxDx4FEftbXF70QOAVqVVFvE_5PVWioZ0g</t>
  </si>
  <si>
    <t>ESCOLA MUNICIPAL PADRE AURINO CARACCIOLO</t>
  </si>
  <si>
    <t>1K7-63sNMXV7XM9dbaBFlweLkCEfTZPQJ2vNJzmL8KGM</t>
  </si>
  <si>
    <t>ESCOLA MUNICIPAL PASTOR JOAO ADALGISO</t>
  </si>
  <si>
    <t>ESCOLA MUNICIPAL PASTOR JOÃO ADALGISO</t>
  </si>
  <si>
    <t>10uTwuZS9RPDoJWEU69haLRm3WxvQyO_hQ8sa9PJxW38</t>
  </si>
  <si>
    <t>ESCOLA MUNICIPAL POETA MANUEL BANDEIRA</t>
  </si>
  <si>
    <t>1dSPg1Aekk1PSrlRIFKirXJghUPpiPeaqbqc9yWMZPag</t>
  </si>
  <si>
    <t>ESCOLA MUNICIPAL POETA VINICIUS DE MORAIS</t>
  </si>
  <si>
    <t>1GFuMarST7lDQwEC2qbpC2ySzbcQC5O9I2HCoMumqv7s</t>
  </si>
  <si>
    <t>ESCOLA MUNICIPAL PROF. AUGUSTO PEREIRA JUNIOR</t>
  </si>
  <si>
    <t>ESCOLA MUNICIPAL PROFESSOR AUGUSTO PEREIRA JUNIOR</t>
  </si>
  <si>
    <t>1sy0jI-2i0g4ESL4zT0flNn6D0fowzphresI7XNUXoGM</t>
  </si>
  <si>
    <t>ESCOLA MUNICIPAL PROF. EDWARD BERNARDINO</t>
  </si>
  <si>
    <t>ESCOLA MUNICIPAL PROFESSOR EDWARD BERNARDINO</t>
  </si>
  <si>
    <t>1MYjJIHrqWKCq8oh6nXg5gzqFYNWLWa4iYN9U2V9tz4E</t>
  </si>
  <si>
    <t>ESCOLA MUNICIPAL PROF. ROBERTO INACIO DA SILVA</t>
  </si>
  <si>
    <t>ESCOLA MUNICIPAL PROFESSOR ROBERTO INÁCIO DA SILVA</t>
  </si>
  <si>
    <t>1nD3KQ3XEsIU62NUTu2zB7e3y2c_kAr1ufhO4UVWu3Mg</t>
  </si>
  <si>
    <t>ESCOLA MUNICIPAL RURAL MARIA ANGELA DE ALBUQUERQUE MARANHAO</t>
  </si>
  <si>
    <t>ESCOLA MUNICIPAL RURAL MARIA ÂNGELA DE ALBUQUERQUE MARANHÃO</t>
  </si>
  <si>
    <t>1tbKYpIhYEQvj1NdHEIifU0ZMsxVTdi20bLaU5cXTHf4</t>
  </si>
  <si>
    <t>ESCOLA MUNICIPAL RURAL PAULO FREIRE</t>
  </si>
  <si>
    <t>1jsZGzklycR_2lYlZBKxcO709zuzigVts12y97rfNb0w</t>
  </si>
  <si>
    <t>ESCOLA MUNICIPAL RURAL PROFESSORA ELIZABETH MENEZES</t>
  </si>
  <si>
    <t>1I8YLlLxOTuwB84wXeQdeeVFsoLS37Lm2XFYWHnns6bc</t>
  </si>
  <si>
    <t>ESCOLA MUNICIPAL SANTA CATHERINE LABOURE</t>
  </si>
  <si>
    <t>ESCOLA MUNICIPAL SANTA CATHERINE LABOURÉ</t>
  </si>
  <si>
    <t>1A6OBBH4YHMav0NrmPzYJW16QTyhYBtYAMuonaXomrEg</t>
  </si>
  <si>
    <t>ESCOLA MUNICIPAL SAO SEBASTIAO</t>
  </si>
  <si>
    <t>ESCOLA MUNICIPAL SÃO SEBASTIÃO</t>
  </si>
  <si>
    <t>1zOhL74TfaREbKWYSNG55Il54VzpAqV63MWDI6gDBLro</t>
  </si>
  <si>
    <t>CEMEI LUIZ FERNANDO DE CARVALHO ARCOVERDE</t>
  </si>
  <si>
    <t>1scT5Q6bolkKJkmx-EZl2a8VwRUoAv0T3q8jnVbdU9Kk</t>
  </si>
  <si>
    <t>CENTRO EDUCACIONAL CRISTO REDENTOR</t>
  </si>
  <si>
    <t>1YJ-sgqly5DNk64C5jIn42jXaNrb_f2nlaU-EKoLwtOc</t>
  </si>
  <si>
    <t>CRECHE ALAYDE MARIA DA CONCEICAO</t>
  </si>
  <si>
    <t>1BTiflswUW5OMqk-WDl6maMzP_sPnY2hnB7fRCa4cK5s</t>
  </si>
  <si>
    <t>ESCOLA MUNICIPAL ALAYDE MARIA DA CONCEICAO</t>
  </si>
  <si>
    <t>CRECHE PROFESSORA LEDA MARIA QUEIROZ DO REGO BARROS</t>
  </si>
  <si>
    <t>1olNYS7VzZ7zyHmpWhF2ACIO9Di1A3DX2w_vVud5fNj4</t>
  </si>
  <si>
    <t>ESCOLA MUNICIPAL ALAIDE PEDROSA</t>
  </si>
  <si>
    <t>1tkyB_K1FDstUVyidJ4ZMWLNI6RjSlambFli4-M7tKq8</t>
  </si>
  <si>
    <t>ESCOLA MUNICIPAL ALBENICE MARIA DA SILVA</t>
  </si>
  <si>
    <t>1uTXUWFK-vj_Ur5KEVsl2Cbe3IM4O2O6a87dei7L2KqE</t>
  </si>
  <si>
    <t>ESCOLA MUNICIPAL ALBERTO SANTOS DUMONT</t>
  </si>
  <si>
    <t>ESCOLA MUNICIPAL ALBERTO SANTOS DUMONT - ESCOLA DE TEMPO INTEGRAL</t>
  </si>
  <si>
    <t>1C_kReyi9TmxOLZ6mvRTIHvGott2AzY-Sbo4fT7sNy7Q</t>
  </si>
  <si>
    <t>ESCOLA MUNICIPAL ANTONIO VIEIRA DE MELO</t>
  </si>
  <si>
    <t>19j1wJCgKP9P-HdBwt1bj9Rb9SDjK4V7wtuWwQoSu2xI</t>
  </si>
  <si>
    <t>ESCOLA MUNICIPAL BELEM DE JUDA</t>
  </si>
  <si>
    <t>1K8meAyt-Fa952x7ecfdIPiuJzryV02hraHCmteFai1g</t>
  </si>
  <si>
    <t>ESCOLA MUNICIPAL DAVINO TENORIO</t>
  </si>
  <si>
    <t>1YqEFF0vdQ3bBnVav1lLfOKdR7J8u98m4tQ1j2NPgkXk</t>
  </si>
  <si>
    <t>ESCOLA MUNICIPAL DEMERY CARNEIRO</t>
  </si>
  <si>
    <t>ESCOLA MUNICIPAL D EMERY CARNEIRO</t>
  </si>
  <si>
    <t>1D08Zeg5lylYaPY0USu74ePK3OjQJ8LdrN3z9_hiScJI</t>
  </si>
  <si>
    <t>ESCOLA MUNICIPAL DOM PEDRO DE ALCANTARA</t>
  </si>
  <si>
    <t>1XI2b-YoEfqlbc8-ZfZxdo7pTs4nbuBoCNE7ihQMAG7U</t>
  </si>
  <si>
    <t>ESCOLA MUNICIPAL DR LUIZ REGUEIRA</t>
  </si>
  <si>
    <t>1FoDtlRFxrdN-55wZyFCGUAkEU-ieyy-4jsT1rAYRVIM</t>
  </si>
  <si>
    <t>ESCOLA MUNICIPAL DUQUE DE CAXIAS</t>
  </si>
  <si>
    <t>1AeZGYj2-EPw-Y7AC1BGx-XSJl_GF3h0bxqJYjDO3PVQ</t>
  </si>
  <si>
    <t>ESCOLA MUNICIPAL ESTER CAMPELO</t>
  </si>
  <si>
    <t>149ezD76k6JsZohFlPXTiH4v755iYMGoiEM_FV-Pupb0</t>
  </si>
  <si>
    <t>ESCOLA MUNICIPAL GILDO VERISSIMO</t>
  </si>
  <si>
    <t>ESCOLA MUNICIPAL GILDO VERÍSSIMO</t>
  </si>
  <si>
    <t>1bHwNzXD3ncAJaoRaXIHO2YG1LbPah-PaW8M5Ay-HGpk</t>
  </si>
  <si>
    <t>ESCOLA MUNICIPAL JOSE CARLOS RIBEIRO</t>
  </si>
  <si>
    <t>1-ituVEbjSu7ZNuceqVLqNWmoMGOg8G_unxB9yQH_tTU</t>
  </si>
  <si>
    <t>ESCOLA MUNICIPAL JOSE CLAUDINO DA SILVA</t>
  </si>
  <si>
    <t>17MHD1J1LhhFCvQNMX803b7iFqEBfY-kNZldYrXksbQw</t>
  </si>
  <si>
    <t>ESCOLA MUNICIPAL MARIA AUGUSTA DUTRA</t>
  </si>
  <si>
    <t>ESCOLA MUNICIPAL EM TEMPO INTEGRAL MARIA AUGUSTA DUTRA</t>
  </si>
  <si>
    <t>1n6h6xmtkZufLSMA4ZJQ4ybklNmoLDqVfSaVfiG8Dsxw</t>
  </si>
  <si>
    <t>ESCOLA MUNICIPAL NOSSA SENHORA DA CONCEIÇÃO</t>
  </si>
  <si>
    <t>1T4NILWWFSbbD4SbQNtrPsRAboYpIIxMztsuT6gp0Nlo</t>
  </si>
  <si>
    <t>ESCOLA MUNICIPAL ODETTE PEREIRA CARNEIRO</t>
  </si>
  <si>
    <t>1BKcwwPAbxkAEhJ5qKL7lDhseJ0pT2f0WsPk2mOMGU3U</t>
  </si>
  <si>
    <t>ESCOLA MUNICIPAL OLAVO BILAC</t>
  </si>
  <si>
    <t>1EoFsoGm1mifQrL0lIblYkdf3KsYQkQa240QDoakmyJY</t>
  </si>
  <si>
    <t>ESCOLA MUNICIPAL PEDRO ALVARES CABRAL</t>
  </si>
  <si>
    <t>1ATuOKhjtI9vcXnK2T0FX9yepLmi81kjcUavu_Z7gzsk</t>
  </si>
  <si>
    <t>ESCOLA MUNICIPAL PROFESSORA ODETE GOMES DE MORAIS</t>
  </si>
  <si>
    <t>1Tdnqqw7KwT4QcmJ0pru4Z7NskwlUjNbxS7SigZg1fAc</t>
  </si>
  <si>
    <t>ESCOLA MUNICIPAL VEREADOR OTAVIO MIRANDA</t>
  </si>
  <si>
    <t>17_HFnMmmW9wqiNiaOt0dfWXSuGOTwucQMcaIc9Vs6UQ</t>
  </si>
  <si>
    <t>REGIONAL 3</t>
  </si>
  <si>
    <t>CEMEI EDVALDO SEVERIANO DE OLIVEIRA</t>
  </si>
  <si>
    <t>1-WhoKoLqJPMdNSCZCuSrUpdFRr8ortBCW-sw6Y7DNoc</t>
  </si>
  <si>
    <t>CRECHE MUNDO ENCANTADO</t>
  </si>
  <si>
    <t>19BY4xiPjxLF3df6Ry2wE8W1P1IiKGw4kIMPsPsTee_o</t>
  </si>
  <si>
    <t>ESCOLA MUNICIPAL CECILIA BRANDAO</t>
  </si>
  <si>
    <t>1wEqyurmD03GgZwiRarRhS5IYPmhmIykRPBTndsuMLFQ</t>
  </si>
  <si>
    <t>ESCOLA MUNICIPAL IRACI RODOVALHO</t>
  </si>
  <si>
    <t>13nw7B9EROLZZWPKm_1W4V0uiT0XVeTo15qeBjSPiVVs</t>
  </si>
  <si>
    <t>ESCOLA MUNICIPAL JOSEFA BATISTA DA SILVA</t>
  </si>
  <si>
    <t>1be7QPlLdyn4zRMqHMESDGUDgLqRf5faYDuR23eJjEQE</t>
  </si>
  <si>
    <t>ESCOLA MUNICIPAL PROF. COSTA PINTO</t>
  </si>
  <si>
    <t>ESCOLA PROFESSOR COSTA PINTO</t>
  </si>
  <si>
    <t>1nYnZSrvP94F6pp3kUDkyShHvJgqjV8pPl5WomyyEJGk</t>
  </si>
  <si>
    <t>ESCOLA MUNICIPAL PROF. ORLANDO BRENO</t>
  </si>
  <si>
    <t>ESCOLA MUNICIPAL PROFESSOR ORLANDO BRENO</t>
  </si>
  <si>
    <t>1VvSAkKfmYQm3PDKPCgFM29GItPPlOvAxyDTd63K8500</t>
  </si>
  <si>
    <t>ESCOLA MUNICIPAL PROFESSORA LENITA RIBEIRO DE CASTRO</t>
  </si>
  <si>
    <t>ESCOLA PROFESSORA LENITA RIBEIRO DE CASTRO</t>
  </si>
  <si>
    <t>1SbSOxJALtGaIz-4O1yz8UrKrbA1975W3Ps6VNFLkoDc</t>
  </si>
  <si>
    <t>ESCOLA MUNICIPAL PROFESSORA MARIA JOSE BEZERRA</t>
  </si>
  <si>
    <t>1x91xWqhI2BSG98H4XtQmgtOKXDqNfOZk874PPYgZ41k</t>
  </si>
  <si>
    <t>ESCOLA MUNICIPAL PROFESSORA NAZETE VIEIRA DE LIMA</t>
  </si>
  <si>
    <t>1YLmWn-wjYybecHCR_Gj9dY7U5x7YfVXbHRfKmNCaPt8</t>
  </si>
  <si>
    <t>REGIONAL 4</t>
  </si>
  <si>
    <t>CEMEI MARCOS FREIRE</t>
  </si>
  <si>
    <t>CENTRO MUNICIPAL DE EDUCAÇÃO INFANTIL MARCOS FREIRE</t>
  </si>
  <si>
    <t>1-YAOCecICTMk34G_OiH_PgAUXhttIfxA7KDDf8mgc7g</t>
  </si>
  <si>
    <t>CEMEI PROFESSORA MARINALVA MARIA VICENTE</t>
  </si>
  <si>
    <t>CENTRO MUNICIPAL PROFESSORA MARINALVA MARIA VICENTE</t>
  </si>
  <si>
    <t>1YptTbp43P5pIwoIpM76Z-1fDLTv1W5c6Urq-sLV5x7Y</t>
  </si>
  <si>
    <t>ESCOLA MUNICIPAL ALBERTO LUIZ RUSSO</t>
  </si>
  <si>
    <t>12-O8QYZ_pfiRdQRzaww0_5s_fRNlQBy3k_a_CkgH7To</t>
  </si>
  <si>
    <t>ESCOLA MUNICIPAL ANA FARIAS DE SOUZA</t>
  </si>
  <si>
    <t>1LOt-3evvcFbMyIkiLcXa2R5uCqh2bdj1-kIgkV52hz8</t>
  </si>
  <si>
    <t>ESCOLA MUNICIPAL BARÃO DE MURIBECA</t>
  </si>
  <si>
    <t>ESCOLA MUNICIPAL BARAO DE MURIBECA</t>
  </si>
  <si>
    <t>1Zpx-reZ-hEeAZWFwDko2OFCvWBwqG9Gzv77rTypmzB0</t>
  </si>
  <si>
    <t>ESCOLA MUNICIPAL COMPOSITOR LUIZ GONZAGA</t>
  </si>
  <si>
    <t>ESCOLA COMPOSITOR LUIZ GONZAGA</t>
  </si>
  <si>
    <t>18h-EYn1mk5XET6E_HfZK8aR_RN7REi73Xo0eSjPBRyo</t>
  </si>
  <si>
    <t>ESCOLA MUNICIPAL ESTELITA MARIA MENDES</t>
  </si>
  <si>
    <t>1CHvTysppBzMlNrcQpGyNwBX_oNVhMqM4GW1jK9Gxxd0</t>
  </si>
  <si>
    <t>ESCOLA MUNICIPAL MARIA FEIJÓ</t>
  </si>
  <si>
    <t>ESCOLA MUNICIPAL RURAL MARIA FEIJÓ</t>
  </si>
  <si>
    <t>1c2hWtHXZDHcCtzXqvqAnpjSoNR8RcMlsEWPlTTN9k2Y</t>
  </si>
  <si>
    <t>ESCOLA MUNICIPAL PROFESSORA TECLA TEIXEIRA DE ARRUDA</t>
  </si>
  <si>
    <t>1pV2fbbCrdOdCqWuVWgxxrNiJIXujUK7u_TKQCoHNl-o</t>
  </si>
  <si>
    <t>ESCOLA MUNICIPAL RURAL MARCELO LAFAYETTE</t>
  </si>
  <si>
    <t>1fRRNUVpUUGYQhSGQc8LKc1Js5NZpuGrPYQzKcsO-6xk</t>
  </si>
  <si>
    <t>ESCOLA MUNICIPAL VALDEMIRO VIEIRA DE ALBUQUERQUE</t>
  </si>
  <si>
    <t>1EdL6xt8TQqTZix9EHHMBJELBEav_WAIyrXDUs_23UJM</t>
  </si>
  <si>
    <t>REGIONAL 5</t>
  </si>
  <si>
    <t>CEMEI PROFESSORA LINDOMAR DOMINGOS DA SILVA ANJOS</t>
  </si>
  <si>
    <t>1f_-TYSWD4bM84qgjF-b77kXuLQFYD16kC-RULRkLurA</t>
  </si>
  <si>
    <t>CEMEI PROFESSORA MARIA DE FATIMA DA SILVA</t>
  </si>
  <si>
    <t>CEMEI PROFESSORA MARIA DE FÁTIMA DA SILVA</t>
  </si>
  <si>
    <t>1B760IWn5WmKc0_A3W2bbhQzvd5eBprEFoB22nrGF8lQ</t>
  </si>
  <si>
    <t>CEMEI PROFESSORA MARIA LUZIA RIO LIMA</t>
  </si>
  <si>
    <t>CEMEI PROFª MARIA LUZIA RIO LIMA</t>
  </si>
  <si>
    <t>1RTiMqcpqt3BkxW4jGxydsOd0_IOHtk8zXHm-uUvQEBY</t>
  </si>
  <si>
    <t>CEMEI SILVIA MARIA DE OLIVEIRA</t>
  </si>
  <si>
    <t>1Qz8EgvWKclxxQTjNdRgRerKwr6_p-NvFxkp--CGSDHs</t>
  </si>
  <si>
    <t>ESCOLA MUNICIPAL CHICO MENDES</t>
  </si>
  <si>
    <t>1nQ57n9RjJQQQ2gPVTujZTmAVrdamfYVzoHp0E9O2pE4</t>
  </si>
  <si>
    <t>ESCOLA MUNICIPAL DIVINA PROVIDENCIA</t>
  </si>
  <si>
    <t>ESCOLA DIVINA PROVIDENCIA</t>
  </si>
  <si>
    <t>1ZXTvFvRITt2SeW_j9bmemZqQdaQJGbZRz2fBgpnHQyw</t>
  </si>
  <si>
    <t>ESCOLA MUNICIPAL DJACY GLICERIO</t>
  </si>
  <si>
    <t>1kqrfO8P-bcg9P5PLx5MjpALaooTIoUx0-nJq_wVIDtM</t>
  </si>
  <si>
    <t>ESCOLA MUNICIPAL GIANE FREITAS DE LIMA</t>
  </si>
  <si>
    <t>ESCOLA MUNICIPAL PROFESSORA GIANE FREITAS DE LIMA</t>
  </si>
  <si>
    <t>11ld62HFjnd8tH815nqIjD44BqXX9Jgs-IpPNcNe-wBE</t>
  </si>
  <si>
    <t>ESCOLA MUNICIPAL LUIZ LUA GONZAGA</t>
  </si>
  <si>
    <t>18bhbHwDrRFpeFVZhZ3p7cS-Ft30cWF4O4uytkN8KkrM</t>
  </si>
  <si>
    <t>ESCOLA MUNICIPAL MARECHAL COSTA E SILVA</t>
  </si>
  <si>
    <t>1o6quh5FEfAmK9JEkcIXijpfgdQ4GvrmSOdhb5INXj4A</t>
  </si>
  <si>
    <t>ESCOLA MUNICIPAL NATIVIDADE SALDANHA</t>
  </si>
  <si>
    <t>1MFW6mXpgk_oTskY0wC0Y6nuyQpZGWOOB4_qynC8Bczo</t>
  </si>
  <si>
    <t>ESCOLA MUNICIPAL NICIA ANACLETO CAHU</t>
  </si>
  <si>
    <t>ESCOLA MUNICIPAL RURAL DE TEMPO INTEGRAL NÍCIA ANACLETO CAHÚ</t>
  </si>
  <si>
    <t>1oA5JLM863_QDlAORZPLPWhsiQhg0zZsIfcnUvDMzeCc</t>
  </si>
  <si>
    <t>ESCOLA MUNICIPAL NOSSA SENHORA APARECIDA</t>
  </si>
  <si>
    <t>ESCOLA MUNICIPAL NOSSA SENHORA APARECIDA - ESCOLA DE TEMPO INTEGRAL</t>
  </si>
  <si>
    <t>1e1GL5XCLpke3Gj6MhBcVtwOI_XvO_vR1piI_4_pAros</t>
  </si>
  <si>
    <t>ESCOLA MUNICIPAL NOSSA SENHORA DO CARMO</t>
  </si>
  <si>
    <t>1MQ-v64P5-xXTPSXoq5uCxIxPZQw-0RW9yk-GB3wQZ3A</t>
  </si>
  <si>
    <t>ESCOLA MUNICIPAL NOVA DIVINEA</t>
  </si>
  <si>
    <t>1RLsPDnStf1yS0jKmhOoa7S8lRDMB9yAvGadksxPAjSg</t>
  </si>
  <si>
    <t>ESCOLA MUNICIPAL PAULO MENELAU</t>
  </si>
  <si>
    <t>1qm9I_3hIJ4dDBGGAlWvZuKzJNWq3MW80jXq8iur43qs</t>
  </si>
  <si>
    <t>ESCOLA MUNICIPAL POETA CASTRO ALVES</t>
  </si>
  <si>
    <t>1zH2cRsTgeEqaYIrskvdCXMdX67cLTjpGcRJnKtikbHY</t>
  </si>
  <si>
    <t>ESCOLA MUNICIPAL POETISA FRANCISCA IZIDORA</t>
  </si>
  <si>
    <t>ESCOLA MUNICIPAL POETISA FRANCISCA ISIDORA</t>
  </si>
  <si>
    <t>1g2RIxZuVpKtzZV5uHQRBlNSpO7me54CuMYIYJjEFzaM</t>
  </si>
  <si>
    <t>ESCOLA MUNICIPAL PORTO DA CIDADANIA</t>
  </si>
  <si>
    <t>1SF9TFmhYw19QVle6gX3PdzaFPurJPNwCDckNvY9WCxY</t>
  </si>
  <si>
    <t>ESCOLA MUNICIPAL PROFESSORA CANDIDA DE ANDRADE MACIEL</t>
  </si>
  <si>
    <t>ESCOLA PROFESSORA CANDIDA DE ANDRADE MACIEL</t>
  </si>
  <si>
    <t>1LDHD0G8M7lSGAGxSTBmQDTOI5LHMld085GcUi0RXC2A</t>
  </si>
  <si>
    <t>ESCOLA MUNICIPAL PROFESSORA FRANCISCA ARAUJO DE SOUZA</t>
  </si>
  <si>
    <t>ESCOLA MUNICIPAL FRANCISCA ARAÚJO DE SOUZA</t>
  </si>
  <si>
    <t>1L062Zq4vs5cO_RpZa1W-DVBQRQH-2j06oGhtkWaV_ls</t>
  </si>
  <si>
    <t>ESCOLA MUNICIPAL RURAL PROF. AUGUSTO DE CASTRO</t>
  </si>
  <si>
    <t>ESCOLA MUNICIPAL RURAL PROFESSOR AUGUSTO DE CASTRO</t>
  </si>
  <si>
    <t>1PDbmQfT7UYymcoHuvcucitYn0-u11F9mD99UOiEpxK4</t>
  </si>
  <si>
    <t>ESCOLA MUNICIPAL VANIA LARANJEIRA</t>
  </si>
  <si>
    <t>1isyholnRrbFMUzrkOFQKvI1jQM2P9xBZrQnFadlkFwU</t>
  </si>
  <si>
    <t>REGIONAL 6</t>
  </si>
  <si>
    <t>CEMEI PROFESSORA LIGIA ARAÚJO DE OLIVEIRA</t>
  </si>
  <si>
    <t>CEMEI LIGIA ARAUJO DE OLIVEIRA</t>
  </si>
  <si>
    <t>1RMdXFbsvAm4qYOMPtI491GkeFbimFwB79v77s-hPpB0</t>
  </si>
  <si>
    <t>CEMEI PROFESSORA MARLUCIA EVANGELISTA DE SOUZA</t>
  </si>
  <si>
    <t>1uQmbt6oBTagqJURSE0Uots0fbj6RkEjZDZMXG_Wau-g</t>
  </si>
  <si>
    <t>CEMEI PROFESSORA RAKELLY NOGUEIRA DO NASCIMENTO</t>
  </si>
  <si>
    <t>1SKN09SFE5xnbLI1GJnUv8N_HBbXeM_DVluzCbTrBrTs</t>
  </si>
  <si>
    <t>CEMEI PROFESSORA SIMONE PATRICIA FERREIRA DA SILVA</t>
  </si>
  <si>
    <t>CENTRO MUNICIPAL PROFESSORA SIMONE PATRICIA FERREIRA DA SILVA</t>
  </si>
  <si>
    <t>1m3HNqc3igc2MWqNovIYrkYcWMOk_BcfeXnKJZgP2su8</t>
  </si>
  <si>
    <t>COLÉGIO MUNICIPAL VISCONDE DE SUASSUNA</t>
  </si>
  <si>
    <t>1J9DHRHL1iD80hiUypoJfpsv6mbokLHbRmRaLv6QutRk</t>
  </si>
  <si>
    <t>CRECHE MERCIA DE ALBUQUERQUE</t>
  </si>
  <si>
    <t>1nnszCmY5MKwkDn34HAMVG6xyUJete8Da-DTQv3tJpTA</t>
  </si>
  <si>
    <t>ESCOLA MUNICIPAL ALMIRANTE TAMANDARE</t>
  </si>
  <si>
    <t>1NfVwhbRiFBP9TEd9qiFGTYrFnDi8j0Ft8K9tXyNtOKU</t>
  </si>
  <si>
    <t>ESCOLA MUNICIPAL ALUISIO DA CUNHA MORAIS</t>
  </si>
  <si>
    <t>12AW6sjq6gqqZ4KI8J9VXbdhwem2prxHBnX7m2OChSbU</t>
  </si>
  <si>
    <t>ESCOLA MUNICIPAL EM T.I. NOSSA ESCOLA ANOS FINAIS</t>
  </si>
  <si>
    <t>ESCOLA MUNICIPAL NOSSA ESCOLA - ESCOLA DE TEMPO INTEGRAL</t>
  </si>
  <si>
    <t>1YcbicYtRV6kzfuJ7DUOz8jTPfhyFNPc_HHtlpJP2TRo</t>
  </si>
  <si>
    <t>ESCOLA MUNICIPAL GALBA MATOS</t>
  </si>
  <si>
    <t>1tpIsRUrI5t1lxLHQUSrxizz3hAZCVOcZn3PvfQbYuWQ</t>
  </si>
  <si>
    <t>ESCOLA MUNICIPAL JOSE RODOVALHO</t>
  </si>
  <si>
    <t>ESCOLA MUNICIPAL JOSE RODOVALHO - ESCOLA DE TEMPO INTEGRAL</t>
  </si>
  <si>
    <t>1It9R8f05Yt_BRqiVAgUyKYmGEm79_RlCXn4gSr8nGS8</t>
  </si>
  <si>
    <t>ESCOLA MUNICIPAL MARIZIA DOS SANTOS MELO</t>
  </si>
  <si>
    <t>ESCOLA MUNICIPAL PROFESSORA MARIZIA DOS SANTOS MELO</t>
  </si>
  <si>
    <t>1JLDUJTJbrh-NsgBAbvvht0frGes_hzD_kcWOLdo1KA8</t>
  </si>
  <si>
    <t>ESCOLA MUNICIPAL NINA DE OLIVEIRA</t>
  </si>
  <si>
    <t>14jMv5kcJStj1iHmcVPH0rl9fuzUhOZxXiFIhjSwbxE4</t>
  </si>
  <si>
    <t>ESCOLA MUNICIPAL NOSSA SENHORA DO LORETO</t>
  </si>
  <si>
    <t>1gLy4HfBH8Cafzl59WUF-2it0KvXY3w7I-ssb1D8LsxU</t>
  </si>
  <si>
    <t>ESCOLA MUNICIPAL NOVO HORIZONTE</t>
  </si>
  <si>
    <t>1cjtIZ88mC9IMATcGPAC5I0SLYwhaO1WwULkvbZd7fnc</t>
  </si>
  <si>
    <t>ESCOLA MUNICIPAL OSCAR MOURA</t>
  </si>
  <si>
    <t>1oC1mUixO7fRa50t5SXENv6mmqhjFhC90Lchbcyeu7nw</t>
  </si>
  <si>
    <t>ESCOLA MUNICIPAL PAULINO MENELAU</t>
  </si>
  <si>
    <t>1E4aQSL-ng_2VHM42nK3zApg82bDxPqOm_UVzuHCyT64</t>
  </si>
  <si>
    <t>ESCOLA MUNICIPAL PROF. ALMIR OLIMPIO ALVES</t>
  </si>
  <si>
    <t>ESCOLA MUNICIPAL PROFESSOR ALMIR OLÍMPIO ALVES</t>
  </si>
  <si>
    <t>120ztr7CebRKiCqDMygWNn7nwYOdbbcyKXGjvrPu8Z3c</t>
  </si>
  <si>
    <t>ESCOLA MUNICIPAL PROF. CARLOS JOSE RIBEIRO JUNIOR</t>
  </si>
  <si>
    <t>ESCOLA MUNICIPAL PROFESSOR CARLOS JOSÉ RIBEIRO JUNIOR</t>
  </si>
  <si>
    <t>1hUUyOm2T9XrMyYKgbg7pFbN0I4jk4qC2JMlqZbHm6kk</t>
  </si>
  <si>
    <t>ESCOLA MUNICIPAL PROF. SALVIO SANTOS FARIAS</t>
  </si>
  <si>
    <t>ESCOLA MUNICIPAL PROFESSOR SÁLVIO SANTOS FARIAS</t>
  </si>
  <si>
    <t>1sPSCCNzgWU3xRYQ60QFaizb0BWkB9ao3P2e65CJqcIo</t>
  </si>
  <si>
    <t>ESCOLA MUNICIPAL PROF. SILVIO ROMERO VIEIRA</t>
  </si>
  <si>
    <t>ESCOLA MUNICIPAL PROFESSOR SILVIO ROMERO VIEIRA</t>
  </si>
  <si>
    <t>15pNeF4kPJAbAUsp7iQUBQOGsLlrJ1YM867OEIuAMQdw</t>
  </si>
  <si>
    <t>ESCOLA MUNICIPAL PROFESSORA RAQUEL GOMES DO NASCIMENTO</t>
  </si>
  <si>
    <t>1HP1csHmOh9ZI64LFhpv-kbbjq7jL7X5Ltv--3DjAB-c</t>
  </si>
  <si>
    <t>ESCOLA MUNICIPAL SANTA EDWIRGES</t>
  </si>
  <si>
    <t>1JQQXErkxw09wbEzI95dXDOA9UXqON609DCOSphrSS7A</t>
  </si>
  <si>
    <t>ESCOLA MUNICIPAL SANTA TEREZA DE AVILA</t>
  </si>
  <si>
    <t>1cba2kG9P2cRiKJmKrlIO4x-5mW6hv9_3zj0Ug300_GM</t>
  </si>
  <si>
    <t>ESCOLA MUNICIPAL UBALDINO FIGUEIROA</t>
  </si>
  <si>
    <t>1C5xEcNAQNs787bGjM26hbCaf7Q4YwF6f7IaVFvEtPCw</t>
  </si>
  <si>
    <t>ESCOLA MUNICIPAL VIDAL DE NEGREIROS</t>
  </si>
  <si>
    <t>ESCOLA MUNICIPAL VIDAL DE NEGREIROS - ESCOLA DE TEMPO INTEGRAL</t>
  </si>
  <si>
    <t>1SFwH81-xChn_aRqUNt9waZSL-XAa3v6Ii_MCrlEZUSo</t>
  </si>
  <si>
    <t>ESCOLA MUNICIPAL WALFRIDO COELHO</t>
  </si>
  <si>
    <t>13N-UlBBY0i922hlApszJ7VnKqrVT-PjWkKfyRM9tZqE</t>
  </si>
  <si>
    <t>REGIONAL 7</t>
  </si>
  <si>
    <t xml:space="preserve">CEMEI DR PAULO MENDES                                                                                                </t>
  </si>
  <si>
    <t>CEMEI DR. PAULO MENDES</t>
  </si>
  <si>
    <t>1KiekjetdiBB6PeazSg53fagrDxvCxNm6duQrKLOaOsA</t>
  </si>
  <si>
    <t>CEMEI ELIEL EUSTAQUIO DA SILVA</t>
  </si>
  <si>
    <t>1idWg_n2n8-s268lxc9hFdN8NriZwPGNV56sCBSs5JGU</t>
  </si>
  <si>
    <t>CEMEI JOAO FERNANDES VIEIRA</t>
  </si>
  <si>
    <t>CEMEI JOÃO FERNANDES VIEIRA</t>
  </si>
  <si>
    <t>14Gu9-5aev1Pc-sbx_399wlBGtyehnzO-QLQ4X0XNLN0</t>
  </si>
  <si>
    <t>CEMEI PROFESSORA CIBELE DE ANDRADE MENDES DE AZEVEDO</t>
  </si>
  <si>
    <t>1Q5ac3jMHHsVBYB1ylf8_X9DMssm37R-xeVAX_SjzZfA</t>
  </si>
  <si>
    <t>COLEGIO MUNICIPAL JABOATAO DOS GUARARAPES</t>
  </si>
  <si>
    <t>COLÉGIO MUNICIPAL JABOATAO DOS GUARARAPES (ECO)</t>
  </si>
  <si>
    <t>1uO50PPyaxsCLvtFEu0LmN7fXD32lXnYqkzgt7bUPbZY</t>
  </si>
  <si>
    <t>CRECHE PROFESSORA SILVIA CRISTINA SANTOS BOTELHO</t>
  </si>
  <si>
    <t>CRECHE MUNICIPAL PROFESSORA SILVIA CRISTINA SANTOS BOTELHO</t>
  </si>
  <si>
    <t>1aN9uMPqzc8iAgUDc1E57-8wNgj6TXy4ATS1cdO7mk88</t>
  </si>
  <si>
    <t>ESCOLA MUNICIPAL BARTOLOMEU DE GUSMAO</t>
  </si>
  <si>
    <t>ESCOLA BARTOLOMEU DE GUSMÃO - ESCOLA DE TEMPO INTEGRAL</t>
  </si>
  <si>
    <t>1aLTFBGlOfka597hlqFFk8t4ZQv31i6SjhO3MSmChKhk</t>
  </si>
  <si>
    <t>ESCOLA MUNICIPAL CLAUDIO AGRICIO</t>
  </si>
  <si>
    <t>ESCOLA MUNICIPAL CLAUDIO AGRÍCIO</t>
  </si>
  <si>
    <t>1xUhjygdO7TpBfEL5w_6AfcNlcEIy84cSxC3zLrXyOEA</t>
  </si>
  <si>
    <t>ESCOLA MUNICIPAL DJALMA FARIAS</t>
  </si>
  <si>
    <t>ESCOLA DJALMA FARIAS</t>
  </si>
  <si>
    <t>1cLBzxOH9EcpgYhCfcyyUA6n-FCbvVRVPiZ49QHabsdg</t>
  </si>
  <si>
    <t>ESCOLA MUNICIPAL DOM BENO</t>
  </si>
  <si>
    <t>1dx8WL9ibdpIRZYhbuL1iRmIsLi2K2-LJcNDtZfm0eGQ</t>
  </si>
  <si>
    <t>ESCOLA MUNICIPAL DOM CARLOS COELHO</t>
  </si>
  <si>
    <t>11tgGiM2QCRu1ZPr6-k1Y6AtqHX0AXO1lNLwtDHk_6T0</t>
  </si>
  <si>
    <t>ESCOLA MUNICIPAL HENRIQUE DIAS</t>
  </si>
  <si>
    <t>1i8Sh8_w6ojYPHaTi_mFjQhka1c68MUJiUf5qoF92Kz8</t>
  </si>
  <si>
    <t>ESCOLA MUNICIPAL JESUS DE NAZARE</t>
  </si>
  <si>
    <t>ESCOLA MUNICIPAL JESUS DE NAZARÉ</t>
  </si>
  <si>
    <t>12t3MjtwmUkNB2enduGJXMA7QlsqMH6akkV7rrV3Oi3o</t>
  </si>
  <si>
    <t>ESCOLA MUNICIPAL NOSSA SENHORA DE FATIMA</t>
  </si>
  <si>
    <t>1CCCn_gdP0pa2k0TWxZdTUrBAE--EOPKORiKprE4L2Wc</t>
  </si>
  <si>
    <t>ESCOLA MUNICIPAL NOSSA SENHORA DOS PRAZERES</t>
  </si>
  <si>
    <t>1mpoJlaoEttOVq5nlr4DU066CtbU6SEEqcUgHWsx4cC0</t>
  </si>
  <si>
    <t>ESCOLA MUNICIPAL PROF. ACHILES SALES DA SILVA</t>
  </si>
  <si>
    <t>ESCOLA MUNICIPAL PROFESSOR ACHILES SALES DA SILVA</t>
  </si>
  <si>
    <t>1Qx_1pVWReBLETa0LlCz1MHLQ8O0juJYLbq7R9eu8qm0</t>
  </si>
  <si>
    <t>ESCOLA MUNICIPAL PROF. MARCONIEDSON RODRIGUES MOREIRA</t>
  </si>
  <si>
    <t>ESCOLA MUNICIPAL MARCONIEDSON RODRIGUES MOREIRA</t>
  </si>
  <si>
    <t>1zqwqr4wKfBGS3QuCw5ajgaWb-2GyDgIPEY2NH7pa5HU</t>
  </si>
  <si>
    <t>ESCOLA MUNICIPAL PROFESSORA EUNICE FELIX SILVA</t>
  </si>
  <si>
    <t>ESCOLA MUNICIPAL PROF° EUNICE FELIX SILVA</t>
  </si>
  <si>
    <t>1i147PmJuBp-GAdNbBClRp9R1rZ7stH-ysGrmPiB0oFM</t>
  </si>
  <si>
    <t>ESCOLA MUNICIPAL PROFESSORA EXPEDITA HELENA ALMEIDA DA SILVA</t>
  </si>
  <si>
    <t>1UpFJhjLzdQz7Jiskd-u6Rv7Fa7Gu2aSFAthO20jg53w</t>
  </si>
  <si>
    <t>ESCOLA MUNICIPAL PROFESSORA LUZIANA MARIA PEREIRA</t>
  </si>
  <si>
    <t>1vTvTJVpp77ie4I28-AjttbzqhS6XfNXktRHigL_Ko-8</t>
  </si>
  <si>
    <t>ESCOLA MUNICIPAL VEREADOR ANTONIO JANUARIO</t>
  </si>
  <si>
    <t>ESCOLA MUNICIPAL VEREADOR ANTÔNIO JANUÁRIO</t>
  </si>
  <si>
    <t>1VlhfKJGbt8h3jZWzKZzK3xMJfKU2vb_wJ8YN03Zn66M</t>
  </si>
  <si>
    <t>DATA DA SOLICITAÇÃO</t>
  </si>
  <si>
    <t>ESTUDANTE</t>
  </si>
  <si>
    <t>DATA DE NASCIMENTO</t>
  </si>
  <si>
    <t>ANO</t>
  </si>
  <si>
    <t>ESCOLA PRETENDIDA 1</t>
  </si>
  <si>
    <t>CRECHES MUNICIPAIS 2026</t>
  </si>
  <si>
    <t>CAPACIDADE, MATRICULADOS E VAGAS - REGIONAL 1</t>
  </si>
  <si>
    <t>CAPACIDADES / MATRICULADOS / VAGAS</t>
  </si>
  <si>
    <t>Educação Infantil</t>
  </si>
  <si>
    <t>CRECHE</t>
  </si>
  <si>
    <t>CEMEI</t>
  </si>
  <si>
    <t>PRÉ-ESCOLA</t>
  </si>
  <si>
    <t>TOTAL INFANTIL</t>
  </si>
  <si>
    <t>INFANTIL 1</t>
  </si>
  <si>
    <t>INFANTIL 2</t>
  </si>
  <si>
    <t>INFANTIL 3</t>
  </si>
  <si>
    <t>Subtotal</t>
  </si>
  <si>
    <t>INFANTIL 4</t>
  </si>
  <si>
    <t>INFANTIL 5</t>
  </si>
  <si>
    <t>Integral</t>
  </si>
  <si>
    <t>M</t>
  </si>
  <si>
    <t>T</t>
  </si>
  <si>
    <t>I + M + T</t>
  </si>
  <si>
    <t>CEMEI PROFª MARIA JOSE DA SILVA</t>
  </si>
  <si>
    <t>CAPACIDADE</t>
  </si>
  <si>
    <t>MATRICULADOS</t>
  </si>
  <si>
    <t>VAGAS</t>
  </si>
  <si>
    <t>CRECHE PROFESSORA MARIA RITA LINS MARTINS</t>
  </si>
  <si>
    <t>CAPACIDADE, MATRICULADOS E VAGAS - REGIONAL 2</t>
  </si>
  <si>
    <t>CRECHE MUNICIPAL ALAYDE MARIA DA CONCEICAO</t>
  </si>
  <si>
    <t>CAPACIDADE, MATRICULADOS E VAGAS - REGIONAL 3</t>
  </si>
  <si>
    <t>CAPACIDADE, MATRICULADOS E VAGAS - REGIONAL 4</t>
  </si>
  <si>
    <t>CEMEI PROFª MARINALVA MARIA VICENTE</t>
  </si>
  <si>
    <t>CAPACIDADE, MATRICULADOS E VAGAS - REGIONAL 5</t>
  </si>
  <si>
    <t>CEMEI PROFª LINDOMAR DOMINGOS DA SILVA ANJOS</t>
  </si>
  <si>
    <t>CEMEI PROFª MARIA DE FATIMA DA SILVA</t>
  </si>
  <si>
    <t>CAPACIDADE, MATRICULADOS E VAGAS - REGIONAL 6</t>
  </si>
  <si>
    <t>CEMEI PROFª LIGIA ARAUJO DE OLIVEIRA</t>
  </si>
  <si>
    <t>CEMEI PROFª MARLUCIA EVANGELISTA DE SOUZA</t>
  </si>
  <si>
    <t>CEMEI PROFª RAKELLY NOGUEIRA DO NASCIMENTO</t>
  </si>
  <si>
    <t>CEMEI PROFª SIMONE PATRICIA FERREIRA DA SILVA</t>
  </si>
  <si>
    <t>CAPACIDADE, MATRICULADOS E VAGAS - REGIONAL 7</t>
  </si>
  <si>
    <t>CEMEI DR PAULO MENDES</t>
  </si>
  <si>
    <t>CEMEI PROFª CIBELE DE ANDRADE MENDES DE AZEVEDO</t>
  </si>
  <si>
    <t>CRECHE PROFª SILVIA CRISTINA BOTELHO</t>
  </si>
  <si>
    <t>URL</t>
  </si>
  <si>
    <t>LOCAL</t>
  </si>
  <si>
    <t>TURNO</t>
  </si>
  <si>
    <t>CEMEI PROFESSORA MARIA JOSE DA SILVA</t>
  </si>
  <si>
    <t>1B3OcqL2i8XrU5mKssd98vCYfSAwp8OHFLRh44x3ZgWU</t>
  </si>
  <si>
    <t>https://docs.google.com/spreadsheets/d/1B3OcqL2i8XrU5mKssd98vCYfSAwp8OHFLRh44x3ZgWU/edit</t>
  </si>
  <si>
    <t>1X8w1UYpig3Vfj0717fmV8MFUOd73ViJA029X_QCIT2Y</t>
  </si>
  <si>
    <t>https://docs.google.com/spreadsheets/d/1X8w1UYpig3Vfj0717fmV8MFUOd73ViJA029X_QCIT2Y/edit</t>
  </si>
  <si>
    <t>1bYiD3kJ38elsxhhEC6l-DBTIQJ_cApH_R9BNwt0MWeA</t>
  </si>
  <si>
    <t>https://docs.google.com/spreadsheets/d/1bYiD3kJ38elsxhhEC6l-DBTIQJ_cApH_R9BNwt0MWeA/edit</t>
  </si>
  <si>
    <t>INT</t>
  </si>
  <si>
    <t>1C69tHEi4jt9vpdrPKdqjcNWk4q7dVdCWcym8kJcnDCo</t>
  </si>
  <si>
    <t>https://docs.google.com/spreadsheets/d/1C69tHEi4jt9vpdrPKdqjcNWk4q7dVdCWcym8kJcnDCo/edit</t>
  </si>
  <si>
    <t>1YrTBQjU_kAPbOD1NEXHpOFXTK6CoZyiQVnCeWzVc6jE</t>
  </si>
  <si>
    <t>https://docs.google.com/spreadsheets/d/1YrTBQjU_kAPbOD1NEXHpOFXTK6CoZyiQVnCeWzVc6jE/edit</t>
  </si>
  <si>
    <t>ESCOLA MUNICIPAL ALICE VILAR DE AQUINO</t>
  </si>
  <si>
    <t>1bZhfPgqzhqHKhjlbb7-olYgEaLvnUOZKluxZZDJxGW4</t>
  </si>
  <si>
    <t>https://docs.google.com/spreadsheets/d/1bZhfPgqzhqHKhjlbb7-olYgEaLvnUOZKluxZZDJxGW4/edit</t>
  </si>
  <si>
    <t>ESCOLA MUNICIPAL ANIBAL VAREJAO</t>
  </si>
  <si>
    <t>1WUWJ14hayEglgZHzot5Fnc6Kwv20TPdUOcV0KYB3Lso</t>
  </si>
  <si>
    <t>https://docs.google.com/spreadsheets/d/1WUWJ14hayEglgZHzot5Fnc6Kwv20TPdUOcV0KYB3Lso/edit</t>
  </si>
  <si>
    <t>1OAdf9I8lmQRU0QwE_PMqqmOH4XR2Th1jilQedWQFrqQ</t>
  </si>
  <si>
    <t>https://docs.google.com/spreadsheets/d/1OAdf9I8lmQRU0QwE_PMqqmOH4XR2Th1jilQedWQFrqQ/edit</t>
  </si>
  <si>
    <t>RURAL</t>
  </si>
  <si>
    <t>1eTXYw3TkHKp5DvadL-DL_uS2unwn8OF92Glsa4xdIGk</t>
  </si>
  <si>
    <t>https://docs.google.com/spreadsheets/d/1eTXYw3TkHKp5DvadL-DL_uS2unwn8OF92Glsa4xdIGk/edit</t>
  </si>
  <si>
    <t>1TO0_PxndPYimjwQDlOLGtAAS6dlS2p2dHUPN2jLY_4Q</t>
  </si>
  <si>
    <t>https://docs.google.com/spreadsheets/d/1TO0_PxndPYimjwQDlOLGtAAS6dlS2p2dHUPN2jLY_4Q/edit</t>
  </si>
  <si>
    <t>1eXldVBQ-idsoakNjNjPFkAbEeNDMAKNNyFeTIsfheZ8</t>
  </si>
  <si>
    <t>https://docs.google.com/spreadsheets/d/1eXldVBQ-idsoakNjNjPFkAbEeNDMAKNNyFeTIsfheZ8/edit</t>
  </si>
  <si>
    <t>1IFFoxrNJDsvyD9RnS3a01eWXu1tpI9SLZ6ksXMtZD_8</t>
  </si>
  <si>
    <t>https://docs.google.com/spreadsheets/d/1IFFoxrNJDsvyD9RnS3a01eWXu1tpI9SLZ6ksXMtZD_8/edit</t>
  </si>
  <si>
    <t>1kc7WT64qa_CJ1p0l9xpVYY1hPUEx44IfbR_B5MvNfNs</t>
  </si>
  <si>
    <t>https://docs.google.com/spreadsheets/d/1kc7WT64qa_CJ1p0l9xpVYY1hPUEx44IfbR_B5MvNfNs/edit</t>
  </si>
  <si>
    <t>1kzmhyLgDnEW2X2PcWbv5jN0DLbiaMwG2t9Vg6tgLLvU</t>
  </si>
  <si>
    <t>https://docs.google.com/spreadsheets/d/1kzmhyLgDnEW2X2PcWbv5jN0DLbiaMwG2t9Vg6tgLLvU/edit</t>
  </si>
  <si>
    <t>1oXT4J9ykZu37Y5aI1Mu-E56TQFvJxNmuvZkpgSR-UJ8</t>
  </si>
  <si>
    <t>https://docs.google.com/spreadsheets/d/1oXT4J9ykZu37Y5aI1Mu-E56TQFvJxNmuvZkpgSR-UJ8/edit</t>
  </si>
  <si>
    <t>1r5HfDgfvxRVtffWlqJo_klSgF_pTMyskcIysoKpbNI0</t>
  </si>
  <si>
    <t>https://docs.google.com/spreadsheets/d/1r5HfDgfvxRVtffWlqJo_klSgF_pTMyskcIysoKpbNI0/edit</t>
  </si>
  <si>
    <t>1tDLaR5xj1YCPSi-PdcnRHSERynNXdMT1MVTVBmCOS5g</t>
  </si>
  <si>
    <t>https://docs.google.com/spreadsheets/d/1tDLaR5xj1YCPSi-PdcnRHSERynNXdMT1MVTVBmCOS5g/edit</t>
  </si>
  <si>
    <t>1zE08cg4vk5i6ib4UBCQiy6Fkyj3ZkAvyrQ_nFVnU4GU</t>
  </si>
  <si>
    <t>https://docs.google.com/spreadsheets/d/1zE08cg4vk5i6ib4UBCQiy6Fkyj3ZkAvyrQ_nFVnU4GU/edit</t>
  </si>
  <si>
    <t>10Krmjow5WHNiF2o1k61-B2aPOY0HxRaz_LYgmUHYvKU</t>
  </si>
  <si>
    <t>https://docs.google.com/spreadsheets/d/10Krmjow5WHNiF2o1k61-B2aPOY0HxRaz_LYgmUHYvKU/edit</t>
  </si>
  <si>
    <t>14ObKm5mzjIjElqPjQvZGM5eefOYA7YLzD5Sa5sBSg98</t>
  </si>
  <si>
    <t>https://docs.google.com/spreadsheets/d/14ObKm5mzjIjElqPjQvZGM5eefOYA7YLzD5Sa5sBSg98/edit</t>
  </si>
  <si>
    <t>16pU2X4xPkYNrMtF-vtzclTEabJig6tCIbXUoLjxPHwE</t>
  </si>
  <si>
    <t>https://docs.google.com/spreadsheets/d/16pU2X4xPkYNrMtF-vtzclTEabJig6tCIbXUoLjxPHwE/edit</t>
  </si>
  <si>
    <t>1GQTR8k-xw-H6TdQ1cfc0APXSh6cPoZhoDFSWu9VdGyo</t>
  </si>
  <si>
    <t>https://docs.google.com/spreadsheets/d/1GQTR8k-xw-H6TdQ1cfc0APXSh6cPoZhoDFSWu9VdGyo/edit</t>
  </si>
  <si>
    <t>1JGHDcr0qbxa50pytv8M_-EJ9_AhploU_gy7FALaZm8s</t>
  </si>
  <si>
    <t>https://docs.google.com/spreadsheets/d/1JGHDcr0qbxa50pytv8M_-EJ9_AhploU_gy7FALaZm8s/edit</t>
  </si>
  <si>
    <t>1MMkJj-Z8OKgeCSBmKJ7ReoIXD0VKw7pKAOzSmw-QLmo</t>
  </si>
  <si>
    <t>https://docs.google.com/spreadsheets/d/1MMkJj-Z8OKgeCSBmKJ7ReoIXD0VKw7pKAOzSmw-QLmo/edit</t>
  </si>
  <si>
    <t>1O2DExwtvAprujsGy1FDdIWEA8TxrM-2vvwr3Gx3AmmQ</t>
  </si>
  <si>
    <t>https://docs.google.com/spreadsheets/d/1O2DExwtvAprujsGy1FDdIWEA8TxrM-2vvwr3Gx3AmmQ/edit</t>
  </si>
  <si>
    <t>1OJqv0V8KANpk--qDtzwOT29wh5CeyqC9LePPkk-sEm4</t>
  </si>
  <si>
    <t>https://docs.google.com/spreadsheets/d/1OJqv0V8KANpk--qDtzwOT29wh5CeyqC9LePPkk-sEm4/edit</t>
  </si>
  <si>
    <t>1Q32Im_-SgbkgYkiscVnEXcjpyq6ixl-0ehfu9dDDNPY</t>
  </si>
  <si>
    <t>https://docs.google.com/spreadsheets/d/1Q32Im_-SgbkgYkiscVnEXcjpyq6ixl-0ehfu9dDDNPY/edit</t>
  </si>
  <si>
    <t>1T-_OfljTZP-hSrWNXe95lYqA8rYntPctfg9OtkeFMyM</t>
  </si>
  <si>
    <t>https://docs.google.com/spreadsheets/d/1T-_OfljTZP-hSrWNXe95lYqA8rYntPctfg9OtkeFMyM/edit</t>
  </si>
  <si>
    <t>ESCOLA MUNICIPAL PROFESSOR ROBERTO INACIO DA SILVA</t>
  </si>
  <si>
    <t>1_I0Ksdr-sv5CSLi2-kyWW5juwwF5_i1ux9tx58I988A</t>
  </si>
  <si>
    <t>https://docs.google.com/spreadsheets/d/1_I0Ksdr-sv5CSLi2-kyWW5juwwF5_i1ux9tx58I988A/edit</t>
  </si>
  <si>
    <t>1i4y3BeLWXrC59JEN675QzVjmTrPXc3VP027lrJ-D6dQ</t>
  </si>
  <si>
    <t>https://docs.google.com/spreadsheets/d/1i4y3BeLWXrC59JEN675QzVjmTrPXc3VP027lrJ-D6dQ/edit</t>
  </si>
  <si>
    <t>1m8msSdmwt6dTBs7qilT3wuZBElGvdYUe4LAKqZLxZtw</t>
  </si>
  <si>
    <t>https://docs.google.com/spreadsheets/d/1m8msSdmwt6dTBs7qilT3wuZBElGvdYUe4LAKqZLxZtw/edit</t>
  </si>
  <si>
    <t>1zZWCfu6IRZGl2lQtPKK0oHWq5eBsNpxTawbob_TGSoo</t>
  </si>
  <si>
    <t>https://docs.google.com/spreadsheets/d/1zZWCfu6IRZGl2lQtPKK0oHWq5eBsNpxTawbob_TGSoo/edit</t>
  </si>
  <si>
    <t>1zrfN9zMvtKGXowDvgLa8sBwhDyuCBrMHJnsqmJSi9YQ</t>
  </si>
  <si>
    <t>https://docs.google.com/spreadsheets/d/1zrfN9zMvtKGXowDvgLa8sBwhDyuCBrMHJnsqmJSi9YQ/edit</t>
  </si>
  <si>
    <t>109x-pf-ouyTSvhegdfsqWY8twftS3OP5XRo7277sAZ8</t>
  </si>
  <si>
    <t>https://docs.google.com/spreadsheets/d/109x-pf-ouyTSvhegdfsqWY8twftS3OP5XRo7277sAZ8/edit</t>
  </si>
  <si>
    <t>1-IX4vt-USfwvZDVisHj5WEsmyXPxfQXF1wYBsp0Ni9A</t>
  </si>
  <si>
    <t>https://docs.google.com/spreadsheets/d/1-IX4vt-USfwvZDVisHj5WEsmyXPxfQXF1wYBsp0Ni9A/edit</t>
  </si>
  <si>
    <t>URBANA</t>
  </si>
  <si>
    <t>INTEGRAL</t>
  </si>
  <si>
    <t>10rh43a3XFZokMANB7hNiwdPhbJ-8dB3txWJA3kPUsAk</t>
  </si>
  <si>
    <t>https://docs.google.com/spreadsheets/d/10rh43a3XFZokMANB7hNiwdPhbJ-8dB3txWJA3kPUsAk/edit</t>
  </si>
  <si>
    <t>REGULAR</t>
  </si>
  <si>
    <t>CRECHE ALAYDE MARIA DA CONCEIÇÃO</t>
  </si>
  <si>
    <t>17d3ZE-h8pvXkQTku-2RI2UzfVHACJSOO6e1AnTtapgY</t>
  </si>
  <si>
    <t>https://docs.google.com/spreadsheets/d/17d3ZE-h8pvXkQTku-2RI2UzfVHACJSOO6e1AnTtapgY/edit</t>
  </si>
  <si>
    <t>CRECHE LEDA MARIA QUEIROZ DO REGO BARROS</t>
  </si>
  <si>
    <t>13B_w21dhitIxsj8pYqYKXmq1b6QkNRx3ddAcnKlJFtM</t>
  </si>
  <si>
    <t>https://docs.google.com/spreadsheets/d/13B_w21dhitIxsj8pYqYKXmq1b6QkNRx3ddAcnKlJFtM/edit</t>
  </si>
  <si>
    <t>12V58P2cE5Pji_SQr8tbStBebzVi5HBlDWNh7N3a_hR4</t>
  </si>
  <si>
    <t>https://docs.google.com/spreadsheets/d/12V58P2cE5Pji_SQr8tbStBebzVi5HBlDWNh7N3a_hR4/edit</t>
  </si>
  <si>
    <t>1INSuUsv55vxK9McV-Qyl5RoHTH4_m590UAMFKNAET0o</t>
  </si>
  <si>
    <t>https://docs.google.com/spreadsheets/d/1INSuUsv55vxK9McV-Qyl5RoHTH4_m590UAMFKNAET0o/edit</t>
  </si>
  <si>
    <t>1RgWjvMTM9rrhJbqMZr8GxtRZMAZrlZPwgjl9aXES-Hw</t>
  </si>
  <si>
    <t>https://docs.google.com/spreadsheets/d/1RgWjvMTM9rrhJbqMZr8GxtRZMAZrlZPwgjl9aXES-Hw/edit</t>
  </si>
  <si>
    <t>19YCpTt3Ha7YVjFC2p0i54dwDCCoET1fKH9UgR9t5WHc</t>
  </si>
  <si>
    <t>https://docs.google.com/spreadsheets/d/19YCpTt3Ha7YVjFC2p0i54dwDCCoET1fKH9UgR9t5WHc/edit</t>
  </si>
  <si>
    <t>147DhBLwEV8Y1GUtyqTYRqAXJ4s6QKwkzHB2BrIQyWNM</t>
  </si>
  <si>
    <t>https://docs.google.com/spreadsheets/d/147DhBLwEV8Y1GUtyqTYRqAXJ4s6QKwkzHB2BrIQyWNM/edit</t>
  </si>
  <si>
    <t>1QpXRxwtWtEpgEs6HHqL44GaKnuaCVl3wHg1cBgqnxro</t>
  </si>
  <si>
    <t>https://docs.google.com/spreadsheets/d/1QpXRxwtWtEpgEs6HHqL44GaKnuaCVl3wHg1cBgqnxro/edit</t>
  </si>
  <si>
    <t>1XJRAavMYMsnxFnYxr7VIDVyg9jGe_SSiF5OtP7wn9Ys</t>
  </si>
  <si>
    <t>https://docs.google.com/spreadsheets/d/1XJRAavMYMsnxFnYxr7VIDVyg9jGe_SSiF5OtP7wn9Ys/edit</t>
  </si>
  <si>
    <t>1_snRNZeBHkdIhomzYKNhCGr46EgMfpGSqpG5oe_yWUw</t>
  </si>
  <si>
    <t>https://docs.google.com/spreadsheets/d/1_snRNZeBHkdIhomzYKNhCGr46EgMfpGSqpG5oe_yWUw/edit</t>
  </si>
  <si>
    <t>1jCIdSaOd6MOpjGtPdA3A34SyGjCTzTEgSaeyg-SLNYk</t>
  </si>
  <si>
    <t>https://docs.google.com/spreadsheets/d/1jCIdSaOd6MOpjGtPdA3A34SyGjCTzTEgSaeyg-SLNYk/edit</t>
  </si>
  <si>
    <t>1pyQH3mhSYibG5XRe3m-5Zh-ZlmHW72-MZjkZlfLZdQU</t>
  </si>
  <si>
    <t>https://docs.google.com/spreadsheets/d/1pyQH3mhSYibG5XRe3m-5Zh-ZlmHW72-MZjkZlfLZdQU/edit</t>
  </si>
  <si>
    <t>ESCOLA MUNICIPAL ESTHER CAMPELO</t>
  </si>
  <si>
    <t>1tSY3Z5AM-vtACQuq1jB4g7H_VW4YXx8Ysx4pj9VKEGE</t>
  </si>
  <si>
    <t>https://docs.google.com/spreadsheets/d/1tSY3Z5AM-vtACQuq1jB4g7H_VW4YXx8Ysx4pj9VKEGE/edit</t>
  </si>
  <si>
    <t>1yiiHOBm25EHUdGF0_uLpl2OB_sBca07jpsxkCjsVc3c</t>
  </si>
  <si>
    <t>https://docs.google.com/spreadsheets/d/1yiiHOBm25EHUdGF0_uLpl2OB_sBca07jpsxkCjsVc3c/edit</t>
  </si>
  <si>
    <t>1-baMM8Hs0U5i0UVgP6ekG5iGhUOU9MGWbq9-PA8m31A</t>
  </si>
  <si>
    <t>https://docs.google.com/spreadsheets/d/1-baMM8Hs0U5i0UVgP6ekG5iGhUOU9MGWbq9-PA8m31A/edit</t>
  </si>
  <si>
    <t>1AmFWWIK05Qtw_-IrRKD8GJ95PGaKo_HN5ybMiQw2-VE</t>
  </si>
  <si>
    <t>https://docs.google.com/spreadsheets/d/1AmFWWIK05Qtw_-IrRKD8GJ95PGaKo_HN5ybMiQw2-VE/edit</t>
  </si>
  <si>
    <t>1I4iwc1gJxSWt6m2PAlR3lDGTeBqgh4qJa8erDg3QD2o</t>
  </si>
  <si>
    <t>https://docs.google.com/spreadsheets/d/1I4iwc1gJxSWt6m2PAlR3lDGTeBqgh4qJa8erDg3QD2o/edit</t>
  </si>
  <si>
    <t>1LFGgoESGgWEM2kqXhZnNHLDYJu4m1jYhzl0-e4odB2c</t>
  </si>
  <si>
    <t>https://docs.google.com/spreadsheets/d/1LFGgoESGgWEM2kqXhZnNHLDYJu4m1jYhzl0-e4odB2c/edit</t>
  </si>
  <si>
    <t>ESCOLA MUNICIPAL ODETE GOMES DE MORAIS</t>
  </si>
  <si>
    <t>11JcJP1Z5o2G-mOTuZ31oISJ8w9weXayJsE3KlDvo1jQ</t>
  </si>
  <si>
    <t>https://docs.google.com/spreadsheets/d/11JcJP1Z5o2G-mOTuZ31oISJ8w9weXayJsE3KlDvo1jQ/edit</t>
  </si>
  <si>
    <t>1B4k0g41uKJBuT8ecXx66Yew958T3tr7wAhIwSFOkpjo</t>
  </si>
  <si>
    <t>https://docs.google.com/spreadsheets/d/1B4k0g41uKJBuT8ecXx66Yew958T3tr7wAhIwSFOkpjo/edit</t>
  </si>
  <si>
    <t>1PQ6sCM7Acuy-v9EgV-VNafYcJ78d9K0MYfD3PmqHSr0</t>
  </si>
  <si>
    <t>https://docs.google.com/spreadsheets/d/1PQ6sCM7Acuy-v9EgV-VNafYcJ78d9K0MYfD3PmqHSr0/edit</t>
  </si>
  <si>
    <t>1PKuBb0TMzMjh5RwI6asYVi4e-x-2GSX0BtAOc-Oc6eg</t>
  </si>
  <si>
    <t>https://docs.google.com/spreadsheets/d/1PKuBb0TMzMjh5RwI6asYVi4e-x-2GSX0BtAOc-Oc6eg/edit</t>
  </si>
  <si>
    <t>1_hooQAzj6Mb0UucgIicmNKBlhzEBxnl97AO0S1b7K7s</t>
  </si>
  <si>
    <t>https://docs.google.com/spreadsheets/d/1_hooQAzj6Mb0UucgIicmNKBlhzEBxnl97AO0S1b7K7s/edit</t>
  </si>
  <si>
    <t>1HBknGIBVAJV8_QDHLvP4zoxGn0Jf4m3X1ONLglV_hKI</t>
  </si>
  <si>
    <t>https://docs.google.com/spreadsheets/d/1HBknGIBVAJV8_QDHLvP4zoxGn0Jf4m3X1ONLglV_hKI/edit</t>
  </si>
  <si>
    <t>10gXEYduj1A-hyX0fq6YXuycIOqife1JJ0lI5GwuBg3g</t>
  </si>
  <si>
    <t>https://docs.google.com/spreadsheets/d/10gXEYduj1A-hyX0fq6YXuycIOqife1JJ0lI5GwuBg3g/edit</t>
  </si>
  <si>
    <t>1s8hDp8qmGImwTZs8ankOG2573Yk3tparwSinghHM2WE</t>
  </si>
  <si>
    <t>https://docs.google.com/spreadsheets/d/1s8hDp8qmGImwTZs8ankOG2573Yk3tparwSinghHM2WE/edit</t>
  </si>
  <si>
    <t>1sFGy0CVHt0Nq9Zjr2AjQlcT9w0UBnWkH2nxE5LTYo-k</t>
  </si>
  <si>
    <t>https://docs.google.com/spreadsheets/d/1sFGy0CVHt0Nq9Zjr2AjQlcT9w0UBnWkH2nxE5LTYo-k/edit</t>
  </si>
  <si>
    <t>1cu4pnDk_lXWLtVAayINcBat2yP00gfojVCzzH3BRybA</t>
  </si>
  <si>
    <t>https://docs.google.com/spreadsheets/d/1cu4pnDk_lXWLtVAayINcBat2yP00gfojVCzzH3BRybA/edit</t>
  </si>
  <si>
    <t>ESCOLA MUNICIPAL LENITA RIBEIRO DE CASTRO</t>
  </si>
  <si>
    <t>1WbmBXr3OBws4YfvvRKvwCcARPpvNkq1LA6z_INsD9pI</t>
  </si>
  <si>
    <t>https://docs.google.com/spreadsheets/d/1WbmBXr3OBws4YfvvRKvwCcARPpvNkq1LA6z_INsD9pI/edit</t>
  </si>
  <si>
    <t>ESCOLA MUNICIPAL NAZETE VIEIRA DE LIMA</t>
  </si>
  <si>
    <t>1JlVTgYiwj5RSCzBUV3Wogqztj5nIK118yH8stC56DSI</t>
  </si>
  <si>
    <t>https://docs.google.com/spreadsheets/d/1JlVTgYiwj5RSCzBUV3Wogqztj5nIK118yH8stC56DSI/edit</t>
  </si>
  <si>
    <t>ESCOLA MUNICIPAL ORLANDO BRENO</t>
  </si>
  <si>
    <t>1D_4Aqjp4RAl_RJ7AKH_oeNeXQuzMRtewUbo7ye33vPw</t>
  </si>
  <si>
    <t>https://docs.google.com/spreadsheets/d/1D_4Aqjp4RAl_RJ7AKH_oeNeXQuzMRtewUbo7ye33vPw/edit</t>
  </si>
  <si>
    <t>ESCOLA MUNICIPAL PROFESSOR COSTA PINTO</t>
  </si>
  <si>
    <t>19QRVNHZ6TtMu8wanfxd0FE_K8y07GIXMyywiByFZKY8</t>
  </si>
  <si>
    <t>https://docs.google.com/spreadsheets/d/19QRVNHZ6TtMu8wanfxd0FE_K8y07GIXMyywiByFZKY8/edit</t>
  </si>
  <si>
    <t>18zE3qWgUrhAIo0-eGFfehBvK9rMrhA6hAHYMaPak2CM</t>
  </si>
  <si>
    <t>https://docs.google.com/spreadsheets/d/18zE3qWgUrhAIo0-eGFfehBvK9rMrhA6hAHYMaPak2CM/edit</t>
  </si>
  <si>
    <t>1RPa6JR977dmX-SEblypy8qdL98gIUtMK9M5s1GBK1Jg</t>
  </si>
  <si>
    <t>https://docs.google.com/spreadsheets/d/1RPa6JR977dmX-SEblypy8qdL98gIUtMK9M5s1GBK1Jg/edit</t>
  </si>
  <si>
    <t>1Nl_xicMsPoS4Dns2XU5HAnq0XQUuXI8Vb6X9dbc-8Jw</t>
  </si>
  <si>
    <t>https://docs.google.com/spreadsheets/d/1Nl_xicMsPoS4Dns2XU5HAnq0XQUuXI8Vb6X9dbc-8Jw/edit</t>
  </si>
  <si>
    <t>1NN4ndG4a5jp2Vx97kI7YEFI8U_3OYHkyfgMUzKDb_9M</t>
  </si>
  <si>
    <t>https://docs.google.com/spreadsheets/d/1NN4ndG4a5jp2Vx97kI7YEFI8U_3OYHkyfgMUzKDb_9M/edit</t>
  </si>
  <si>
    <t>1QEaKnvSPvzSG0eSft4wvzcHaVGQ1BEp9P-whOBpyM3k</t>
  </si>
  <si>
    <t>https://docs.google.com/spreadsheets/d/1QEaKnvSPvzSG0eSft4wvzcHaVGQ1BEp9P-whOBpyM3k/edit</t>
  </si>
  <si>
    <t>1GaMuMKm6gxJVbB3LEWDM8Q1j8lmcLCFNtkN9qTVlVGg</t>
  </si>
  <si>
    <t>https://docs.google.com/spreadsheets/d/1GaMuMKm6gxJVbB3LEWDM8Q1j8lmcLCFNtkN9qTVlVGg/edit</t>
  </si>
  <si>
    <t>1CKBdZhz9BsiF1Hhzng-GHny3mHxuixmNGnHSAU58xSs</t>
  </si>
  <si>
    <t>https://docs.google.com/spreadsheets/d/1CKBdZhz9BsiF1Hhzng-GHny3mHxuixmNGnHSAU58xSs/edit</t>
  </si>
  <si>
    <t>16i-KaIpzItmdcXBgziEbkuoznRLqnkBQdTlLtzRbrgA</t>
  </si>
  <si>
    <t>https://docs.google.com/spreadsheets/d/16i-KaIpzItmdcXBgziEbkuoznRLqnkBQdTlLtzRbrgA/edit</t>
  </si>
  <si>
    <t>ESCOLA MUNICIPAL MARIA FEIJO</t>
  </si>
  <si>
    <t>15Zmayd5NBMgZ-Sbm3r0Z06JPip27VamLNpeRsme60jY</t>
  </si>
  <si>
    <t>https://docs.google.com/spreadsheets/d/15Zmayd5NBMgZ-Sbm3r0Z06JPip27VamLNpeRsme60jY/edit</t>
  </si>
  <si>
    <t>14q3_I35-YjyiRAKUBNoE2ZogwrWancQF2zVKuyc8Z0A</t>
  </si>
  <si>
    <t>https://docs.google.com/spreadsheets/d/14q3_I35-YjyiRAKUBNoE2ZogwrWancQF2zVKuyc8Z0A/edit</t>
  </si>
  <si>
    <t>105dEq5x2TnV6LEtSxeNhAe6QenY9fqxwRONcam-sv0o</t>
  </si>
  <si>
    <t>https://docs.google.com/spreadsheets/d/105dEq5x2TnV6LEtSxeNhAe6QenY9fqxwRONcam-sv0o/edit</t>
  </si>
  <si>
    <t>1-EnWrM4iHnkNZ1a0AtLrs2kn906IMVzwoXXXpzvbyCc</t>
  </si>
  <si>
    <t>https://docs.google.com/spreadsheets/d/1-EnWrM4iHnkNZ1a0AtLrs2kn906IMVzwoXXXpzvbyCc/edit</t>
  </si>
  <si>
    <t>CEMEI LINDOMAR DOMINGOS DA SILVA ANJOS</t>
  </si>
  <si>
    <t>1grFQmqqRzhE3JQz98_D3hUSqY8RHOc8Gqi536VvBfno</t>
  </si>
  <si>
    <t>https://docs.google.com/spreadsheets/d/1grFQmqqRzhE3JQz98_D3hUSqY8RHOc8Gqi536VvBfno/edit</t>
  </si>
  <si>
    <t>1an1esyqjEGDzUgNt_Tro9LwB3Qi9_01Z9y7c8BxMgE0</t>
  </si>
  <si>
    <t>https://docs.google.com/spreadsheets/d/1an1esyqjEGDzUgNt_Tro9LwB3Qi9_01Z9y7c8BxMgE0/edit</t>
  </si>
  <si>
    <t>1YBGgghBIxELuC_m8tVQoglUb9qL3e_u847n-aQBgC-I</t>
  </si>
  <si>
    <t>https://docs.google.com/spreadsheets/d/1YBGgghBIxELuC_m8tVQoglUb9qL3e_u847n-aQBgC-I/edit</t>
  </si>
  <si>
    <t>1Xr6qW_wh0m5KY3tfS0zxvJI0xRB89COj2zoJyH-rvgI</t>
  </si>
  <si>
    <t>https://docs.google.com/spreadsheets/d/1Xr6qW_wh0m5KY3tfS0zxvJI0xRB89COj2zoJyH-rvgI/edit</t>
  </si>
  <si>
    <t>1SfMm6s-gUsxvpkbENZP7JznvCLFHeO2uXrNHzFy-_NM</t>
  </si>
  <si>
    <t>https://docs.google.com/spreadsheets/d/1SfMm6s-gUsxvpkbENZP7JznvCLFHeO2uXrNHzFy-_NM/edit</t>
  </si>
  <si>
    <t>1bcqsXaK15GTbi-g1D5JKs0yxHyhU3cJqXDF24WMAHrw</t>
  </si>
  <si>
    <t>https://docs.google.com/spreadsheets/d/1bcqsXaK15GTbi-g1D5JKs0yxHyhU3cJqXDF24WMAHrw/edit</t>
  </si>
  <si>
    <t>1Y2WFETt_Xa-VRhD0lg32q2_aPEzydWvzBwQMpxLGWEc</t>
  </si>
  <si>
    <t>https://docs.google.com/spreadsheets/d/1Y2WFETt_Xa-VRhD0lg32q2_aPEzydWvzBwQMpxLGWEc/edit</t>
  </si>
  <si>
    <t>ESCOLA MUNICIPAL FRANCISCA ARAUJO DE SOUZA</t>
  </si>
  <si>
    <t>1_zBnzmq9k65tipARCBL0yE4E1ZBxc40L0ZXL3_I8JDc</t>
  </si>
  <si>
    <t>https://docs.google.com/spreadsheets/d/1_zBnzmq9k65tipARCBL0yE4E1ZBxc40L0ZXL3_I8JDc/edit</t>
  </si>
  <si>
    <t>1T5m0PsrZG5j9ozXnRgnVucJ31EMnDCfTbe2KUw9Nvpk</t>
  </si>
  <si>
    <t>https://docs.google.com/spreadsheets/d/1T5m0PsrZG5j9ozXnRgnVucJ31EMnDCfTbe2KUw9Nvpk/edit</t>
  </si>
  <si>
    <t>1Re0TIDZFiwAOrWjLqW6mu14plPMy9nxJjqDotXuHUns</t>
  </si>
  <si>
    <t>https://docs.google.com/spreadsheets/d/1Re0TIDZFiwAOrWjLqW6mu14plPMy9nxJjqDotXuHUns/edit</t>
  </si>
  <si>
    <t>1OkJZGXd19NvWPEZwzYlzS5MI3lt9QFYJu0UUySkRjes</t>
  </si>
  <si>
    <t>https://docs.google.com/spreadsheets/d/1OkJZGXd19NvWPEZwzYlzS5MI3lt9QFYJu0UUySkRjes/edit</t>
  </si>
  <si>
    <t>1Me7_oCy_wuu0UOSbm11jaByWHuwwYTI4Tj9r_3bsrD0</t>
  </si>
  <si>
    <t>https://docs.google.com/spreadsheets/d/1Me7_oCy_wuu0UOSbm11jaByWHuwwYTI4Tj9r_3bsrD0/edit</t>
  </si>
  <si>
    <t>ESCOLA MUNICIPAL NICEA CAHU</t>
  </si>
  <si>
    <t>1MDDSQRPRDtyeAG0SB8maV3wUyzipMUrzRKO4_3qM_cQ</t>
  </si>
  <si>
    <t>https://docs.google.com/spreadsheets/d/1MDDSQRPRDtyeAG0SB8maV3wUyzipMUrzRKO4_3qM_cQ/edit</t>
  </si>
  <si>
    <t>1y1ybmqO59g0xsUZjywJRguq5a592oTuciI8dpjrX8ss</t>
  </si>
  <si>
    <t>https://docs.google.com/spreadsheets/d/1y1ybmqO59g0xsUZjywJRguq5a592oTuciI8dpjrX8ss/edit</t>
  </si>
  <si>
    <t>1M4qLWLdYuPaTeuvAx-G9A6wVTU2fgt_AlXFmRsnrGxQ</t>
  </si>
  <si>
    <t>https://docs.google.com/spreadsheets/d/1M4qLWLdYuPaTeuvAx-G9A6wVTU2fgt_AlXFmRsnrGxQ/edit</t>
  </si>
  <si>
    <t>1IlYYmVuxvBvhmj9IIh0UySeRhsT5doa_zuuL3LzQQ9w</t>
  </si>
  <si>
    <t>https://docs.google.com/spreadsheets/d/1IlYYmVuxvBvhmj9IIh0UySeRhsT5doa_zuuL3LzQQ9w/edit</t>
  </si>
  <si>
    <t>1HXaoTH-PKjGN4K3omaNZnV26xMARmI9eMi9FQgB2-Uw</t>
  </si>
  <si>
    <t>https://docs.google.com/spreadsheets/d/1HXaoTH-PKjGN4K3omaNZnV26xMARmI9eMi9FQgB2-Uw/edit</t>
  </si>
  <si>
    <t>1-SoE2_GsmPC-nk6hYJ8gSHnal5ZIj0GL6lJeV3rDOU8</t>
  </si>
  <si>
    <t>https://docs.google.com/spreadsheets/d/1-SoE2_GsmPC-nk6hYJ8gSHnal5ZIj0GL6lJeV3rDOU8/edit</t>
  </si>
  <si>
    <t>1nkw2LrqLerxk-bLDuPe5v-Q8hPbGam_i9A9mP82Axs8</t>
  </si>
  <si>
    <t>https://docs.google.com/spreadsheets/d/1nkw2LrqLerxk-bLDuPe5v-Q8hPbGam_i9A9mP82Axs8/edit</t>
  </si>
  <si>
    <t>1hx7sNYGGv3rC55ygsdhwhZulTCWqTepRGwNpGwL4lps</t>
  </si>
  <si>
    <t>https://docs.google.com/spreadsheets/d/1hx7sNYGGv3rC55ygsdhwhZulTCWqTepRGwNpGwL4lps/edit</t>
  </si>
  <si>
    <t>ESCOLA MUNICIPAL PROFª CANDIDA DE ANDRADE MACIEL</t>
  </si>
  <si>
    <t>18EUIOBAJhrU8qUqKyspp8ere_8UIgLUxs5GYrd9hJIo</t>
  </si>
  <si>
    <t>https://docs.google.com/spreadsheets/d/18EUIOBAJhrU8qUqKyspp8ere_8UIgLUxs5GYrd9hJIo/edit</t>
  </si>
  <si>
    <t>1gSBsqiuD1SBV-Fw6SViuoLNDAcFhTb8z86R52jbX0Gg</t>
  </si>
  <si>
    <t>https://docs.google.com/spreadsheets/d/1gSBsqiuD1SBV-Fw6SViuoLNDAcFhTb8z86R52jbX0Gg/edit</t>
  </si>
  <si>
    <t>1dcZPOdojCR82JqcyFjm6YdnWVcXVh3Q6YP05fPJBTHo</t>
  </si>
  <si>
    <t>https://docs.google.com/spreadsheets/d/1dcZPOdojCR82JqcyFjm6YdnWVcXVh3Q6YP05fPJBTHo/edit</t>
  </si>
  <si>
    <t>CEMEI LIGIA DE ARAUJO DE OLIVEIRA</t>
  </si>
  <si>
    <t>1yaAU3Gdb2v8h45PSxbWZDT_SX1SQKiBVwX6abSHOMX8</t>
  </si>
  <si>
    <t>https://docs.google.com/spreadsheets/d/1yaAU3Gdb2v8h45PSxbWZDT_SX1SQKiBVwX6abSHOMX8/edit</t>
  </si>
  <si>
    <t>CEMEI PROF SIMONE PATRICIA FERREIRA DA SILVA</t>
  </si>
  <si>
    <t>1t84eibU921dPw-mzz6SfjudYKOV9fs1J21kL70fAIP8</t>
  </si>
  <si>
    <t>https://docs.google.com/spreadsheets/d/1t84eibU921dPw-mzz6SfjudYKOV9fs1J21kL70fAIP8/edit</t>
  </si>
  <si>
    <t>1plxAg5Iwx16SpEFVQmW2dLC31GqPRAzRpjeJG3W1EMk</t>
  </si>
  <si>
    <t>https://docs.google.com/spreadsheets/d/1plxAg5Iwx16SpEFVQmW2dLC31GqPRAzRpjeJG3W1EMk/edit</t>
  </si>
  <si>
    <t>CEMEI RAKELLY NOGUEIRA DO NASCIMENTO</t>
  </si>
  <si>
    <t>1k5YnUvaI-0ZuFq4jlWB8cKUhHLAtiIBWFTA1thosQq8</t>
  </si>
  <si>
    <t>https://docs.google.com/spreadsheets/d/1k5YnUvaI-0ZuFq4jlWB8cKUhHLAtiIBWFTA1thosQq8/edit</t>
  </si>
  <si>
    <t>COLEGIO MUNICIPAL VISCONDE DE SUASSUNA</t>
  </si>
  <si>
    <t>1yTZYIb0h2vqD2-SyIdV5LywcT3oM9rFdDAz-FPraNl4</t>
  </si>
  <si>
    <t>https://docs.google.com/spreadsheets/d/1yTZYIb0h2vqD2-SyIdV5LywcT3oM9rFdDAz-FPraNl4/edit</t>
  </si>
  <si>
    <t>1ZiuCxP70WGkopdQ14-qx-QMu7BOsGd5SPEgcX72OESY</t>
  </si>
  <si>
    <t>https://docs.google.com/spreadsheets/d/1ZiuCxP70WGkopdQ14-qx-QMu7BOsGd5SPEgcX72OESY/edit</t>
  </si>
  <si>
    <t>1_mHlp7gHcKmN-Nem5MrOM7bJnRzpioLA2jBpfwDjPrg</t>
  </si>
  <si>
    <t>https://docs.google.com/spreadsheets/d/1_mHlp7gHcKmN-Nem5MrOM7bJnRzpioLA2jBpfwDjPrg/edit</t>
  </si>
  <si>
    <t>1ZjGlZ5VKB4BLmRy3NlEguuiJwpr6nasWO0RvD8hdXe0</t>
  </si>
  <si>
    <t>https://docs.google.com/spreadsheets/d/1ZjGlZ5VKB4BLmRy3NlEguuiJwpr6nasWO0RvD8hdXe0/edit</t>
  </si>
  <si>
    <t>ESCOLA MUNICIPAL DE TEMPO INTEGRAL NOSSA ESCOLA ANOS FINAIS</t>
  </si>
  <si>
    <t>1Y0B5G84zDai4ZYUa0QK2AYLefxJs6_ecMbM_t-oCoBY</t>
  </si>
  <si>
    <t>https://docs.google.com/spreadsheets/d/1Y0B5G84zDai4ZYUa0QK2AYLefxJs6_ecMbM_t-oCoBY/edit</t>
  </si>
  <si>
    <t>1QYehmCOgewjmMtZjuLmjQHaRIhkIJ8mID9JsCXDMKLo</t>
  </si>
  <si>
    <t>https://docs.google.com/spreadsheets/d/1QYehmCOgewjmMtZjuLmjQHaRIhkIJ8mID9JsCXDMKLo/edit</t>
  </si>
  <si>
    <t>1PrH2uFzZAqG_rGEkYbgkY4u4L5VFbDQIaHBmxf_7Zu8</t>
  </si>
  <si>
    <t>https://docs.google.com/spreadsheets/d/1PrH2uFzZAqG_rGEkYbgkY4u4L5VFbDQIaHBmxf_7Zu8/edit</t>
  </si>
  <si>
    <t>1IiiV8BwlZ8yIIrYJ5Ii42C5xGO1qtxcsRGf4K0Q0AW8</t>
  </si>
  <si>
    <t>https://docs.google.com/spreadsheets/d/1IiiV8BwlZ8yIIrYJ5Ii42C5xGO1qtxcsRGf4K0Q0AW8/edit</t>
  </si>
  <si>
    <t>1DhrCuSYlz5ithxqBrtX8-553lYVcKvbpw6oCCDWfpqk</t>
  </si>
  <si>
    <t>https://docs.google.com/spreadsheets/d/1DhrCuSYlz5ithxqBrtX8-553lYVcKvbpw6oCCDWfpqk/edit</t>
  </si>
  <si>
    <t>19OqzWiegoX57X7CHyBgx4LTzWdTjERss_e-f2MpfxG4</t>
  </si>
  <si>
    <t>https://docs.google.com/spreadsheets/d/19OqzWiegoX57X7CHyBgx4LTzWdTjERss_e-f2MpfxG4/edit</t>
  </si>
  <si>
    <t>18YWb8p10dgo-mtUFVKjPVUX46gmLu93hlt07OQO2Dkc</t>
  </si>
  <si>
    <t>https://docs.google.com/spreadsheets/d/18YWb8p10dgo-mtUFVKjPVUX46gmLu93hlt07OQO2Dkc/edit</t>
  </si>
  <si>
    <t>17sWiMWCIVk6w6oojE3YL7RmzLDi_FuHOD_g2-JosTTQ</t>
  </si>
  <si>
    <t>https://docs.google.com/spreadsheets/d/17sWiMWCIVk6w6oojE3YL7RmzLDi_FuHOD_g2-JosTTQ/edit</t>
  </si>
  <si>
    <t>ESCOLA MUNICIPAL PROFESSOR ALMIR OLIMPIO ALVES</t>
  </si>
  <si>
    <t>17K8NXHT7JP2rgzdyz4_UwSrHIEQiOq27n74ExAPO_al</t>
  </si>
  <si>
    <t>https://docs.google.com/spreadsheets/d/17K8NXHT7JP2rgzdyz4_UwSrHIEQiOq27n74ExAPO_aI/edit?gid=1190714847#gid=1190714847</t>
  </si>
  <si>
    <t>ESCOLA MUNICIPAL PROFESSOR CARLOS JOSE RIBEIRO JUNIOR</t>
  </si>
  <si>
    <t>16goLxYED-TrwFYjVIM0OuoPrIzICp5yAbFIT1ltKS5s</t>
  </si>
  <si>
    <t>https://docs.google.com/spreadsheets/d/16goLxYED-TrwFYjVIM0OuoPrIzICp5yAbFIT1ltKS5s/edit</t>
  </si>
  <si>
    <t>16aB2C_eN9rR308ClY8Nr-dasZ6aqJmJNJSamhS0kSJA</t>
  </si>
  <si>
    <t>https://docs.google.com/spreadsheets/d/16aB2C_eN9rR308ClY8Nr-dasZ6aqJmJNJSamhS0kSJA/edit</t>
  </si>
  <si>
    <t>1yQXEWKJYWQ4gYSEmxQDn4oIX-E4gTL9KyL0Qt6Z3-bg</t>
  </si>
  <si>
    <t>https://docs.google.com/spreadsheets/d/1yQXEWKJYWQ4gYSEmxQDn4oIX-E4gTL9KyL0Qt6Z3-bg/edit</t>
  </si>
  <si>
    <t>1wPoq3ZReFLyQCC0Rc2jNYRflhUwOxkQ9KAOI1C-2J3I</t>
  </si>
  <si>
    <t>https://docs.google.com/spreadsheets/d/1wPoq3ZReFLyQCC0Rc2jNYRflhUwOxkQ9KAOI1C-2J3I/edit</t>
  </si>
  <si>
    <t>ESCOLA MUNICIPAL SALVIO SANTOS FARIAS</t>
  </si>
  <si>
    <t>1sU-HOcwgde49RcFQVMiFTzfayaYXuAqqan5s1AU8YxE</t>
  </si>
  <si>
    <t>https://docs.google.com/spreadsheets/d/1sU-HOcwgde49RcFQVMiFTzfayaYXuAqqan5s1AU8YxE/edit</t>
  </si>
  <si>
    <t>1rCQxmx0My2AnvxqPPK-JbU8nXEqCIA8E66lZf5tCz4c</t>
  </si>
  <si>
    <t>https://docs.google.com/spreadsheets/d/1rCQxmx0My2AnvxqPPK-JbU8nXEqCIA8E66lZf5tCz4c/edit</t>
  </si>
  <si>
    <t>1qlx7rH9Va8IeDK7GK1tabf7-yjZKRpgW8gwsRGqWchw</t>
  </si>
  <si>
    <t>https://docs.google.com/spreadsheets/d/1qlx7rH9Va8IeDK7GK1tabf7-yjZKRpgW8gwsRGqWchw/edit</t>
  </si>
  <si>
    <t>1pGg9rQXZ2AN3shayGD3dCX7pd4G2O79RKgsK3MM8Hgc</t>
  </si>
  <si>
    <t>https://docs.google.com/spreadsheets/d/1pGg9rQXZ2AN3shayGD3dCX7pd4G2O79RKgsK3MM8Hgc/edit</t>
  </si>
  <si>
    <t>1nzJG6sxqZoYkn3nR2cbIND8qc8_Luzwqem0Ipzdeo1Q</t>
  </si>
  <si>
    <t>https://docs.google.com/spreadsheets/d/1nzJG6sxqZoYkn3nR2cbIND8qc8_Luzwqem0Ipzdeo1Q/edit</t>
  </si>
  <si>
    <t>1lUxJLpFmxWDmyqzmFU2HvJAm229xgFtfMjYvegtv8ds</t>
  </si>
  <si>
    <t>https://docs.google.com/spreadsheets/d/1lUxJLpFmxWDmyqzmFU2HvJAm229xgFtfMjYvegtv8ds/edit</t>
  </si>
  <si>
    <t>CEMEI CIBELE DE ANDRADE MENDES DE AZEVEDO</t>
  </si>
  <si>
    <t>1kd1jLIHgsdaj7kFXeHDbK0_IadyqPhVGqFi4EzI6ngw</t>
  </si>
  <si>
    <t>https://docs.google.com/spreadsheets/d/1kd1jLIHgsdaj7kFXeHDbK0_IadyqPhVGqFi4EzI6ngw/edit</t>
  </si>
  <si>
    <t>1EEQHCu_bbotwyTFHJagO1iQ5iiUyRX_64SVsfPuixqU</t>
  </si>
  <si>
    <t>https://docs.google.com/spreadsheets/d/1EEQHCu_bbotwyTFHJagO1iQ5iiUyRX_64SVsfPuixqU/edit</t>
  </si>
  <si>
    <t>1DBzgIWtqJGXm9OlOHW20tNmD7uDnsJgQvOqDCaOhgZg</t>
  </si>
  <si>
    <t>https://docs.google.com/spreadsheets/d/1DBzgIWtqJGXm9OlOHW20tNmD7uDnsJgQvOqDCaOhgZg/edit</t>
  </si>
  <si>
    <t>1iP7CMwAX4KvLJb86c-JuJBflMuUsE9F61IeIT7qqSLA</t>
  </si>
  <si>
    <t>https://docs.google.com/spreadsheets/d/1iP7CMwAX4KvLJb86c-JuJBflMuUsE9F61IeIT7qqSLA/edit</t>
  </si>
  <si>
    <t>18jY4roe6su9GkO4v6qi3qpMHNXLiVYVlt4XxUdsJtOs</t>
  </si>
  <si>
    <t>https://docs.google.com/spreadsheets/d/18jY4roe6su9GkO4v6qi3qpMHNXLiVYVlt4XxUdsJtOs/edit</t>
  </si>
  <si>
    <t>CRECHE SILVIA CRISTINA SANTOS BOTELHO</t>
  </si>
  <si>
    <t>1CFjXBkEjTviyhNcn3jD_xFXcWC-5Chu7gtr2sujeKfw</t>
  </si>
  <si>
    <t>https://docs.google.com/spreadsheets/d/1CFjXBkEjTviyhNcn3jD_xFXcWC-5Chu7gtr2sujeKfw/edit</t>
  </si>
  <si>
    <t>17eRhTSolGhyUhHi7FL9ku14ycapee660_tdJPmOKIsQ</t>
  </si>
  <si>
    <t>https://docs.google.com/spreadsheets/d/17eRhTSolGhyUhHi7FL9ku14ycapee660_tdJPmOKIsQ/edit</t>
  </si>
  <si>
    <t>1t9WO0tqQBLaRopAHAyzkxLM2a7c9FTcwO8LIyBimRKk</t>
  </si>
  <si>
    <t>https://docs.google.com/spreadsheets/d/1t9WO0tqQBLaRopAHAyzkxLM2a7c9FTcwO8LIyBimRKk/edit</t>
  </si>
  <si>
    <t>1jtqo4H7RLNuCsuGE1UBiwPB9rIl1ylXZSfIviRSy5uU</t>
  </si>
  <si>
    <t>https://docs.google.com/spreadsheets/d/1jtqo4H7RLNuCsuGE1UBiwPB9rIl1ylXZSfIviRSy5uU/edit</t>
  </si>
  <si>
    <t>1hOj6VWokQiAIR7iApHiOA5I7pGvwrcPifGuAXPM90Oc</t>
  </si>
  <si>
    <t>https://docs.google.com/spreadsheets/d/1hOj6VWokQiAIR7iApHiOA5I7pGvwrcPifGuAXPM90Oc/edit</t>
  </si>
  <si>
    <t>1U2mvZmlCnm2of5wXIhqMEwwxcEaE4cGtfHJxuVw1ao0</t>
  </si>
  <si>
    <t>https://docs.google.com/spreadsheets/d/1U2mvZmlCnm2of5wXIhqMEwwxcEaE4cGtfHJxuVw1ao0/edit</t>
  </si>
  <si>
    <t>1IzoXdNvxjIN8IVt17FOc6sHAC5Kz6CHFroyIuJnWfno</t>
  </si>
  <si>
    <t>https://docs.google.com/spreadsheets/d/1IzoXdNvxjIN8IVt17FOc6sHAC5Kz6CHFroyIuJnWfno/edit</t>
  </si>
  <si>
    <t>13ke3b4L_YC75lI9AIB7iUtB0CY3DFZzAJkBuB-uL4Bc</t>
  </si>
  <si>
    <t>https://docs.google.com/spreadsheets/d/13ke3b4L_YC75lI9AIB7iUtB0CY3DFZzAJkBuB-uL4Bc/edit</t>
  </si>
  <si>
    <t>1hueDgmMxKT_BNS94lrFElCPfLiz1Xmd-npLBTEryf9A</t>
  </si>
  <si>
    <t>https://docs.google.com/spreadsheets/d/1hueDgmMxKT_BNS94lrFElCPfLiz1Xmd-npLBTEryf9A/edit</t>
  </si>
  <si>
    <t>1lT2y8Svk34E-G6eGncgVJaUBx0puh02CgDB86juX4WA</t>
  </si>
  <si>
    <t>https://docs.google.com/spreadsheets/d/1lT2y8Svk34E-G6eGncgVJaUBx0puh02CgDB86juX4WA/edit</t>
  </si>
  <si>
    <t>1hqFUDzXZk1r3tKKrXCtkmt4EKHJ2MbRX3umMXFQUD2k</t>
  </si>
  <si>
    <t>https://docs.google.com/spreadsheets/d/1hqFUDzXZk1r3tKKrXCtkmt4EKHJ2MbRX3umMXFQUD2k/edit</t>
  </si>
  <si>
    <t>1gvlFgHmwIQla03QmX-p0TZsAfRvNuQ1O2BeBeEjAd40</t>
  </si>
  <si>
    <t>https://docs.google.com/spreadsheets/d/1gvlFgHmwIQla03QmX-p0TZsAfRvNuQ1O2BeBeEjAd40/edit</t>
  </si>
  <si>
    <t>1nvKPd3nf9Ib9U2iXCStRr73rAZFAJLtUo0YS41X-1DA</t>
  </si>
  <si>
    <t>https://docs.google.com/spreadsheets/d/1nvKPd3nf9Ib9U2iXCStRr73rAZFAJLtUo0YS41X-1DA/edit</t>
  </si>
  <si>
    <t>1Xuw2nQGV9rbf0MEW5NRSI1EXBzx7Tt_AtwzM2G3RlXY</t>
  </si>
  <si>
    <t>https://docs.google.com/spreadsheets/d/1Xuw2nQGV9rbf0MEW5NRSI1EXBzx7Tt_AtwzM2G3RlXY/edit</t>
  </si>
  <si>
    <t>1UYEOJTHQ52RFo3PLIrlWbNUofqr0gXhwyxpA-ytiG8s</t>
  </si>
  <si>
    <t>https://docs.google.com/spreadsheets/d/1UYEOJTHQ52RFo3PLIrlWbNUofqr0gXhwyxpA-ytiG8s/edit</t>
  </si>
  <si>
    <t>12YFfzKMgMCIdzHag-WsPSn36SLv9LiHjjKIoHc0TCGY</t>
  </si>
  <si>
    <t>https://docs.google.com/spreadsheets/d/12YFfzKMgMCIdzHag-WsPSn36SLv9LiHjjKIoHc0TCGY/edit</t>
  </si>
  <si>
    <t>MATRICULADO</t>
  </si>
  <si>
    <t>1hxPayDdBnaiPKtCb1UGIxlkRnOV82F7ROS8EXuD7bog</t>
  </si>
  <si>
    <t>1TOZLF6kzPOj1ymTMIqEBuEp-tK_ODfVoF_3ZxEBsnJQ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</si>
</sst>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/m/yyyy hh:mm:ss"/>
    <numFmt numFmtId="165" formatCode="dd/mm/yyyy"/>
    <numFmt numFmtId="166" formatCode="dd/mm/yyyy hh:mm:ss"/>
    <numFmt numFmtId="167" formatCode="d/m/yyyy"/>
  </numFmts>
  <fonts count="27">
    <font>
      <sz val="10.0"/>
      <color rgb="FF000000"/>
      <name val="Calibri"/>
      <scheme val="minor"/>
    </font>
    <font>
      <color theme="1"/>
      <name val="Calibri"/>
    </font>
    <font>
      <color theme="1"/>
      <name val="Roboto"/>
    </font>
    <font>
      <color theme="1"/>
      <name val="Arial"/>
    </font>
    <font>
      <color rgb="FF434343"/>
      <name val="Arial"/>
    </font>
    <font>
      <color rgb="FF434343"/>
      <name val="Roboto"/>
    </font>
    <font>
      <b/>
      <sz val="11.0"/>
      <color theme="1"/>
      <name val="Calibri"/>
    </font>
    <font>
      <color theme="1"/>
      <name val="Calibri"/>
      <scheme val="minor"/>
    </font>
    <font>
      <b/>
      <sz val="22.0"/>
      <color theme="1"/>
      <name val="Calibri"/>
    </font>
    <font>
      <b/>
      <sz val="14.0"/>
      <color theme="1"/>
      <name val="Arial"/>
    </font>
    <font>
      <b/>
      <sz val="13.0"/>
      <color theme="1"/>
      <name val="Calibri"/>
    </font>
    <font>
      <sz val="13.0"/>
      <color theme="1"/>
      <name val="Calibri"/>
    </font>
    <font/>
    <font>
      <b/>
      <sz val="13.0"/>
      <color theme="1"/>
      <name val="Arial"/>
    </font>
    <font>
      <b/>
      <sz val="13.0"/>
      <color rgb="FFFFFFFF"/>
      <name val="Calibri"/>
    </font>
    <font>
      <b/>
      <sz val="10.0"/>
      <color rgb="FFFFFFFF"/>
      <name val="Calibri"/>
    </font>
    <font>
      <b/>
      <sz val="10.0"/>
      <color theme="1"/>
      <name val="Calibri"/>
    </font>
    <font>
      <sz val="10.0"/>
      <color rgb="FF434343"/>
      <name val="Calibri"/>
    </font>
    <font>
      <u/>
      <sz val="10.0"/>
      <color rgb="FF434343"/>
      <name val="Calibri"/>
    </font>
    <font>
      <sz val="10.0"/>
      <color theme="1"/>
      <name val="Calibri"/>
    </font>
    <font>
      <u/>
      <sz val="10.0"/>
      <color rgb="FF434343"/>
      <name val="Calibri"/>
    </font>
    <font>
      <b/>
      <sz val="10.0"/>
      <color rgb="FF434343"/>
      <name val="Calibri"/>
    </font>
    <font>
      <b/>
      <u/>
      <sz val="10.0"/>
      <color rgb="FF434343"/>
      <name val="Calibri"/>
    </font>
    <font>
      <u/>
      <sz val="10.0"/>
      <color rgb="FF434343"/>
      <name val="Calibri"/>
    </font>
    <font>
      <u/>
      <sz val="10.0"/>
      <color rgb="FF434343"/>
      <name val="Calibri"/>
    </font>
    <font>
      <b/>
      <sz val="12.0"/>
      <color theme="1"/>
      <name val="Calibri"/>
    </font>
    <font>
      <sz val="12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CCCCCC"/>
        <bgColor rgb="FFCCCCCC"/>
      </patternFill>
    </fill>
    <fill>
      <patternFill patternType="solid">
        <fgColor rgb="FF8DB4E2"/>
        <bgColor rgb="FF8DB4E2"/>
      </patternFill>
    </fill>
    <fill>
      <patternFill patternType="solid">
        <fgColor rgb="FF00FFFF"/>
        <bgColor rgb="FF00FFFF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356854"/>
        <bgColor rgb="FF356854"/>
      </patternFill>
    </fill>
  </fills>
  <borders count="21">
    <border/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</borders>
  <cellStyleXfs count="1">
    <xf borderId="0" fillId="0" fontId="0" numFmtId="0" applyAlignment="1" applyFont="1"/>
  </cellStyleXfs>
  <cellXfs count="1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left" vertical="bottom"/>
    </xf>
    <xf borderId="0" fillId="0" fontId="1" numFmtId="164" xfId="0" applyAlignment="1" applyFont="1" applyNumberFormat="1">
      <alignment horizontal="center"/>
    </xf>
    <xf borderId="0" fillId="0" fontId="1" numFmtId="165" xfId="0" applyAlignment="1" applyFont="1" applyNumberFormat="1">
      <alignment horizontal="center"/>
    </xf>
    <xf borderId="0" fillId="0" fontId="1" numFmtId="166" xfId="0" applyAlignment="1" applyFont="1" applyNumberFormat="1">
      <alignment horizontal="center"/>
    </xf>
    <xf borderId="0" fillId="0" fontId="1" numFmtId="167" xfId="0" applyAlignment="1" applyFont="1" applyNumberFormat="1">
      <alignment horizontal="center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1" fillId="2" fontId="3" numFmtId="0" xfId="0" applyAlignment="1" applyBorder="1" applyFill="1" applyFont="1">
      <alignment horizontal="center" shrinkToFit="0" vertical="center" wrapText="0"/>
    </xf>
    <xf borderId="2" fillId="2" fontId="3" numFmtId="0" xfId="0" applyAlignment="1" applyBorder="1" applyFont="1">
      <alignment shrinkToFit="0" vertical="center" wrapText="0"/>
    </xf>
    <xf borderId="2" fillId="2" fontId="2" numFmtId="0" xfId="0" applyAlignment="1" applyBorder="1" applyFont="1">
      <alignment shrinkToFit="0" vertical="center" wrapText="0"/>
    </xf>
    <xf borderId="2" fillId="2" fontId="4" numFmtId="0" xfId="0" applyAlignment="1" applyBorder="1" applyFont="1">
      <alignment shrinkToFit="0" vertical="center" wrapText="0"/>
    </xf>
    <xf borderId="2" fillId="2" fontId="3" numFmtId="0" xfId="0" applyAlignment="1" applyBorder="1" applyFont="1">
      <alignment horizontal="center" shrinkToFit="0" vertical="center" wrapText="0"/>
    </xf>
    <xf borderId="3" fillId="2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shrinkToFit="0" vertical="bottom" wrapText="0"/>
    </xf>
    <xf borderId="1" fillId="2" fontId="5" numFmtId="0" xfId="0" applyAlignment="1" applyBorder="1" applyFont="1">
      <alignment horizontal="center" shrinkToFit="0" vertical="center" wrapText="0"/>
    </xf>
    <xf borderId="2" fillId="2" fontId="5" numFmtId="0" xfId="0" applyAlignment="1" applyBorder="1" applyFont="1">
      <alignment shrinkToFit="0" vertical="center" wrapText="0"/>
    </xf>
    <xf borderId="2" fillId="2" fontId="1" numFmtId="0" xfId="0" applyAlignment="1" applyBorder="1" applyFont="1">
      <alignment shrinkToFit="0" vertical="center" wrapText="0"/>
    </xf>
    <xf borderId="3" fillId="2" fontId="1" numFmtId="0" xfId="0" applyAlignment="1" applyBorder="1" applyFont="1">
      <alignment shrinkToFit="0" vertical="center" wrapText="0"/>
    </xf>
    <xf borderId="4" fillId="3" fontId="5" numFmtId="0" xfId="0" applyAlignment="1" applyBorder="1" applyFill="1" applyFont="1">
      <alignment horizontal="center" shrinkToFit="0" vertical="center" wrapText="0"/>
    </xf>
    <xf borderId="5" fillId="3" fontId="5" numFmtId="0" xfId="0" applyAlignment="1" applyBorder="1" applyFont="1">
      <alignment shrinkToFit="0" vertical="center" wrapText="0"/>
    </xf>
    <xf borderId="5" fillId="3" fontId="1" numFmtId="0" xfId="0" applyAlignment="1" applyBorder="1" applyFont="1">
      <alignment shrinkToFit="0" vertical="center" wrapText="0"/>
    </xf>
    <xf borderId="6" fillId="3" fontId="1" numFmtId="0" xfId="0" applyAlignment="1" applyBorder="1" applyFont="1">
      <alignment shrinkToFit="0" vertical="center" wrapText="0"/>
    </xf>
    <xf borderId="2" fillId="2" fontId="5" numFmtId="0" xfId="0" applyAlignment="1" applyBorder="1" applyFont="1">
      <alignment readingOrder="0" shrinkToFit="0" vertical="center" wrapText="0"/>
    </xf>
    <xf borderId="4" fillId="3" fontId="1" numFmtId="0" xfId="0" applyAlignment="1" applyBorder="1" applyFont="1">
      <alignment shrinkToFit="0" vertical="center" wrapText="0"/>
    </xf>
    <xf borderId="1" fillId="2" fontId="1" numFmtId="0" xfId="0" applyAlignment="1" applyBorder="1" applyFont="1">
      <alignment shrinkToFit="0" vertical="center" wrapText="0"/>
    </xf>
    <xf borderId="7" fillId="2" fontId="1" numFmtId="0" xfId="0" applyAlignment="1" applyBorder="1" applyFont="1">
      <alignment shrinkToFit="0" vertical="center" wrapText="0"/>
    </xf>
    <xf borderId="8" fillId="2" fontId="1" numFmtId="0" xfId="0" applyAlignment="1" applyBorder="1" applyFont="1">
      <alignment shrinkToFit="0" vertical="center" wrapText="0"/>
    </xf>
    <xf borderId="9" fillId="2" fontId="1" numFmtId="0" xfId="0" applyAlignment="1" applyBorder="1" applyFont="1">
      <alignment shrinkToFit="0" vertical="center" wrapText="0"/>
    </xf>
    <xf borderId="10" fillId="4" fontId="6" numFmtId="0" xfId="0" applyAlignment="1" applyBorder="1" applyFill="1" applyFont="1">
      <alignment horizontal="center" shrinkToFit="0" vertical="center" wrapText="1"/>
    </xf>
    <xf borderId="11" fillId="4" fontId="6" numFmtId="0" xfId="0" applyAlignment="1" applyBorder="1" applyFont="1">
      <alignment horizontal="center" shrinkToFit="0" vertical="center" wrapText="1"/>
    </xf>
    <xf borderId="12" fillId="4" fontId="6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center"/>
    </xf>
    <xf borderId="10" fillId="4" fontId="6" numFmtId="0" xfId="0" applyAlignment="1" applyBorder="1" applyFont="1">
      <alignment horizontal="center" shrinkToFit="0" wrapText="1"/>
    </xf>
    <xf borderId="11" fillId="4" fontId="6" numFmtId="0" xfId="0" applyAlignment="1" applyBorder="1" applyFont="1">
      <alignment horizontal="center" shrinkToFit="0" wrapText="1"/>
    </xf>
    <xf borderId="12" fillId="4" fontId="6" numFmtId="0" xfId="0" applyAlignment="1" applyBorder="1" applyFont="1">
      <alignment horizontal="center" shrinkToFit="0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11" numFmtId="0" xfId="0" applyAlignment="1" applyFont="1">
      <alignment shrinkToFit="0" vertical="center" wrapText="1"/>
    </xf>
    <xf borderId="0" fillId="5" fontId="10" numFmtId="0" xfId="0" applyAlignment="1" applyFill="1" applyFont="1">
      <alignment horizontal="center" readingOrder="0" shrinkToFit="0" vertical="center" wrapText="1"/>
    </xf>
    <xf borderId="13" fillId="5" fontId="10" numFmtId="0" xfId="0" applyAlignment="1" applyBorder="1" applyFont="1">
      <alignment horizontal="center" shrinkToFit="0" vertical="center" wrapText="1"/>
    </xf>
    <xf borderId="14" fillId="5" fontId="10" numFmtId="0" xfId="0" applyAlignment="1" applyBorder="1" applyFont="1">
      <alignment horizontal="center" shrinkToFit="0" vertical="center" wrapText="1"/>
    </xf>
    <xf borderId="15" fillId="5" fontId="10" numFmtId="0" xfId="0" applyAlignment="1" applyBorder="1" applyFont="1">
      <alignment horizontal="center" shrinkToFit="0" vertical="center" wrapText="1"/>
    </xf>
    <xf borderId="15" fillId="0" fontId="12" numFmtId="0" xfId="0" applyBorder="1" applyFont="1"/>
    <xf borderId="16" fillId="0" fontId="12" numFmtId="0" xfId="0" applyBorder="1" applyFont="1"/>
    <xf borderId="13" fillId="0" fontId="12" numFmtId="0" xfId="0" applyBorder="1" applyFont="1"/>
    <xf borderId="14" fillId="0" fontId="12" numFmtId="0" xfId="0" applyBorder="1" applyFont="1"/>
    <xf borderId="14" fillId="6" fontId="10" numFmtId="0" xfId="0" applyAlignment="1" applyBorder="1" applyFill="1" applyFont="1">
      <alignment horizontal="center" shrinkToFit="0" vertical="center" wrapText="1"/>
    </xf>
    <xf borderId="16" fillId="5" fontId="10" numFmtId="0" xfId="0" applyAlignment="1" applyBorder="1" applyFont="1">
      <alignment horizontal="center" shrinkToFit="0" vertical="center" wrapText="1"/>
    </xf>
    <xf borderId="16" fillId="7" fontId="10" numFmtId="0" xfId="0" applyAlignment="1" applyBorder="1" applyFill="1" applyFont="1">
      <alignment horizontal="center" shrinkToFit="0" vertical="center" wrapText="1"/>
    </xf>
    <xf borderId="15" fillId="7" fontId="10" numFmtId="0" xfId="0" applyAlignment="1" applyBorder="1" applyFont="1">
      <alignment horizontal="center" shrinkToFit="0" vertical="center" wrapText="1"/>
    </xf>
    <xf borderId="17" fillId="0" fontId="12" numFmtId="0" xfId="0" applyBorder="1" applyFont="1"/>
    <xf borderId="16" fillId="6" fontId="10" numFmtId="0" xfId="0" applyAlignment="1" applyBorder="1" applyFont="1">
      <alignment horizontal="center" shrinkToFit="0" vertical="center" wrapText="1"/>
    </xf>
    <xf borderId="13" fillId="0" fontId="10" numFmtId="0" xfId="0" applyAlignment="1" applyBorder="1" applyFont="1">
      <alignment horizontal="center" readingOrder="0" shrinkToFit="0" vertical="center" wrapText="1"/>
    </xf>
    <xf borderId="16" fillId="0" fontId="10" numFmtId="0" xfId="0" applyAlignment="1" applyBorder="1" applyFont="1">
      <alignment horizontal="center" readingOrder="0" shrinkToFit="0" vertical="center" wrapText="1"/>
    </xf>
    <xf borderId="16" fillId="0" fontId="11" numFmtId="3" xfId="0" applyAlignment="1" applyBorder="1" applyFont="1" applyNumberFormat="1">
      <alignment horizontal="center" readingOrder="0" shrinkToFit="0" vertical="center" wrapText="1"/>
    </xf>
    <xf borderId="16" fillId="0" fontId="11" numFmtId="3" xfId="0" applyAlignment="1" applyBorder="1" applyFont="1" applyNumberFormat="1">
      <alignment horizontal="center" shrinkToFit="0" vertical="center" wrapText="1"/>
    </xf>
    <xf borderId="16" fillId="7" fontId="10" numFmtId="3" xfId="0" applyAlignment="1" applyBorder="1" applyFont="1" applyNumberFormat="1">
      <alignment horizontal="center" readingOrder="0" shrinkToFit="0" vertical="center" wrapText="1"/>
    </xf>
    <xf borderId="11" fillId="6" fontId="10" numFmtId="3" xfId="0" applyAlignment="1" applyBorder="1" applyFont="1" applyNumberFormat="1">
      <alignment horizontal="center" readingOrder="0" shrinkToFit="0" vertical="center" wrapText="1"/>
    </xf>
    <xf borderId="0" fillId="0" fontId="10" numFmtId="3" xfId="0" applyAlignment="1" applyFont="1" applyNumberFormat="1">
      <alignment horizontal="center" shrinkToFit="0" vertical="center" wrapText="1"/>
    </xf>
    <xf borderId="0" fillId="0" fontId="10" numFmtId="0" xfId="0" applyAlignment="1" applyFont="1">
      <alignment horizontal="center" readingOrder="0" shrinkToFit="0" vertical="center" wrapText="1"/>
    </xf>
    <xf borderId="16" fillId="6" fontId="10" numFmtId="3" xfId="0" applyAlignment="1" applyBorder="1" applyFont="1" applyNumberFormat="1">
      <alignment horizontal="center" readingOrder="0" shrinkToFit="0" vertical="center" wrapText="1"/>
    </xf>
    <xf borderId="16" fillId="8" fontId="10" numFmtId="0" xfId="0" applyAlignment="1" applyBorder="1" applyFill="1" applyFont="1">
      <alignment horizontal="center" readingOrder="0" shrinkToFit="0" vertical="center" wrapText="1"/>
    </xf>
    <xf borderId="16" fillId="8" fontId="10" numFmtId="3" xfId="0" applyAlignment="1" applyBorder="1" applyFont="1" applyNumberFormat="1">
      <alignment horizontal="center" readingOrder="0" shrinkToFit="0" vertical="center" wrapText="1"/>
    </xf>
    <xf borderId="0" fillId="4" fontId="10" numFmtId="0" xfId="0" applyAlignment="1" applyFont="1">
      <alignment horizontal="center" shrinkToFit="0" vertical="center" wrapText="1"/>
    </xf>
    <xf borderId="10" fillId="4" fontId="10" numFmtId="0" xfId="0" applyAlignment="1" applyBorder="1" applyFont="1">
      <alignment horizontal="center" readingOrder="0" shrinkToFit="0" vertical="center" wrapText="1"/>
    </xf>
    <xf borderId="11" fillId="4" fontId="10" numFmtId="0" xfId="0" applyAlignment="1" applyBorder="1" applyFont="1">
      <alignment horizontal="center" readingOrder="0" shrinkToFit="0" vertical="center" wrapText="1"/>
    </xf>
    <xf borderId="12" fillId="4" fontId="10" numFmtId="0" xfId="0" applyAlignment="1" applyBorder="1" applyFont="1">
      <alignment horizontal="center" readingOrder="0" shrinkToFit="0" vertical="center" wrapText="1"/>
    </xf>
    <xf borderId="12" fillId="4" fontId="10" numFmtId="0" xfId="0" applyAlignment="1" applyBorder="1" applyFont="1">
      <alignment horizontal="left" readingOrder="0" shrinkToFit="0" vertical="center" wrapText="1"/>
    </xf>
    <xf borderId="0" fillId="0" fontId="11" numFmtId="0" xfId="0" applyAlignment="1" applyFont="1">
      <alignment shrinkToFit="0" vertical="center" wrapText="1"/>
    </xf>
    <xf borderId="0" fillId="0" fontId="11" numFmtId="166" xfId="0" applyAlignment="1" applyFont="1" applyNumberFormat="1">
      <alignment readingOrder="0" shrinkToFit="0" vertical="center" wrapText="1"/>
    </xf>
    <xf borderId="0" fillId="0" fontId="11" numFmtId="0" xfId="0" applyAlignment="1" applyFont="1">
      <alignment horizontal="center" readingOrder="0" shrinkToFit="0" vertical="center" wrapText="1"/>
    </xf>
    <xf borderId="0" fillId="0" fontId="11" numFmtId="0" xfId="0" applyAlignment="1" applyFont="1">
      <alignment readingOrder="0" shrinkToFit="0" vertical="center" wrapText="1"/>
    </xf>
    <xf borderId="0" fillId="0" fontId="11" numFmtId="165" xfId="0" applyAlignment="1" applyFont="1" applyNumberFormat="1">
      <alignment readingOrder="0" shrinkToFit="0" vertical="center" wrapText="1"/>
    </xf>
    <xf borderId="0" fillId="0" fontId="11" numFmtId="167" xfId="0" applyAlignment="1" applyFont="1" applyNumberFormat="1">
      <alignment readingOrder="0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shrinkToFit="0" wrapText="1"/>
    </xf>
    <xf borderId="0" fillId="0" fontId="11" numFmtId="0" xfId="0" applyAlignment="1" applyFont="1">
      <alignment shrinkToFit="0" wrapText="1"/>
    </xf>
    <xf borderId="0" fillId="0" fontId="13" numFmtId="0" xfId="0" applyAlignment="1" applyFont="1">
      <alignment horizontal="center" shrinkToFit="0" wrapText="1"/>
    </xf>
    <xf borderId="0" fillId="0" fontId="7" numFmtId="0" xfId="0" applyAlignment="1" applyFont="1">
      <alignment vertical="center"/>
    </xf>
    <xf borderId="16" fillId="0" fontId="10" numFmtId="0" xfId="0" applyAlignment="1" applyBorder="1" applyFont="1">
      <alignment horizontal="center" readingOrder="0" shrinkToFit="0" wrapText="1"/>
    </xf>
    <xf borderId="16" fillId="7" fontId="10" numFmtId="3" xfId="0" applyAlignment="1" applyBorder="1" applyFont="1" applyNumberFormat="1">
      <alignment horizontal="center" readingOrder="0" shrinkToFit="0" wrapText="1"/>
    </xf>
    <xf borderId="11" fillId="6" fontId="10" numFmtId="3" xfId="0" applyAlignment="1" applyBorder="1" applyFont="1" applyNumberFormat="1">
      <alignment horizontal="center" readingOrder="0" shrinkToFit="0" wrapText="1"/>
    </xf>
    <xf borderId="16" fillId="6" fontId="10" numFmtId="3" xfId="0" applyAlignment="1" applyBorder="1" applyFont="1" applyNumberFormat="1">
      <alignment horizontal="center" readingOrder="0" shrinkToFit="0" wrapText="1"/>
    </xf>
    <xf borderId="16" fillId="8" fontId="10" numFmtId="0" xfId="0" applyAlignment="1" applyBorder="1" applyFont="1">
      <alignment horizontal="center" readingOrder="0" shrinkToFit="0" wrapText="1"/>
    </xf>
    <xf borderId="16" fillId="8" fontId="10" numFmtId="3" xfId="0" applyAlignment="1" applyBorder="1" applyFont="1" applyNumberFormat="1">
      <alignment horizontal="center" readingOrder="0" shrinkToFit="0" wrapText="1"/>
    </xf>
    <xf borderId="0" fillId="4" fontId="10" numFmtId="0" xfId="0" applyAlignment="1" applyFont="1">
      <alignment horizontal="center" shrinkToFit="0" vertical="center" wrapText="1"/>
    </xf>
    <xf borderId="0" fillId="0" fontId="11" numFmtId="0" xfId="0" applyAlignment="1" applyFont="1">
      <alignment readingOrder="0" shrinkToFit="0" vertical="center" wrapText="0"/>
    </xf>
    <xf borderId="0" fillId="0" fontId="11" numFmtId="0" xfId="0" applyAlignment="1" applyFont="1">
      <alignment shrinkToFit="0" vertical="center" wrapText="1"/>
    </xf>
    <xf borderId="0" fillId="0" fontId="11" numFmtId="0" xfId="0" applyAlignment="1" applyFont="1">
      <alignment shrinkToFit="0" vertical="center" wrapText="0"/>
    </xf>
    <xf borderId="0" fillId="0" fontId="13" numFmtId="0" xfId="0" applyAlignment="1" applyFont="1">
      <alignment horizontal="center" shrinkToFit="0" vertical="center" wrapText="1"/>
    </xf>
    <xf borderId="0" fillId="5" fontId="10" numFmtId="0" xfId="0" applyAlignment="1" applyFont="1">
      <alignment horizontal="center" shrinkToFit="0" vertical="center" wrapText="1"/>
    </xf>
    <xf borderId="0" fillId="4" fontId="10" numFmtId="0" xfId="0" applyAlignment="1" applyFont="1">
      <alignment horizontal="center" readingOrder="0" shrinkToFit="0" vertical="center" wrapText="1"/>
    </xf>
    <xf borderId="0" fillId="5" fontId="10" numFmtId="0" xfId="0" applyAlignment="1" applyFont="1">
      <alignment horizontal="center" shrinkToFit="0" wrapText="1"/>
    </xf>
    <xf borderId="13" fillId="5" fontId="10" numFmtId="0" xfId="0" applyAlignment="1" applyBorder="1" applyFont="1">
      <alignment horizontal="center" shrinkToFit="0" wrapText="1"/>
    </xf>
    <xf borderId="14" fillId="5" fontId="10" numFmtId="0" xfId="0" applyAlignment="1" applyBorder="1" applyFont="1">
      <alignment horizontal="center" shrinkToFit="0" wrapText="1"/>
    </xf>
    <xf borderId="15" fillId="5" fontId="10" numFmtId="0" xfId="0" applyAlignment="1" applyBorder="1" applyFont="1">
      <alignment horizontal="center" shrinkToFit="0" wrapText="1"/>
    </xf>
    <xf borderId="14" fillId="6" fontId="10" numFmtId="0" xfId="0" applyAlignment="1" applyBorder="1" applyFont="1">
      <alignment horizontal="center" shrinkToFit="0" wrapText="1"/>
    </xf>
    <xf borderId="16" fillId="5" fontId="10" numFmtId="0" xfId="0" applyAlignment="1" applyBorder="1" applyFont="1">
      <alignment horizontal="center" shrinkToFit="0" wrapText="1"/>
    </xf>
    <xf borderId="16" fillId="7" fontId="10" numFmtId="0" xfId="0" applyAlignment="1" applyBorder="1" applyFont="1">
      <alignment horizontal="center" shrinkToFit="0" wrapText="1"/>
    </xf>
    <xf borderId="15" fillId="7" fontId="10" numFmtId="0" xfId="0" applyAlignment="1" applyBorder="1" applyFont="1">
      <alignment horizontal="center" shrinkToFit="0" wrapText="1"/>
    </xf>
    <xf borderId="0" fillId="0" fontId="11" numFmtId="0" xfId="0" applyAlignment="1" applyFont="1">
      <alignment shrinkToFit="0" vertical="bottom" wrapText="1"/>
    </xf>
    <xf borderId="16" fillId="0" fontId="10" numFmtId="0" xfId="0" applyAlignment="1" applyBorder="1" applyFont="1">
      <alignment horizontal="center" readingOrder="0" shrinkToFit="0" vertical="bottom" wrapText="1"/>
    </xf>
    <xf borderId="16" fillId="8" fontId="10" numFmtId="0" xfId="0" applyAlignment="1" applyBorder="1" applyFont="1">
      <alignment horizontal="center" readingOrder="0" shrinkToFit="0" vertical="bottom" wrapText="1"/>
    </xf>
    <xf borderId="0" fillId="4" fontId="14" numFmtId="0" xfId="0" applyAlignment="1" applyFont="1">
      <alignment horizontal="center" readingOrder="0" shrinkToFit="0" vertical="center" wrapText="1"/>
    </xf>
    <xf borderId="10" fillId="4" fontId="14" numFmtId="0" xfId="0" applyAlignment="1" applyBorder="1" applyFont="1">
      <alignment horizontal="center" readingOrder="0" shrinkToFit="0" vertical="center" wrapText="1"/>
    </xf>
    <xf borderId="11" fillId="4" fontId="14" numFmtId="0" xfId="0" applyAlignment="1" applyBorder="1" applyFont="1">
      <alignment horizontal="center" readingOrder="0" shrinkToFit="0" vertical="center" wrapText="1"/>
    </xf>
    <xf borderId="12" fillId="4" fontId="14" numFmtId="0" xfId="0" applyAlignment="1" applyBorder="1" applyFont="1">
      <alignment horizontal="center" readingOrder="0" shrinkToFit="0" vertical="center" wrapText="1"/>
    </xf>
    <xf borderId="0" fillId="4" fontId="14" numFmtId="0" xfId="0" applyAlignment="1" applyFont="1">
      <alignment horizontal="center" shrinkToFit="0" vertical="center" wrapText="1"/>
    </xf>
    <xf borderId="0" fillId="4" fontId="14" numFmtId="0" xfId="0" applyAlignment="1" applyFont="1">
      <alignment horizontal="center" shrinkToFit="0" vertical="center" wrapText="1"/>
    </xf>
    <xf borderId="18" fillId="9" fontId="15" numFmtId="0" xfId="0" applyAlignment="1" applyBorder="1" applyFill="1" applyFont="1">
      <alignment horizontal="center" readingOrder="0" shrinkToFit="0" vertical="center" wrapText="0"/>
    </xf>
    <xf borderId="19" fillId="9" fontId="15" numFmtId="0" xfId="0" applyAlignment="1" applyBorder="1" applyFont="1">
      <alignment horizontal="center" readingOrder="0" shrinkToFit="0" vertical="center" wrapText="0"/>
    </xf>
    <xf borderId="19" fillId="9" fontId="15" numFmtId="49" xfId="0" applyAlignment="1" applyBorder="1" applyFont="1" applyNumberFormat="1">
      <alignment horizontal="center" readingOrder="0" shrinkToFit="0" vertical="center" wrapText="0"/>
    </xf>
    <xf borderId="20" fillId="9" fontId="15" numFmtId="49" xfId="0" applyAlignment="1" applyBorder="1" applyFont="1" applyNumberFormat="1">
      <alignment horizontal="center" readingOrder="0" shrinkToFit="0" vertical="center" wrapText="0"/>
    </xf>
    <xf borderId="0" fillId="0" fontId="16" numFmtId="49" xfId="0" applyAlignment="1" applyFont="1" applyNumberFormat="1">
      <alignment horizontal="left" readingOrder="0" shrinkToFit="0" vertical="bottom" wrapText="0"/>
    </xf>
    <xf borderId="0" fillId="0" fontId="16" numFmtId="0" xfId="0" applyAlignment="1" applyFont="1">
      <alignment vertical="bottom"/>
    </xf>
    <xf borderId="1" fillId="2" fontId="17" numFmtId="0" xfId="0" applyAlignment="1" applyBorder="1" applyFont="1">
      <alignment horizontal="center" readingOrder="0" shrinkToFit="0" vertical="center" wrapText="0"/>
    </xf>
    <xf borderId="2" fillId="2" fontId="17" numFmtId="0" xfId="0" applyAlignment="1" applyBorder="1" applyFont="1">
      <alignment readingOrder="0" shrinkToFit="0" vertical="center" wrapText="0"/>
    </xf>
    <xf borderId="2" fillId="2" fontId="17" numFmtId="0" xfId="0" applyAlignment="1" applyBorder="1" applyFont="1">
      <alignment horizontal="right" readingOrder="0" shrinkToFit="0" vertical="center" wrapText="0"/>
    </xf>
    <xf borderId="2" fillId="2" fontId="18" numFmtId="0" xfId="0" applyAlignment="1" applyBorder="1" applyFont="1">
      <alignment readingOrder="0" shrinkToFit="0" vertical="center" wrapText="0"/>
    </xf>
    <xf borderId="3" fillId="2" fontId="17" numFmtId="0" xfId="0" applyAlignment="1" applyBorder="1" applyFont="1">
      <alignment shrinkToFit="0" vertical="center" wrapText="0"/>
    </xf>
    <xf borderId="0" fillId="0" fontId="19" numFmtId="0" xfId="0" applyAlignment="1" applyFont="1">
      <alignment vertical="bottom"/>
    </xf>
    <xf borderId="4" fillId="3" fontId="17" numFmtId="0" xfId="0" applyAlignment="1" applyBorder="1" applyFont="1">
      <alignment horizontal="center" readingOrder="0" shrinkToFit="0" vertical="center" wrapText="0"/>
    </xf>
    <xf borderId="5" fillId="3" fontId="17" numFmtId="0" xfId="0" applyAlignment="1" applyBorder="1" applyFont="1">
      <alignment readingOrder="0" shrinkToFit="0" vertical="center" wrapText="0"/>
    </xf>
    <xf borderId="5" fillId="3" fontId="17" numFmtId="0" xfId="0" applyAlignment="1" applyBorder="1" applyFont="1">
      <alignment horizontal="right" readingOrder="0" shrinkToFit="0" vertical="center" wrapText="0"/>
    </xf>
    <xf borderId="5" fillId="3" fontId="20" numFmtId="0" xfId="0" applyAlignment="1" applyBorder="1" applyFont="1">
      <alignment readingOrder="0" shrinkToFit="0" vertical="center" wrapText="0"/>
    </xf>
    <xf borderId="6" fillId="3" fontId="17" numFmtId="0" xfId="0" applyAlignment="1" applyBorder="1" applyFont="1">
      <alignment shrinkToFit="0" vertical="center" wrapText="0"/>
    </xf>
    <xf borderId="4" fillId="3" fontId="21" numFmtId="0" xfId="0" applyAlignment="1" applyBorder="1" applyFont="1">
      <alignment horizontal="center" readingOrder="0" shrinkToFit="0" vertical="center" wrapText="0"/>
    </xf>
    <xf borderId="5" fillId="3" fontId="21" numFmtId="0" xfId="0" applyAlignment="1" applyBorder="1" applyFont="1">
      <alignment readingOrder="0" shrinkToFit="0" vertical="center" wrapText="0"/>
    </xf>
    <xf borderId="5" fillId="3" fontId="21" numFmtId="0" xfId="0" applyAlignment="1" applyBorder="1" applyFont="1">
      <alignment horizontal="right" readingOrder="0" shrinkToFit="0" vertical="center" wrapText="0"/>
    </xf>
    <xf borderId="5" fillId="3" fontId="22" numFmtId="0" xfId="0" applyAlignment="1" applyBorder="1" applyFont="1">
      <alignment readingOrder="0" shrinkToFit="0" vertical="center" wrapText="0"/>
    </xf>
    <xf borderId="7" fillId="2" fontId="17" numFmtId="0" xfId="0" applyAlignment="1" applyBorder="1" applyFont="1">
      <alignment horizontal="center" readingOrder="0" shrinkToFit="0" vertical="center" wrapText="0"/>
    </xf>
    <xf borderId="8" fillId="2" fontId="17" numFmtId="0" xfId="0" applyAlignment="1" applyBorder="1" applyFont="1">
      <alignment readingOrder="0" shrinkToFit="0" vertical="center" wrapText="0"/>
    </xf>
    <xf borderId="8" fillId="2" fontId="17" numFmtId="0" xfId="0" applyAlignment="1" applyBorder="1" applyFont="1">
      <alignment horizontal="right" readingOrder="0" shrinkToFit="0" vertical="center" wrapText="0"/>
    </xf>
    <xf borderId="8" fillId="2" fontId="23" numFmtId="0" xfId="0" applyAlignment="1" applyBorder="1" applyFont="1">
      <alignment readingOrder="0" shrinkToFit="0" vertical="center" wrapText="0"/>
    </xf>
    <xf borderId="9" fillId="2" fontId="17" numFmtId="0" xfId="0" applyAlignment="1" applyBorder="1" applyFont="1">
      <alignment shrinkToFit="0" vertical="center" wrapText="0"/>
    </xf>
    <xf borderId="0" fillId="2" fontId="17" numFmtId="0" xfId="0" applyAlignment="1" applyFont="1">
      <alignment horizontal="center" readingOrder="0" shrinkToFit="0" vertical="center" wrapText="0"/>
    </xf>
    <xf borderId="0" fillId="2" fontId="17" numFmtId="0" xfId="0" applyAlignment="1" applyFont="1">
      <alignment readingOrder="0" shrinkToFit="0" vertical="center" wrapText="0"/>
    </xf>
    <xf borderId="0" fillId="2" fontId="17" numFmtId="0" xfId="0" applyAlignment="1" applyFont="1">
      <alignment horizontal="right" readingOrder="0" shrinkToFit="0" vertical="center" wrapText="0"/>
    </xf>
    <xf borderId="0" fillId="2" fontId="24" numFmtId="0" xfId="0" applyAlignment="1" applyFont="1">
      <alignment readingOrder="0" shrinkToFit="0" vertical="center" wrapText="0"/>
    </xf>
    <xf borderId="0" fillId="2" fontId="17" numFmtId="0" xfId="0" applyAlignment="1" applyFont="1">
      <alignment shrinkToFit="0" vertical="center" wrapText="0"/>
    </xf>
    <xf borderId="0" fillId="0" fontId="19" numFmtId="0" xfId="0" applyFont="1"/>
    <xf borderId="0" fillId="0" fontId="25" numFmtId="0" xfId="0" applyAlignment="1" applyFont="1">
      <alignment horizontal="center" readingOrder="0"/>
    </xf>
    <xf borderId="0" fillId="0" fontId="25" numFmtId="0" xfId="0" applyAlignment="1" applyFont="1">
      <alignment horizontal="center"/>
    </xf>
    <xf borderId="0" fillId="0" fontId="26" numFmtId="0" xfId="0" applyAlignment="1" applyFont="1">
      <alignment horizontal="center" readingOrder="0"/>
    </xf>
    <xf borderId="0" fillId="0" fontId="26" numFmtId="0" xfId="0" applyAlignment="1" applyFont="1">
      <alignment horizontal="center"/>
    </xf>
  </cellXfs>
  <cellStyles count="1">
    <cellStyle xfId="0" name="Normal" builtinId="0"/>
  </cellStyles>
  <dxfs count="20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63D297"/>
          <bgColor rgb="FF63D297"/>
        </patternFill>
      </fill>
      <border/>
    </dxf>
    <dxf>
      <font/>
      <fill>
        <patternFill patternType="solid">
          <fgColor rgb="FFE7F9EF"/>
          <bgColor rgb="FFE7F9EF"/>
        </patternFill>
      </fill>
      <border/>
    </dxf>
    <dxf>
      <font/>
      <fill>
        <patternFill patternType="solid">
          <fgColor rgb="FFF7CB4D"/>
          <bgColor rgb="FFF7CB4D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  <dxf>
      <font/>
      <fill>
        <patternFill patternType="solid">
          <fgColor rgb="FFF46524"/>
          <bgColor rgb="FFF46524"/>
        </patternFill>
      </fill>
      <border/>
    </dxf>
    <dxf>
      <font/>
      <fill>
        <patternFill patternType="solid">
          <fgColor rgb="FFFFE6DD"/>
          <bgColor rgb="FFFFE6DD"/>
        </patternFill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  <dxf>
      <font/>
      <fill>
        <patternFill patternType="solid">
          <fgColor rgb="FF26A69A"/>
          <bgColor rgb="FF26A69A"/>
        </patternFill>
      </fill>
      <border/>
    </dxf>
    <dxf>
      <font/>
      <fill>
        <patternFill patternType="solid">
          <fgColor rgb="FFDDF2F0"/>
          <bgColor rgb="FFDDF2F0"/>
        </patternFill>
      </fill>
      <border/>
    </dxf>
    <dxf>
      <font/>
      <fill>
        <patternFill patternType="solid">
          <fgColor rgb="FF78909C"/>
          <bgColor rgb="FF78909C"/>
        </patternFill>
      </fill>
      <border/>
    </dxf>
    <dxf>
      <font/>
      <fill>
        <patternFill patternType="solid">
          <fgColor rgb="FFEBEFF1"/>
          <bgColor rgb="FFEBEFF1"/>
        </patternFill>
      </fill>
      <border/>
    </dxf>
  </dxfs>
  <tableStyles count="9">
    <tableStyle count="4" pivot="0" name="lista_id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3" pivot="0" name="regional_01-style">
      <tableStyleElement dxfId="5" type="headerRow"/>
      <tableStyleElement dxfId="2" type="firstRowStripe"/>
      <tableStyleElement dxfId="6" type="secondRowStripe"/>
    </tableStyle>
    <tableStyle count="3" pivot="0" name="regional_02-style">
      <tableStyleElement dxfId="8" type="headerRow"/>
      <tableStyleElement dxfId="2" type="firstRowStripe"/>
      <tableStyleElement dxfId="9" type="secondRowStripe"/>
    </tableStyle>
    <tableStyle count="3" pivot="0" name="regional_03-style">
      <tableStyleElement dxfId="10" type="headerRow"/>
      <tableStyleElement dxfId="2" type="firstRowStripe"/>
      <tableStyleElement dxfId="11" type="secondRowStripe"/>
    </tableStyle>
    <tableStyle count="3" pivot="0" name="regional_04-style">
      <tableStyleElement dxfId="12" type="headerRow"/>
      <tableStyleElement dxfId="2" type="firstRowStripe"/>
      <tableStyleElement dxfId="13" type="secondRowStripe"/>
    </tableStyle>
    <tableStyle count="3" pivot="0" name="regional_05-style">
      <tableStyleElement dxfId="14" type="headerRow"/>
      <tableStyleElement dxfId="2" type="firstRowStripe"/>
      <tableStyleElement dxfId="15" type="secondRowStripe"/>
    </tableStyle>
    <tableStyle count="3" pivot="0" name="regional_06-style">
      <tableStyleElement dxfId="16" type="headerRow"/>
      <tableStyleElement dxfId="2" type="firstRowStripe"/>
      <tableStyleElement dxfId="17" type="secondRowStripe"/>
    </tableStyle>
    <tableStyle count="3" pivot="0" name="regional_07-style">
      <tableStyleElement dxfId="18" type="headerRow"/>
      <tableStyleElement dxfId="2" type="firstRowStripe"/>
      <tableStyleElement dxfId="19" type="secondRowStripe"/>
    </tableStyle>
    <tableStyle count="4" pivot="0" name="lista_id_2026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Z1001" displayName="Tabela_1" name="Tabela_1" id="1">
  <tableColumns count="26">
    <tableColumn name="QTD" id="1"/>
    <tableColumn name="REGIONAL" id="2"/>
    <tableColumn name="ESCOLA" id="3"/>
    <tableColumn name="NOME ESCOLA PONTO ID" id="4"/>
    <tableColumn name="ID" id="5"/>
    <tableColumn name="REGIONAL 2" id="6"/>
    <tableColumn name="Escola" id="7"/>
    <tableColumn name="Coluna 1" id="8"/>
    <tableColumn name="Coluna 2" id="9"/>
    <tableColumn name="Coluna 3" id="10"/>
    <tableColumn name="Coluna 4" id="11"/>
    <tableColumn name="Coluna 5" id="12"/>
    <tableColumn name="Coluna 6" id="13"/>
    <tableColumn name="Coluna 7" id="14"/>
    <tableColumn name="Coluna 8" id="15"/>
    <tableColumn name="Coluna 9" id="16"/>
    <tableColumn name="Coluna 10" id="17"/>
    <tableColumn name="Coluna 11" id="18"/>
    <tableColumn name="Coluna 12" id="19"/>
    <tableColumn name="Coluna 13" id="20"/>
    <tableColumn name="Coluna 14" id="21"/>
    <tableColumn name="Coluna 15" id="22"/>
    <tableColumn name="Coluna 16" id="23"/>
    <tableColumn name="Coluna 17" id="24"/>
    <tableColumn name="Coluna 18" id="25"/>
    <tableColumn name="Coluna 19" id="26"/>
  </tableColumns>
  <tableStyleInfo name="lista_id-style" showColumnStripes="0" showFirstColumn="1" showLastColumn="1" showRowStripes="1"/>
</table>
</file>

<file path=xl/tables/table2.xml><?xml version="1.0" encoding="utf-8"?>
<table xmlns="http://schemas.openxmlformats.org/spreadsheetml/2006/main" headerRowCount="0" ref="A23:R69" displayName="Table_1" name="Table_1" id="2">
  <tableColumns count="1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</tableColumns>
  <tableStyleInfo name="regional_0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A20:Y41" displayName="Table_2" name="Table_2" id="3">
  <tableColumns count="2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</tableColumns>
  <tableStyleInfo name="regional_02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headerRowCount="0" ref="A20:Y37" displayName="Table_3" name="Table_3" id="4">
  <tableColumns count="2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</tableColumns>
  <tableStyleInfo name="regional_0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headerRowCount="0" ref="A16:Y46" displayName="Table_4" name="Table_4" id="5">
  <tableColumns count="2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</tableColumns>
  <tableStyleInfo name="regional_0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headerRowCount="0" ref="A23:Y122" displayName="Table_5" name="Table_5" id="6">
  <tableColumns count="2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</tableColumns>
  <tableStyleInfo name="regional_05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7.xml><?xml version="1.0" encoding="utf-8"?>
<table xmlns="http://schemas.openxmlformats.org/spreadsheetml/2006/main" headerRowCount="0" ref="A25:Y58" displayName="Table_6" name="Table_6" id="7">
  <tableColumns count="2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</tableColumns>
  <tableStyleInfo name="regional_06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8.xml><?xml version="1.0" encoding="utf-8"?>
<table xmlns="http://schemas.openxmlformats.org/spreadsheetml/2006/main" headerRowCount="0" ref="A25:Y68" displayName="Table_7" name="Table_7" id="8">
  <tableColumns count="2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</tableColumns>
  <tableStyleInfo name="regional_07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9.xml><?xml version="1.0" encoding="utf-8"?>
<table xmlns="http://schemas.openxmlformats.org/spreadsheetml/2006/main" ref="A1:I153" displayName="Tabela_ID_2026" name="Tabela_ID_2026" id="9">
  <tableColumns count="9">
    <tableColumn name="QTD" id="1"/>
    <tableColumn name="REGIONAL" id="2"/>
    <tableColumn name="INEP" id="3"/>
    <tableColumn name="ESCOLA" id="4"/>
    <tableColumn name="ID" id="5"/>
    <tableColumn name="URL" id="6"/>
    <tableColumn name="LOCAL" id="7"/>
    <tableColumn name="TURNO" id="8"/>
    <tableColumn name="Coluna 1" id="9"/>
  </tableColumns>
  <tableStyleInfo name="lista_id_2026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7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3" Type="http://schemas.openxmlformats.org/officeDocument/2006/relationships/table" Target="../tables/table8.xml"/></Relationships>
</file>

<file path=xl/worksheets/_rels/sheet12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2V58P2cE5Pji_SQr8tbStBebzVi5HBlDWNh7N3a_hR4/edit" TargetMode="External"/><Relationship Id="rId42" Type="http://schemas.openxmlformats.org/officeDocument/2006/relationships/hyperlink" Target="https://docs.google.com/spreadsheets/d/1RgWjvMTM9rrhJbqMZr8GxtRZMAZrlZPwgjl9aXES-Hw/edit" TargetMode="External"/><Relationship Id="rId41" Type="http://schemas.openxmlformats.org/officeDocument/2006/relationships/hyperlink" Target="https://docs.google.com/spreadsheets/d/1INSuUsv55vxK9McV-Qyl5RoHTH4_m590UAMFKNAET0o/edit" TargetMode="External"/><Relationship Id="rId44" Type="http://schemas.openxmlformats.org/officeDocument/2006/relationships/hyperlink" Target="https://docs.google.com/spreadsheets/d/147DhBLwEV8Y1GUtyqTYRqAXJ4s6QKwkzHB2BrIQyWNM/edit" TargetMode="External"/><Relationship Id="rId43" Type="http://schemas.openxmlformats.org/officeDocument/2006/relationships/hyperlink" Target="https://docs.google.com/spreadsheets/d/19YCpTt3Ha7YVjFC2p0i54dwDCCoET1fKH9UgR9t5WHc/edit" TargetMode="External"/><Relationship Id="rId46" Type="http://schemas.openxmlformats.org/officeDocument/2006/relationships/hyperlink" Target="https://docs.google.com/spreadsheets/d/1XJRAavMYMsnxFnYxr7VIDVyg9jGe_SSiF5OtP7wn9Ys/edit" TargetMode="External"/><Relationship Id="rId45" Type="http://schemas.openxmlformats.org/officeDocument/2006/relationships/hyperlink" Target="https://docs.google.com/spreadsheets/d/1QpXRxwtWtEpgEs6HHqL44GaKnuaCVl3wHg1cBgqnxro/edit" TargetMode="External"/><Relationship Id="rId107" Type="http://schemas.openxmlformats.org/officeDocument/2006/relationships/hyperlink" Target="https://docs.google.com/spreadsheets/d/1plxAg5Iwx16SpEFVQmW2dLC31GqPRAzRpjeJG3W1EMk/edit" TargetMode="External"/><Relationship Id="rId106" Type="http://schemas.openxmlformats.org/officeDocument/2006/relationships/hyperlink" Target="https://docs.google.com/spreadsheets/d/1t84eibU921dPw-mzz6SfjudYKOV9fs1J21kL70fAIP8/edit" TargetMode="External"/><Relationship Id="rId105" Type="http://schemas.openxmlformats.org/officeDocument/2006/relationships/hyperlink" Target="https://docs.google.com/spreadsheets/d/1yaAU3Gdb2v8h45PSxbWZDT_SX1SQKiBVwX6abSHOMX8/edit" TargetMode="External"/><Relationship Id="rId104" Type="http://schemas.openxmlformats.org/officeDocument/2006/relationships/hyperlink" Target="https://docs.google.com/spreadsheets/d/1dcZPOdojCR82JqcyFjm6YdnWVcXVh3Q6YP05fPJBTHo/edit" TargetMode="External"/><Relationship Id="rId109" Type="http://schemas.openxmlformats.org/officeDocument/2006/relationships/hyperlink" Target="https://docs.google.com/spreadsheets/d/1yTZYIb0h2vqD2-SyIdV5LywcT3oM9rFdDAz-FPraNl4/edit" TargetMode="External"/><Relationship Id="rId108" Type="http://schemas.openxmlformats.org/officeDocument/2006/relationships/hyperlink" Target="https://docs.google.com/spreadsheets/d/1k5YnUvaI-0ZuFq4jlWB8cKUhHLAtiIBWFTA1thosQq8/edit" TargetMode="External"/><Relationship Id="rId48" Type="http://schemas.openxmlformats.org/officeDocument/2006/relationships/hyperlink" Target="https://docs.google.com/spreadsheets/d/1jCIdSaOd6MOpjGtPdA3A34SyGjCTzTEgSaeyg-SLNYk/edit" TargetMode="External"/><Relationship Id="rId47" Type="http://schemas.openxmlformats.org/officeDocument/2006/relationships/hyperlink" Target="https://docs.google.com/spreadsheets/d/1_snRNZeBHkdIhomzYKNhCGr46EgMfpGSqpG5oe_yWUw/edit" TargetMode="External"/><Relationship Id="rId49" Type="http://schemas.openxmlformats.org/officeDocument/2006/relationships/hyperlink" Target="https://docs.google.com/spreadsheets/d/1pyQH3mhSYibG5XRe3m-5Zh-ZlmHW72-MZjkZlfLZdQU/edit" TargetMode="External"/><Relationship Id="rId103" Type="http://schemas.openxmlformats.org/officeDocument/2006/relationships/hyperlink" Target="https://docs.google.com/spreadsheets/d/1gSBsqiuD1SBV-Fw6SViuoLNDAcFhTb8z86R52jbX0Gg/edit" TargetMode="External"/><Relationship Id="rId102" Type="http://schemas.openxmlformats.org/officeDocument/2006/relationships/hyperlink" Target="https://docs.google.com/spreadsheets/d/18EUIOBAJhrU8qUqKyspp8ere_8UIgLUxs5GYrd9hJIo/edit" TargetMode="External"/><Relationship Id="rId101" Type="http://schemas.openxmlformats.org/officeDocument/2006/relationships/hyperlink" Target="https://docs.google.com/spreadsheets/d/1hx7sNYGGv3rC55ygsdhwhZulTCWqTepRGwNpGwL4lps/edit" TargetMode="External"/><Relationship Id="rId100" Type="http://schemas.openxmlformats.org/officeDocument/2006/relationships/hyperlink" Target="https://docs.google.com/spreadsheets/d/1nkw2LrqLerxk-bLDuPe5v-Q8hPbGam_i9A9mP82Axs8/edit" TargetMode="External"/><Relationship Id="rId31" Type="http://schemas.openxmlformats.org/officeDocument/2006/relationships/hyperlink" Target="https://docs.google.com/spreadsheets/d/1i4y3BeLWXrC59JEN675QzVjmTrPXc3VP027lrJ-D6dQ/edit" TargetMode="External"/><Relationship Id="rId30" Type="http://schemas.openxmlformats.org/officeDocument/2006/relationships/hyperlink" Target="https://docs.google.com/spreadsheets/d/1_I0Ksdr-sv5CSLi2-kyWW5juwwF5_i1ux9tx58I988A/edit" TargetMode="External"/><Relationship Id="rId33" Type="http://schemas.openxmlformats.org/officeDocument/2006/relationships/hyperlink" Target="https://docs.google.com/spreadsheets/d/1zZWCfu6IRZGl2lQtPKK0oHWq5eBsNpxTawbob_TGSoo/edit" TargetMode="External"/><Relationship Id="rId32" Type="http://schemas.openxmlformats.org/officeDocument/2006/relationships/hyperlink" Target="https://docs.google.com/spreadsheets/d/1m8msSdmwt6dTBs7qilT3wuZBElGvdYUe4LAKqZLxZtw/edit" TargetMode="External"/><Relationship Id="rId35" Type="http://schemas.openxmlformats.org/officeDocument/2006/relationships/hyperlink" Target="https://docs.google.com/spreadsheets/d/109x-pf-ouyTSvhegdfsqWY8twftS3OP5XRo7277sAZ8/edit" TargetMode="External"/><Relationship Id="rId34" Type="http://schemas.openxmlformats.org/officeDocument/2006/relationships/hyperlink" Target="https://docs.google.com/spreadsheets/d/1zrfN9zMvtKGXowDvgLa8sBwhDyuCBrMHJnsqmJSi9YQ/edit" TargetMode="External"/><Relationship Id="rId37" Type="http://schemas.openxmlformats.org/officeDocument/2006/relationships/hyperlink" Target="https://docs.google.com/spreadsheets/d/10rh43a3XFZokMANB7hNiwdPhbJ-8dB3txWJA3kPUsAk/edit" TargetMode="External"/><Relationship Id="rId36" Type="http://schemas.openxmlformats.org/officeDocument/2006/relationships/hyperlink" Target="https://docs.google.com/spreadsheets/d/1-IX4vt-USfwvZDVisHj5WEsmyXPxfQXF1wYBsp0Ni9A/edit" TargetMode="External"/><Relationship Id="rId39" Type="http://schemas.openxmlformats.org/officeDocument/2006/relationships/hyperlink" Target="https://docs.google.com/spreadsheets/d/13B_w21dhitIxsj8pYqYKXmq1b6QkNRx3ddAcnKlJFtM/edit" TargetMode="External"/><Relationship Id="rId38" Type="http://schemas.openxmlformats.org/officeDocument/2006/relationships/hyperlink" Target="https://docs.google.com/spreadsheets/d/17d3ZE-h8pvXkQTku-2RI2UzfVHACJSOO6e1AnTtapgY/edit" TargetMode="External"/><Relationship Id="rId20" Type="http://schemas.openxmlformats.org/officeDocument/2006/relationships/hyperlink" Target="https://docs.google.com/spreadsheets/d/10Krmjow5WHNiF2o1k61-B2aPOY0HxRaz_LYgmUHYvKU/edit" TargetMode="External"/><Relationship Id="rId22" Type="http://schemas.openxmlformats.org/officeDocument/2006/relationships/hyperlink" Target="https://docs.google.com/spreadsheets/d/16pU2X4xPkYNrMtF-vtzclTEabJig6tCIbXUoLjxPHwE/edit" TargetMode="External"/><Relationship Id="rId21" Type="http://schemas.openxmlformats.org/officeDocument/2006/relationships/hyperlink" Target="https://docs.google.com/spreadsheets/d/14ObKm5mzjIjElqPjQvZGM5eefOYA7YLzD5Sa5sBSg98/edit" TargetMode="External"/><Relationship Id="rId24" Type="http://schemas.openxmlformats.org/officeDocument/2006/relationships/hyperlink" Target="https://docs.google.com/spreadsheets/d/1JGHDcr0qbxa50pytv8M_-EJ9_AhploU_gy7FALaZm8s/edit" TargetMode="External"/><Relationship Id="rId23" Type="http://schemas.openxmlformats.org/officeDocument/2006/relationships/hyperlink" Target="https://docs.google.com/spreadsheets/d/1GQTR8k-xw-H6TdQ1cfc0APXSh6cPoZhoDFSWu9VdGyo/edit" TargetMode="External"/><Relationship Id="rId129" Type="http://schemas.openxmlformats.org/officeDocument/2006/relationships/hyperlink" Target="https://docs.google.com/spreadsheets/d/1pGg9rQXZ2AN3shayGD3dCX7pd4G2O79RKgsK3MM8Hgc/edit" TargetMode="External"/><Relationship Id="rId128" Type="http://schemas.openxmlformats.org/officeDocument/2006/relationships/hyperlink" Target="https://docs.google.com/spreadsheets/d/1qlx7rH9Va8IeDK7GK1tabf7-yjZKRpgW8gwsRGqWchw/edit" TargetMode="External"/><Relationship Id="rId127" Type="http://schemas.openxmlformats.org/officeDocument/2006/relationships/hyperlink" Target="https://docs.google.com/spreadsheets/d/1rCQxmx0My2AnvxqPPK-JbU8nXEqCIA8E66lZf5tCz4c/edit" TargetMode="External"/><Relationship Id="rId126" Type="http://schemas.openxmlformats.org/officeDocument/2006/relationships/hyperlink" Target="https://docs.google.com/spreadsheets/d/1sU-HOcwgde49RcFQVMiFTzfayaYXuAqqan5s1AU8YxE/edit" TargetMode="External"/><Relationship Id="rId26" Type="http://schemas.openxmlformats.org/officeDocument/2006/relationships/hyperlink" Target="https://docs.google.com/spreadsheets/d/1O2DExwtvAprujsGy1FDdIWEA8TxrM-2vvwr3Gx3AmmQ/edit" TargetMode="External"/><Relationship Id="rId121" Type="http://schemas.openxmlformats.org/officeDocument/2006/relationships/hyperlink" Target="https://docs.google.com/spreadsheets/d/17K8NXHT7JP2rgzdyz4_UwSrHIEQiOq27n74ExAPO_aI/edit?gid=1190714847" TargetMode="External"/><Relationship Id="rId25" Type="http://schemas.openxmlformats.org/officeDocument/2006/relationships/hyperlink" Target="https://docs.google.com/spreadsheets/d/1MMkJj-Z8OKgeCSBmKJ7ReoIXD0VKw7pKAOzSmw-QLmo/edit" TargetMode="External"/><Relationship Id="rId120" Type="http://schemas.openxmlformats.org/officeDocument/2006/relationships/hyperlink" Target="https://docs.google.com/spreadsheets/d/17sWiMWCIVk6w6oojE3YL7RmzLDi_FuHOD_g2-JosTTQ/edit" TargetMode="External"/><Relationship Id="rId28" Type="http://schemas.openxmlformats.org/officeDocument/2006/relationships/hyperlink" Target="https://docs.google.com/spreadsheets/d/1Q32Im_-SgbkgYkiscVnEXcjpyq6ixl-0ehfu9dDDNPY/edit" TargetMode="External"/><Relationship Id="rId27" Type="http://schemas.openxmlformats.org/officeDocument/2006/relationships/hyperlink" Target="https://docs.google.com/spreadsheets/d/1OJqv0V8KANpk--qDtzwOT29wh5CeyqC9LePPkk-sEm4/edit" TargetMode="External"/><Relationship Id="rId125" Type="http://schemas.openxmlformats.org/officeDocument/2006/relationships/hyperlink" Target="https://docs.google.com/spreadsheets/d/1wPoq3ZReFLyQCC0Rc2jNYRflhUwOxkQ9KAOI1C-2J3I/edit" TargetMode="External"/><Relationship Id="rId29" Type="http://schemas.openxmlformats.org/officeDocument/2006/relationships/hyperlink" Target="https://docs.google.com/spreadsheets/d/1T-_OfljTZP-hSrWNXe95lYqA8rYntPctfg9OtkeFMyM/edit" TargetMode="External"/><Relationship Id="rId124" Type="http://schemas.openxmlformats.org/officeDocument/2006/relationships/hyperlink" Target="https://docs.google.com/spreadsheets/d/1yQXEWKJYWQ4gYSEmxQDn4oIX-E4gTL9KyL0Qt6Z3-bg/edit" TargetMode="External"/><Relationship Id="rId123" Type="http://schemas.openxmlformats.org/officeDocument/2006/relationships/hyperlink" Target="https://docs.google.com/spreadsheets/d/16aB2C_eN9rR308ClY8Nr-dasZ6aqJmJNJSamhS0kSJA/edit" TargetMode="External"/><Relationship Id="rId122" Type="http://schemas.openxmlformats.org/officeDocument/2006/relationships/hyperlink" Target="https://docs.google.com/spreadsheets/d/16goLxYED-TrwFYjVIM0OuoPrIzICp5yAbFIT1ltKS5s/edit" TargetMode="External"/><Relationship Id="rId95" Type="http://schemas.openxmlformats.org/officeDocument/2006/relationships/hyperlink" Target="https://docs.google.com/spreadsheets/d/1y1ybmqO59g0xsUZjywJRguq5a592oTuciI8dpjrX8ss/edit" TargetMode="External"/><Relationship Id="rId94" Type="http://schemas.openxmlformats.org/officeDocument/2006/relationships/hyperlink" Target="https://docs.google.com/spreadsheets/d/1MDDSQRPRDtyeAG0SB8maV3wUyzipMUrzRKO4_3qM_cQ/edit" TargetMode="External"/><Relationship Id="rId97" Type="http://schemas.openxmlformats.org/officeDocument/2006/relationships/hyperlink" Target="https://docs.google.com/spreadsheets/d/1IlYYmVuxvBvhmj9IIh0UySeRhsT5doa_zuuL3LzQQ9w/edit" TargetMode="External"/><Relationship Id="rId96" Type="http://schemas.openxmlformats.org/officeDocument/2006/relationships/hyperlink" Target="https://docs.google.com/spreadsheets/d/1M4qLWLdYuPaTeuvAx-G9A6wVTU2fgt_AlXFmRsnrGxQ/edit" TargetMode="External"/><Relationship Id="rId11" Type="http://schemas.openxmlformats.org/officeDocument/2006/relationships/hyperlink" Target="https://docs.google.com/spreadsheets/d/1TO0_PxndPYimjwQDlOLGtAAS6dlS2p2dHUPN2jLY_4Q/edit" TargetMode="External"/><Relationship Id="rId99" Type="http://schemas.openxmlformats.org/officeDocument/2006/relationships/hyperlink" Target="https://docs.google.com/spreadsheets/d/1-SoE2_GsmPC-nk6hYJ8gSHnal5ZIj0GL6lJeV3rDOU8/edit" TargetMode="External"/><Relationship Id="rId10" Type="http://schemas.openxmlformats.org/officeDocument/2006/relationships/hyperlink" Target="https://docs.google.com/spreadsheets/d/1eTXYw3TkHKp5DvadL-DL_uS2unwn8OF92Glsa4xdIGk/edit" TargetMode="External"/><Relationship Id="rId98" Type="http://schemas.openxmlformats.org/officeDocument/2006/relationships/hyperlink" Target="https://docs.google.com/spreadsheets/d/1HXaoTH-PKjGN4K3omaNZnV26xMARmI9eMi9FQgB2-Uw/edit" TargetMode="External"/><Relationship Id="rId13" Type="http://schemas.openxmlformats.org/officeDocument/2006/relationships/hyperlink" Target="https://docs.google.com/spreadsheets/d/1IFFoxrNJDsvyD9RnS3a01eWXu1tpI9SLZ6ksXMtZD_8/edit" TargetMode="External"/><Relationship Id="rId12" Type="http://schemas.openxmlformats.org/officeDocument/2006/relationships/hyperlink" Target="https://docs.google.com/spreadsheets/d/1eXldVBQ-idsoakNjNjPFkAbEeNDMAKNNyFeTIsfheZ8/edit" TargetMode="External"/><Relationship Id="rId91" Type="http://schemas.openxmlformats.org/officeDocument/2006/relationships/hyperlink" Target="https://docs.google.com/spreadsheets/d/1Re0TIDZFiwAOrWjLqW6mu14plPMy9nxJjqDotXuHUns/edit" TargetMode="External"/><Relationship Id="rId90" Type="http://schemas.openxmlformats.org/officeDocument/2006/relationships/hyperlink" Target="https://docs.google.com/spreadsheets/d/1T5m0PsrZG5j9ozXnRgnVucJ31EMnDCfTbe2KUw9Nvpk/edit" TargetMode="External"/><Relationship Id="rId93" Type="http://schemas.openxmlformats.org/officeDocument/2006/relationships/hyperlink" Target="https://docs.google.com/spreadsheets/d/1Me7_oCy_wuu0UOSbm11jaByWHuwwYTI4Tj9r_3bsrD0/edit" TargetMode="External"/><Relationship Id="rId92" Type="http://schemas.openxmlformats.org/officeDocument/2006/relationships/hyperlink" Target="https://docs.google.com/spreadsheets/d/1OkJZGXd19NvWPEZwzYlzS5MI3lt9QFYJu0UUySkRjes/edit" TargetMode="External"/><Relationship Id="rId118" Type="http://schemas.openxmlformats.org/officeDocument/2006/relationships/hyperlink" Target="https://docs.google.com/spreadsheets/d/19OqzWiegoX57X7CHyBgx4LTzWdTjERss_e-f2MpfxG4/edit" TargetMode="External"/><Relationship Id="rId117" Type="http://schemas.openxmlformats.org/officeDocument/2006/relationships/hyperlink" Target="https://docs.google.com/spreadsheets/d/1DhrCuSYlz5ithxqBrtX8-553lYVcKvbpw6oCCDWfpqk/edit" TargetMode="External"/><Relationship Id="rId116" Type="http://schemas.openxmlformats.org/officeDocument/2006/relationships/hyperlink" Target="https://docs.google.com/spreadsheets/d/1IiiV8BwlZ8yIIrYJ5Ii42C5xGO1qtxcsRGf4K0Q0AW8/edit" TargetMode="External"/><Relationship Id="rId115" Type="http://schemas.openxmlformats.org/officeDocument/2006/relationships/hyperlink" Target="https://docs.google.com/spreadsheets/d/1PrH2uFzZAqG_rGEkYbgkY4u4L5VFbDQIaHBmxf_7Zu8/edit" TargetMode="External"/><Relationship Id="rId119" Type="http://schemas.openxmlformats.org/officeDocument/2006/relationships/hyperlink" Target="https://docs.google.com/spreadsheets/d/18YWb8p10dgo-mtUFVKjPVUX46gmLu93hlt07OQO2Dkc/edit" TargetMode="External"/><Relationship Id="rId15" Type="http://schemas.openxmlformats.org/officeDocument/2006/relationships/hyperlink" Target="https://docs.google.com/spreadsheets/d/1kzmhyLgDnEW2X2PcWbv5jN0DLbiaMwG2t9Vg6tgLLvU/edit" TargetMode="External"/><Relationship Id="rId110" Type="http://schemas.openxmlformats.org/officeDocument/2006/relationships/hyperlink" Target="https://docs.google.com/spreadsheets/d/1ZiuCxP70WGkopdQ14-qx-QMu7BOsGd5SPEgcX72OESY/edit" TargetMode="External"/><Relationship Id="rId14" Type="http://schemas.openxmlformats.org/officeDocument/2006/relationships/hyperlink" Target="https://docs.google.com/spreadsheets/d/1kc7WT64qa_CJ1p0l9xpVYY1hPUEx44IfbR_B5MvNfNs/edit" TargetMode="External"/><Relationship Id="rId17" Type="http://schemas.openxmlformats.org/officeDocument/2006/relationships/hyperlink" Target="https://docs.google.com/spreadsheets/d/1r5HfDgfvxRVtffWlqJo_klSgF_pTMyskcIysoKpbNI0/edit" TargetMode="External"/><Relationship Id="rId16" Type="http://schemas.openxmlformats.org/officeDocument/2006/relationships/hyperlink" Target="https://docs.google.com/spreadsheets/d/1oXT4J9ykZu37Y5aI1Mu-E56TQFvJxNmuvZkpgSR-UJ8/edit" TargetMode="External"/><Relationship Id="rId19" Type="http://schemas.openxmlformats.org/officeDocument/2006/relationships/hyperlink" Target="https://docs.google.com/spreadsheets/d/1zE08cg4vk5i6ib4UBCQiy6Fkyj3ZkAvyrQ_nFVnU4GU/edit" TargetMode="External"/><Relationship Id="rId114" Type="http://schemas.openxmlformats.org/officeDocument/2006/relationships/hyperlink" Target="https://docs.google.com/spreadsheets/d/1QYehmCOgewjmMtZjuLmjQHaRIhkIJ8mID9JsCXDMKLo/edit" TargetMode="External"/><Relationship Id="rId18" Type="http://schemas.openxmlformats.org/officeDocument/2006/relationships/hyperlink" Target="https://docs.google.com/spreadsheets/d/1tDLaR5xj1YCPSi-PdcnRHSERynNXdMT1MVTVBmCOS5g/edit" TargetMode="External"/><Relationship Id="rId113" Type="http://schemas.openxmlformats.org/officeDocument/2006/relationships/hyperlink" Target="https://docs.google.com/spreadsheets/d/1Y0B5G84zDai4ZYUa0QK2AYLefxJs6_ecMbM_t-oCoBY/edit" TargetMode="External"/><Relationship Id="rId112" Type="http://schemas.openxmlformats.org/officeDocument/2006/relationships/hyperlink" Target="https://docs.google.com/spreadsheets/d/1ZjGlZ5VKB4BLmRy3NlEguuiJwpr6nasWO0RvD8hdXe0/edit" TargetMode="External"/><Relationship Id="rId111" Type="http://schemas.openxmlformats.org/officeDocument/2006/relationships/hyperlink" Target="https://docs.google.com/spreadsheets/d/1_mHlp7gHcKmN-Nem5MrOM7bJnRzpioLA2jBpfwDjPrg/edit" TargetMode="External"/><Relationship Id="rId84" Type="http://schemas.openxmlformats.org/officeDocument/2006/relationships/hyperlink" Target="https://docs.google.com/spreadsheets/d/1YBGgghBIxELuC_m8tVQoglUb9qL3e_u847n-aQBgC-I/edit" TargetMode="External"/><Relationship Id="rId83" Type="http://schemas.openxmlformats.org/officeDocument/2006/relationships/hyperlink" Target="https://docs.google.com/spreadsheets/d/1an1esyqjEGDzUgNt_Tro9LwB3Qi9_01Z9y7c8BxMgE0/edit" TargetMode="External"/><Relationship Id="rId86" Type="http://schemas.openxmlformats.org/officeDocument/2006/relationships/hyperlink" Target="https://docs.google.com/spreadsheets/d/1SfMm6s-gUsxvpkbENZP7JznvCLFHeO2uXrNHzFy-_NM/edit" TargetMode="External"/><Relationship Id="rId85" Type="http://schemas.openxmlformats.org/officeDocument/2006/relationships/hyperlink" Target="https://docs.google.com/spreadsheets/d/1Xr6qW_wh0m5KY3tfS0zxvJI0xRB89COj2zoJyH-rvgI/edit" TargetMode="External"/><Relationship Id="rId88" Type="http://schemas.openxmlformats.org/officeDocument/2006/relationships/hyperlink" Target="https://docs.google.com/spreadsheets/d/1Y2WFETt_Xa-VRhD0lg32q2_aPEzydWvzBwQMpxLGWEc/edit" TargetMode="External"/><Relationship Id="rId150" Type="http://schemas.openxmlformats.org/officeDocument/2006/relationships/hyperlink" Target="https://docs.google.com/spreadsheets/d/1Xuw2nQGV9rbf0MEW5NRSI1EXBzx7Tt_AtwzM2G3RlXY/edit" TargetMode="External"/><Relationship Id="rId87" Type="http://schemas.openxmlformats.org/officeDocument/2006/relationships/hyperlink" Target="https://docs.google.com/spreadsheets/d/1bcqsXaK15GTbi-g1D5JKs0yxHyhU3cJqXDF24WMAHrw/edit" TargetMode="External"/><Relationship Id="rId89" Type="http://schemas.openxmlformats.org/officeDocument/2006/relationships/hyperlink" Target="https://docs.google.com/spreadsheets/d/1_zBnzmq9k65tipARCBL0yE4E1ZBxc40L0ZXL3_I8JDc/edit" TargetMode="External"/><Relationship Id="rId80" Type="http://schemas.openxmlformats.org/officeDocument/2006/relationships/hyperlink" Target="https://docs.google.com/spreadsheets/d/105dEq5x2TnV6LEtSxeNhAe6QenY9fqxwRONcam-sv0o/edit" TargetMode="External"/><Relationship Id="rId82" Type="http://schemas.openxmlformats.org/officeDocument/2006/relationships/hyperlink" Target="https://docs.google.com/spreadsheets/d/1grFQmqqRzhE3JQz98_D3hUSqY8RHOc8Gqi536VvBfno/edit" TargetMode="External"/><Relationship Id="rId81" Type="http://schemas.openxmlformats.org/officeDocument/2006/relationships/hyperlink" Target="https://docs.google.com/spreadsheets/d/1-EnWrM4iHnkNZ1a0AtLrs2kn906IMVzwoXXXpzvbyCc/edit" TargetMode="External"/><Relationship Id="rId1" Type="http://schemas.openxmlformats.org/officeDocument/2006/relationships/hyperlink" Target="https://docs.google.com/spreadsheets/d/1BaWhjLEBP1M-wsQ715H5beXWWPvqkowgY3D1v-JQEQk/edit?gid=585939456" TargetMode="External"/><Relationship Id="rId2" Type="http://schemas.openxmlformats.org/officeDocument/2006/relationships/hyperlink" Target="https://docs.google.com/spreadsheets/d/1B3OcqL2i8XrU5mKssd98vCYfSAwp8OHFLRh44x3ZgWU/edit" TargetMode="External"/><Relationship Id="rId3" Type="http://schemas.openxmlformats.org/officeDocument/2006/relationships/hyperlink" Target="https://docs.google.com/spreadsheets/d/1X8w1UYpig3Vfj0717fmV8MFUOd73ViJA029X_QCIT2Y/edit" TargetMode="External"/><Relationship Id="rId149" Type="http://schemas.openxmlformats.org/officeDocument/2006/relationships/hyperlink" Target="https://docs.google.com/spreadsheets/d/1nvKPd3nf9Ib9U2iXCStRr73rAZFAJLtUo0YS41X-1DA/edit" TargetMode="External"/><Relationship Id="rId4" Type="http://schemas.openxmlformats.org/officeDocument/2006/relationships/hyperlink" Target="https://docs.google.com/spreadsheets/d/1bYiD3kJ38elsxhhEC6l-DBTIQJ_cApH_R9BNwt0MWeA/edit" TargetMode="External"/><Relationship Id="rId148" Type="http://schemas.openxmlformats.org/officeDocument/2006/relationships/hyperlink" Target="https://docs.google.com/spreadsheets/d/1gvlFgHmwIQla03QmX-p0TZsAfRvNuQ1O2BeBeEjAd40/edit" TargetMode="External"/><Relationship Id="rId9" Type="http://schemas.openxmlformats.org/officeDocument/2006/relationships/hyperlink" Target="https://docs.google.com/spreadsheets/d/1OAdf9I8lmQRU0QwE_PMqqmOH4XR2Th1jilQedWQFrqQ/edit" TargetMode="External"/><Relationship Id="rId143" Type="http://schemas.openxmlformats.org/officeDocument/2006/relationships/hyperlink" Target="https://docs.google.com/spreadsheets/d/1IzoXdNvxjIN8IVt17FOc6sHAC5Kz6CHFroyIuJnWfno/edit" TargetMode="External"/><Relationship Id="rId142" Type="http://schemas.openxmlformats.org/officeDocument/2006/relationships/hyperlink" Target="https://docs.google.com/spreadsheets/d/1U2mvZmlCnm2of5wXIhqMEwwxcEaE4cGtfHJxuVw1ao0/edit" TargetMode="External"/><Relationship Id="rId141" Type="http://schemas.openxmlformats.org/officeDocument/2006/relationships/hyperlink" Target="https://docs.google.com/spreadsheets/d/1hOj6VWokQiAIR7iApHiOA5I7pGvwrcPifGuAXPM90Oc/edit" TargetMode="External"/><Relationship Id="rId140" Type="http://schemas.openxmlformats.org/officeDocument/2006/relationships/hyperlink" Target="https://docs.google.com/spreadsheets/d/1jtqo4H7RLNuCsuGE1UBiwPB9rIl1ylXZSfIviRSy5uU/edit" TargetMode="External"/><Relationship Id="rId5" Type="http://schemas.openxmlformats.org/officeDocument/2006/relationships/hyperlink" Target="https://docs.google.com/spreadsheets/d/1C69tHEi4jt9vpdrPKdqjcNWk4q7dVdCWcym8kJcnDCo/edit" TargetMode="External"/><Relationship Id="rId147" Type="http://schemas.openxmlformats.org/officeDocument/2006/relationships/hyperlink" Target="https://docs.google.com/spreadsheets/d/1hqFUDzXZk1r3tKKrXCtkmt4EKHJ2MbRX3umMXFQUD2k/edit" TargetMode="External"/><Relationship Id="rId6" Type="http://schemas.openxmlformats.org/officeDocument/2006/relationships/hyperlink" Target="https://docs.google.com/spreadsheets/d/1YrTBQjU_kAPbOD1NEXHpOFXTK6CoZyiQVnCeWzVc6jE/edit" TargetMode="External"/><Relationship Id="rId146" Type="http://schemas.openxmlformats.org/officeDocument/2006/relationships/hyperlink" Target="https://docs.google.com/spreadsheets/d/1lT2y8Svk34E-G6eGncgVJaUBx0puh02CgDB86juX4WA/edit" TargetMode="External"/><Relationship Id="rId7" Type="http://schemas.openxmlformats.org/officeDocument/2006/relationships/hyperlink" Target="https://docs.google.com/spreadsheets/d/1bZhfPgqzhqHKhjlbb7-olYgEaLvnUOZKluxZZDJxGW4/edit" TargetMode="External"/><Relationship Id="rId145" Type="http://schemas.openxmlformats.org/officeDocument/2006/relationships/hyperlink" Target="https://docs.google.com/spreadsheets/d/1hueDgmMxKT_BNS94lrFElCPfLiz1Xmd-npLBTEryf9A/edit" TargetMode="External"/><Relationship Id="rId8" Type="http://schemas.openxmlformats.org/officeDocument/2006/relationships/hyperlink" Target="https://docs.google.com/spreadsheets/d/1WUWJ14hayEglgZHzot5Fnc6Kwv20TPdUOcV0KYB3Lso/edit" TargetMode="External"/><Relationship Id="rId144" Type="http://schemas.openxmlformats.org/officeDocument/2006/relationships/hyperlink" Target="https://docs.google.com/spreadsheets/d/13ke3b4L_YC75lI9AIB7iUtB0CY3DFZzAJkBuB-uL4Bc/edit" TargetMode="External"/><Relationship Id="rId73" Type="http://schemas.openxmlformats.org/officeDocument/2006/relationships/hyperlink" Target="https://docs.google.com/spreadsheets/d/1NN4ndG4a5jp2Vx97kI7YEFI8U_3OYHkyfgMUzKDb_9M/edit" TargetMode="External"/><Relationship Id="rId72" Type="http://schemas.openxmlformats.org/officeDocument/2006/relationships/hyperlink" Target="https://docs.google.com/spreadsheets/d/1Nl_xicMsPoS4Dns2XU5HAnq0XQUuXI8Vb6X9dbc-8Jw/edit" TargetMode="External"/><Relationship Id="rId75" Type="http://schemas.openxmlformats.org/officeDocument/2006/relationships/hyperlink" Target="https://docs.google.com/spreadsheets/d/1GaMuMKm6gxJVbB3LEWDM8Q1j8lmcLCFNtkN9qTVlVGg/edit" TargetMode="External"/><Relationship Id="rId74" Type="http://schemas.openxmlformats.org/officeDocument/2006/relationships/hyperlink" Target="https://docs.google.com/spreadsheets/d/1QEaKnvSPvzSG0eSft4wvzcHaVGQ1BEp9P-whOBpyM3k/edit" TargetMode="External"/><Relationship Id="rId77" Type="http://schemas.openxmlformats.org/officeDocument/2006/relationships/hyperlink" Target="https://docs.google.com/spreadsheets/d/16i-KaIpzItmdcXBgziEbkuoznRLqnkBQdTlLtzRbrgA/edit" TargetMode="External"/><Relationship Id="rId76" Type="http://schemas.openxmlformats.org/officeDocument/2006/relationships/hyperlink" Target="https://docs.google.com/spreadsheets/d/1CKBdZhz9BsiF1Hhzng-GHny3mHxuixmNGnHSAU58xSs/edit" TargetMode="External"/><Relationship Id="rId79" Type="http://schemas.openxmlformats.org/officeDocument/2006/relationships/hyperlink" Target="https://docs.google.com/spreadsheets/d/14q3_I35-YjyiRAKUBNoE2ZogwrWancQF2zVKuyc8Z0A/edit" TargetMode="External"/><Relationship Id="rId78" Type="http://schemas.openxmlformats.org/officeDocument/2006/relationships/hyperlink" Target="https://docs.google.com/spreadsheets/d/15Zmayd5NBMgZ-Sbm3r0Z06JPip27VamLNpeRsme60jY/edit" TargetMode="External"/><Relationship Id="rId71" Type="http://schemas.openxmlformats.org/officeDocument/2006/relationships/hyperlink" Target="https://docs.google.com/spreadsheets/d/1RPa6JR977dmX-SEblypy8qdL98gIUtMK9M5s1GBK1Jg/edit" TargetMode="External"/><Relationship Id="rId70" Type="http://schemas.openxmlformats.org/officeDocument/2006/relationships/hyperlink" Target="https://docs.google.com/spreadsheets/d/18zE3qWgUrhAIo0-eGFfehBvK9rMrhA6hAHYMaPak2CM/edit" TargetMode="External"/><Relationship Id="rId139" Type="http://schemas.openxmlformats.org/officeDocument/2006/relationships/hyperlink" Target="https://docs.google.com/spreadsheets/d/1t9WO0tqQBLaRopAHAyzkxLM2a7c9FTcwO8LIyBimRKk/edit" TargetMode="External"/><Relationship Id="rId138" Type="http://schemas.openxmlformats.org/officeDocument/2006/relationships/hyperlink" Target="https://docs.google.com/spreadsheets/d/17eRhTSolGhyUhHi7FL9ku14ycapee660_tdJPmOKIsQ/edit" TargetMode="External"/><Relationship Id="rId137" Type="http://schemas.openxmlformats.org/officeDocument/2006/relationships/hyperlink" Target="https://docs.google.com/spreadsheets/d/1CFjXBkEjTviyhNcn3jD_xFXcWC-5Chu7gtr2sujeKfw/edit" TargetMode="External"/><Relationship Id="rId132" Type="http://schemas.openxmlformats.org/officeDocument/2006/relationships/hyperlink" Target="https://docs.google.com/spreadsheets/d/1kd1jLIHgsdaj7kFXeHDbK0_IadyqPhVGqFi4EzI6ngw/edit" TargetMode="External"/><Relationship Id="rId131" Type="http://schemas.openxmlformats.org/officeDocument/2006/relationships/hyperlink" Target="https://docs.google.com/spreadsheets/d/1lUxJLpFmxWDmyqzmFU2HvJAm229xgFtfMjYvegtv8ds/edit" TargetMode="External"/><Relationship Id="rId130" Type="http://schemas.openxmlformats.org/officeDocument/2006/relationships/hyperlink" Target="https://docs.google.com/spreadsheets/d/1nzJG6sxqZoYkn3nR2cbIND8qc8_Luzwqem0Ipzdeo1Q/edit" TargetMode="External"/><Relationship Id="rId136" Type="http://schemas.openxmlformats.org/officeDocument/2006/relationships/hyperlink" Target="https://docs.google.com/spreadsheets/d/18jY4roe6su9GkO4v6qi3qpMHNXLiVYVlt4XxUdsJtOs/edit" TargetMode="External"/><Relationship Id="rId135" Type="http://schemas.openxmlformats.org/officeDocument/2006/relationships/hyperlink" Target="https://docs.google.com/spreadsheets/d/1iP7CMwAX4KvLJb86c-JuJBflMuUsE9F61IeIT7qqSLA/edit" TargetMode="External"/><Relationship Id="rId134" Type="http://schemas.openxmlformats.org/officeDocument/2006/relationships/hyperlink" Target="https://docs.google.com/spreadsheets/d/1DBzgIWtqJGXm9OlOHW20tNmD7uDnsJgQvOqDCaOhgZg/edit" TargetMode="External"/><Relationship Id="rId133" Type="http://schemas.openxmlformats.org/officeDocument/2006/relationships/hyperlink" Target="https://docs.google.com/spreadsheets/d/1EEQHCu_bbotwyTFHJagO1iQ5iiUyRX_64SVsfPuixqU/edit" TargetMode="External"/><Relationship Id="rId62" Type="http://schemas.openxmlformats.org/officeDocument/2006/relationships/hyperlink" Target="https://docs.google.com/spreadsheets/d/10gXEYduj1A-hyX0fq6YXuycIOqife1JJ0lI5GwuBg3g/edit" TargetMode="External"/><Relationship Id="rId61" Type="http://schemas.openxmlformats.org/officeDocument/2006/relationships/hyperlink" Target="https://docs.google.com/spreadsheets/d/1HBknGIBVAJV8_QDHLvP4zoxGn0Jf4m3X1ONLglV_hKI/edit" TargetMode="External"/><Relationship Id="rId64" Type="http://schemas.openxmlformats.org/officeDocument/2006/relationships/hyperlink" Target="https://docs.google.com/spreadsheets/d/1sFGy0CVHt0Nq9Zjr2AjQlcT9w0UBnWkH2nxE5LTYo-k/edit" TargetMode="External"/><Relationship Id="rId63" Type="http://schemas.openxmlformats.org/officeDocument/2006/relationships/hyperlink" Target="https://docs.google.com/spreadsheets/d/1s8hDp8qmGImwTZs8ankOG2573Yk3tparwSinghHM2WE/edit" TargetMode="External"/><Relationship Id="rId66" Type="http://schemas.openxmlformats.org/officeDocument/2006/relationships/hyperlink" Target="https://docs.google.com/spreadsheets/d/1WbmBXr3OBws4YfvvRKvwCcARPpvNkq1LA6z_INsD9pI/edit" TargetMode="External"/><Relationship Id="rId65" Type="http://schemas.openxmlformats.org/officeDocument/2006/relationships/hyperlink" Target="https://docs.google.com/spreadsheets/d/1cu4pnDk_lXWLtVAayINcBat2yP00gfojVCzzH3BRybA/edit" TargetMode="External"/><Relationship Id="rId68" Type="http://schemas.openxmlformats.org/officeDocument/2006/relationships/hyperlink" Target="https://docs.google.com/spreadsheets/d/1D_4Aqjp4RAl_RJ7AKH_oeNeXQuzMRtewUbo7ye33vPw/edit" TargetMode="External"/><Relationship Id="rId67" Type="http://schemas.openxmlformats.org/officeDocument/2006/relationships/hyperlink" Target="https://docs.google.com/spreadsheets/d/1JlVTgYiwj5RSCzBUV3Wogqztj5nIK118yH8stC56DSI/edit" TargetMode="External"/><Relationship Id="rId60" Type="http://schemas.openxmlformats.org/officeDocument/2006/relationships/hyperlink" Target="https://docs.google.com/spreadsheets/d/1_hooQAzj6Mb0UucgIicmNKBlhzEBxnl97AO0S1b7K7s/edit" TargetMode="External"/><Relationship Id="rId69" Type="http://schemas.openxmlformats.org/officeDocument/2006/relationships/hyperlink" Target="https://docs.google.com/spreadsheets/d/19QRVNHZ6TtMu8wanfxd0FE_K8y07GIXMyywiByFZKY8/edit" TargetMode="External"/><Relationship Id="rId51" Type="http://schemas.openxmlformats.org/officeDocument/2006/relationships/hyperlink" Target="https://docs.google.com/spreadsheets/d/1yiiHOBm25EHUdGF0_uLpl2OB_sBca07jpsxkCjsVc3c/edit" TargetMode="External"/><Relationship Id="rId50" Type="http://schemas.openxmlformats.org/officeDocument/2006/relationships/hyperlink" Target="https://docs.google.com/spreadsheets/d/1tSY3Z5AM-vtACQuq1jB4g7H_VW4YXx8Ysx4pj9VKEGE/edit" TargetMode="External"/><Relationship Id="rId53" Type="http://schemas.openxmlformats.org/officeDocument/2006/relationships/hyperlink" Target="https://docs.google.com/spreadsheets/d/1AmFWWIK05Qtw_-IrRKD8GJ95PGaKo_HN5ybMiQw2-VE/edit" TargetMode="External"/><Relationship Id="rId52" Type="http://schemas.openxmlformats.org/officeDocument/2006/relationships/hyperlink" Target="https://docs.google.com/spreadsheets/d/1-baMM8Hs0U5i0UVgP6ekG5iGhUOU9MGWbq9-PA8m31A/edit" TargetMode="External"/><Relationship Id="rId55" Type="http://schemas.openxmlformats.org/officeDocument/2006/relationships/hyperlink" Target="https://docs.google.com/spreadsheets/d/1LFGgoESGgWEM2kqXhZnNHLDYJu4m1jYhzl0-e4odB2c/edit" TargetMode="External"/><Relationship Id="rId54" Type="http://schemas.openxmlformats.org/officeDocument/2006/relationships/hyperlink" Target="https://docs.google.com/spreadsheets/d/1I4iwc1gJxSWt6m2PAlR3lDGTeBqgh4qJa8erDg3QD2o/edit" TargetMode="External"/><Relationship Id="rId57" Type="http://schemas.openxmlformats.org/officeDocument/2006/relationships/hyperlink" Target="https://docs.google.com/spreadsheets/d/1B4k0g41uKJBuT8ecXx66Yew958T3tr7wAhIwSFOkpjo/edit" TargetMode="External"/><Relationship Id="rId56" Type="http://schemas.openxmlformats.org/officeDocument/2006/relationships/hyperlink" Target="https://docs.google.com/spreadsheets/d/11JcJP1Z5o2G-mOTuZ31oISJ8w9weXayJsE3KlDvo1jQ/edit" TargetMode="External"/><Relationship Id="rId59" Type="http://schemas.openxmlformats.org/officeDocument/2006/relationships/hyperlink" Target="https://docs.google.com/spreadsheets/d/1PKuBb0TMzMjh5RwI6asYVi4e-x-2GSX0BtAOc-Oc6eg/edit" TargetMode="External"/><Relationship Id="rId58" Type="http://schemas.openxmlformats.org/officeDocument/2006/relationships/hyperlink" Target="https://docs.google.com/spreadsheets/d/1PQ6sCM7Acuy-v9EgV-VNafYcJ78d9K0MYfD3PmqHSr0/edit" TargetMode="External"/><Relationship Id="rId153" Type="http://schemas.openxmlformats.org/officeDocument/2006/relationships/drawing" Target="../drawings/drawing12.xml"/><Relationship Id="rId152" Type="http://schemas.openxmlformats.org/officeDocument/2006/relationships/hyperlink" Target="https://docs.google.com/spreadsheets/d/12YFfzKMgMCIdzHag-WsPSn36SLv9LiHjjKIoHc0TCGY/edit" TargetMode="External"/><Relationship Id="rId151" Type="http://schemas.openxmlformats.org/officeDocument/2006/relationships/hyperlink" Target="https://docs.google.com/spreadsheets/d/1UYEOJTHQ52RFo3PLIrlWbNUofqr0gXhwyxpA-ytiG8s/edit" TargetMode="External"/><Relationship Id="rId155" Type="http://schemas.openxmlformats.org/officeDocument/2006/relationships/table" Target="../tables/table9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2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3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4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5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2.86"/>
    <col customWidth="1" min="2" max="2" width="10.86"/>
    <col customWidth="1" min="3" max="3" width="50.57"/>
    <col customWidth="1" min="4" max="4" width="13.29"/>
    <col customWidth="1" min="5" max="6" width="14.57"/>
    <col customWidth="1" min="7" max="7" width="10.0"/>
    <col customWidth="1" min="8" max="8" width="11.71"/>
    <col customWidth="1" min="9" max="10" width="17.57"/>
    <col customWidth="1" min="11" max="11" width="43.57"/>
    <col customWidth="1" min="12" max="12" width="20.0"/>
    <col customWidth="1" min="13" max="13" width="14.0"/>
    <col customWidth="1" min="14" max="14" width="31.29"/>
    <col customWidth="1" min="15" max="15" width="30.86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</row>
    <row r="2">
      <c r="A2" s="1"/>
      <c r="B2" s="1" t="str">
        <f t="array" ref="B2">XLOOKUP(C2,Tabela_1[NOME ESCOLA PONTO ID],Tabela_1[REGIONAL],"NE",0)</f>
        <v>REGIONAL 7</v>
      </c>
      <c r="C2" s="3" t="str">
        <f>IFERROR(__xludf.DUMMYFUNCTION("QUERY(IMPORTRANGE(""1uKq-oONrpMUY9iFCTKiphwYuqeaHi_bPWRJuRcY-Dbc"",""CandidatosFilaDeEspera!A2:N""), ""SELECT * "")"),"CEMEI DR. PAULO MENDES")</f>
        <v>CEMEI DR. PAULO MENDES</v>
      </c>
      <c r="D2" s="1" t="str">
        <f>IFERROR(__xludf.DUMMYFUNCTION("""COMPUTED_VALUE"""),"26194643")</f>
        <v>26194643</v>
      </c>
      <c r="E2" s="1" t="str">
        <f>IFERROR(__xludf.DUMMYFUNCTION("""COMPUTED_VALUE"""),"INFANTIL 1")</f>
        <v>INFANTIL 1</v>
      </c>
      <c r="F2" s="1" t="str">
        <f>IFERROR(__xludf.DUMMYFUNCTION("""COMPUTED_VALUE"""),"Integral")</f>
        <v>Integral</v>
      </c>
      <c r="G2" s="1" t="str">
        <f>IFERROR(__xludf.DUMMYFUNCTION("""COMPUTED_VALUE"""),"Comum")</f>
        <v>Comum</v>
      </c>
      <c r="H2" s="1" t="str">
        <f>IFERROR(__xludf.DUMMYFUNCTION("""COMPUTED_VALUE"""),"1")</f>
        <v>1</v>
      </c>
      <c r="I2" s="4" t="str">
        <f>IFERROR(__xludf.DUMMYFUNCTION("""COMPUTED_VALUE"""),"26032971417")</f>
        <v>26032971417</v>
      </c>
      <c r="J2" s="1" t="str">
        <f>IFERROR(__xludf.DUMMYFUNCTION("""COMPUTED_VALUE"""),"24/03/2026 13:31:53")</f>
        <v>24/03/2026 13:31:53</v>
      </c>
      <c r="K2" s="1" t="str">
        <f>IFERROR(__xludf.DUMMYFUNCTION("""COMPUTED_VALUE"""),"MARIA EDUARDA SANTANA FELIX DA SILVA")</f>
        <v>MARIA EDUARDA SANTANA FELIX DA SILVA</v>
      </c>
      <c r="L2" s="5" t="str">
        <f>IFERROR(__xludf.DUMMYFUNCTION("""COMPUTED_VALUE"""),"004.110.684-90")</f>
        <v>004.110.684-90</v>
      </c>
      <c r="M2" s="5" t="str">
        <f>IFERROR(__xludf.DUMMYFUNCTION("""COMPUTED_VALUE"""),"09/06/2024")</f>
        <v>09/06/2024</v>
      </c>
      <c r="N2" s="1"/>
      <c r="O2" s="1" t="str">
        <f>IFERROR(__xludf.DUMMYFUNCTION("""COMPUTED_VALUE"""),"0")</f>
        <v>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1"/>
      <c r="B3" s="1" t="str">
        <f t="array" ref="B3">XLOOKUP(C3,Tabela_1[NOME ESCOLA PONTO ID],Tabela_1[REGIONAL],"NE",0)</f>
        <v>REGIONAL 7</v>
      </c>
      <c r="C3" s="3" t="str">
        <f>IFERROR(__xludf.DUMMYFUNCTION("""COMPUTED_VALUE"""),"CEMEI DR. PAULO MENDES")</f>
        <v>CEMEI DR. PAULO MENDES</v>
      </c>
      <c r="D3" s="1" t="str">
        <f>IFERROR(__xludf.DUMMYFUNCTION("""COMPUTED_VALUE"""),"26194643")</f>
        <v>26194643</v>
      </c>
      <c r="E3" s="1" t="str">
        <f>IFERROR(__xludf.DUMMYFUNCTION("""COMPUTED_VALUE"""),"INFANTIL 1")</f>
        <v>INFANTIL 1</v>
      </c>
      <c r="F3" s="1" t="str">
        <f>IFERROR(__xludf.DUMMYFUNCTION("""COMPUTED_VALUE"""),"Integral")</f>
        <v>Integral</v>
      </c>
      <c r="G3" s="1" t="str">
        <f>IFERROR(__xludf.DUMMYFUNCTION("""COMPUTED_VALUE"""),"Comum")</f>
        <v>Comum</v>
      </c>
      <c r="H3" s="1" t="str">
        <f>IFERROR(__xludf.DUMMYFUNCTION("""COMPUTED_VALUE"""),"2")</f>
        <v>2</v>
      </c>
      <c r="I3" s="4" t="str">
        <f>IFERROR(__xludf.DUMMYFUNCTION("""COMPUTED_VALUE"""),"26032365428")</f>
        <v>26032365428</v>
      </c>
      <c r="J3" s="1" t="str">
        <f>IFERROR(__xludf.DUMMYFUNCTION("""COMPUTED_VALUE"""),"27/03/2026 12:51:51")</f>
        <v>27/03/2026 12:51:51</v>
      </c>
      <c r="K3" s="1" t="str">
        <f>IFERROR(__xludf.DUMMYFUNCTION("""COMPUTED_VALUE"""),"OLIVER BENJAMIN DA SILVA LIMA")</f>
        <v>OLIVER BENJAMIN DA SILVA LIMA</v>
      </c>
      <c r="L3" s="5" t="str">
        <f>IFERROR(__xludf.DUMMYFUNCTION("""COMPUTED_VALUE"""),"022.780.734-00")</f>
        <v>022.780.734-00</v>
      </c>
      <c r="M3" s="5" t="str">
        <f>IFERROR(__xludf.DUMMYFUNCTION("""COMPUTED_VALUE"""),"13/11/2025")</f>
        <v>13/11/2025</v>
      </c>
      <c r="N3" s="1"/>
      <c r="O3" s="1" t="str">
        <f>IFERROR(__xludf.DUMMYFUNCTION("""COMPUTED_VALUE"""),"0")</f>
        <v>0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1"/>
      <c r="B4" s="1" t="str">
        <f t="array" ref="B4">XLOOKUP(C4,Tabela_1[NOME ESCOLA PONTO ID],Tabela_1[REGIONAL],"NE",0)</f>
        <v>REGIONAL 7</v>
      </c>
      <c r="C4" s="3" t="str">
        <f>IFERROR(__xludf.DUMMYFUNCTION("""COMPUTED_VALUE"""),"CEMEI DR. PAULO MENDES")</f>
        <v>CEMEI DR. PAULO MENDES</v>
      </c>
      <c r="D4" s="1" t="str">
        <f>IFERROR(__xludf.DUMMYFUNCTION("""COMPUTED_VALUE"""),"26194643")</f>
        <v>26194643</v>
      </c>
      <c r="E4" s="1" t="str">
        <f>IFERROR(__xludf.DUMMYFUNCTION("""COMPUTED_VALUE"""),"INFANTIL 1")</f>
        <v>INFANTIL 1</v>
      </c>
      <c r="F4" s="1" t="str">
        <f>IFERROR(__xludf.DUMMYFUNCTION("""COMPUTED_VALUE"""),"Integral")</f>
        <v>Integral</v>
      </c>
      <c r="G4" s="1" t="str">
        <f>IFERROR(__xludf.DUMMYFUNCTION("""COMPUTED_VALUE"""),"Comum")</f>
        <v>Comum</v>
      </c>
      <c r="H4" s="1" t="str">
        <f>IFERROR(__xludf.DUMMYFUNCTION("""COMPUTED_VALUE"""),"3")</f>
        <v>3</v>
      </c>
      <c r="I4" s="4" t="str">
        <f>IFERROR(__xludf.DUMMYFUNCTION("""COMPUTED_VALUE"""),"26052086599")</f>
        <v>26052086599</v>
      </c>
      <c r="J4" s="1" t="str">
        <f>IFERROR(__xludf.DUMMYFUNCTION("""COMPUTED_VALUE"""),"21/05/2026 11:32:39")</f>
        <v>21/05/2026 11:32:39</v>
      </c>
      <c r="K4" s="1" t="str">
        <f>IFERROR(__xludf.DUMMYFUNCTION("""COMPUTED_VALUE"""),"KAUÊ HENRIQUE DE ARAÚJO SILVA")</f>
        <v>KAUÊ HENRIQUE DE ARAÚJO SILVA</v>
      </c>
      <c r="L4" s="5" t="str">
        <f>IFERROR(__xludf.DUMMYFUNCTION("""COMPUTED_VALUE"""),"002.527.454-69")</f>
        <v>002.527.454-69</v>
      </c>
      <c r="M4" s="5" t="str">
        <f>IFERROR(__xludf.DUMMYFUNCTION("""COMPUTED_VALUE"""),"01/04/2024")</f>
        <v>01/04/2024</v>
      </c>
      <c r="N4" s="1"/>
      <c r="O4" s="1" t="str">
        <f>IFERROR(__xludf.DUMMYFUNCTION("""COMPUTED_VALUE"""),"0")</f>
        <v>0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>
      <c r="A5" s="1"/>
      <c r="B5" s="1" t="str">
        <f t="array" ref="B5">XLOOKUP(C5,Tabela_1[NOME ESCOLA PONTO ID],Tabela_1[REGIONAL],"NE",0)</f>
        <v>REGIONAL 7</v>
      </c>
      <c r="C5" s="3" t="str">
        <f>IFERROR(__xludf.DUMMYFUNCTION("""COMPUTED_VALUE"""),"CEMEI DR. PAULO MENDES")</f>
        <v>CEMEI DR. PAULO MENDES</v>
      </c>
      <c r="D5" s="1" t="str">
        <f>IFERROR(__xludf.DUMMYFUNCTION("""COMPUTED_VALUE"""),"26194643")</f>
        <v>26194643</v>
      </c>
      <c r="E5" s="1" t="str">
        <f>IFERROR(__xludf.DUMMYFUNCTION("""COMPUTED_VALUE"""),"INFANTIL 1")</f>
        <v>INFANTIL 1</v>
      </c>
      <c r="F5" s="1" t="str">
        <f>IFERROR(__xludf.DUMMYFUNCTION("""COMPUTED_VALUE"""),"Integral")</f>
        <v>Integral</v>
      </c>
      <c r="G5" s="1" t="str">
        <f>IFERROR(__xludf.DUMMYFUNCTION("""COMPUTED_VALUE"""),"Comum")</f>
        <v>Comum</v>
      </c>
      <c r="H5" s="1" t="str">
        <f>IFERROR(__xludf.DUMMYFUNCTION("""COMPUTED_VALUE"""),"4")</f>
        <v>4</v>
      </c>
      <c r="I5" s="4" t="str">
        <f>IFERROR(__xludf.DUMMYFUNCTION("""COMPUTED_VALUE"""),"26052534169")</f>
        <v>26052534169</v>
      </c>
      <c r="J5" s="1" t="str">
        <f>IFERROR(__xludf.DUMMYFUNCTION("""COMPUTED_VALUE"""),"22/05/2026 09:22:30")</f>
        <v>22/05/2026 09:22:30</v>
      </c>
      <c r="K5" s="1" t="str">
        <f>IFERROR(__xludf.DUMMYFUNCTION("""COMPUTED_VALUE"""),"Aylla Eduarda Marques da Silva")</f>
        <v>Aylla Eduarda Marques da Silva</v>
      </c>
      <c r="L5" s="5" t="str">
        <f>IFERROR(__xludf.DUMMYFUNCTION("""COMPUTED_VALUE"""),"003.643.684-46")</f>
        <v>003.643.684-46</v>
      </c>
      <c r="M5" s="5" t="str">
        <f>IFERROR(__xludf.DUMMYFUNCTION("""COMPUTED_VALUE"""),"27/07/2024")</f>
        <v>27/07/2024</v>
      </c>
      <c r="N5" s="1"/>
      <c r="O5" s="1" t="str">
        <f>IFERROR(__xludf.DUMMYFUNCTION("""COMPUTED_VALUE"""),"0")</f>
        <v>0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1"/>
      <c r="B6" s="1" t="str">
        <f t="array" ref="B6">XLOOKUP(C6,Tabela_1[NOME ESCOLA PONTO ID],Tabela_1[REGIONAL],"NE",0)</f>
        <v>REGIONAL 7</v>
      </c>
      <c r="C6" s="3" t="str">
        <f>IFERROR(__xludf.DUMMYFUNCTION("""COMPUTED_VALUE"""),"CEMEI DR. PAULO MENDES")</f>
        <v>CEMEI DR. PAULO MENDES</v>
      </c>
      <c r="D6" s="1" t="str">
        <f>IFERROR(__xludf.DUMMYFUNCTION("""COMPUTED_VALUE"""),"26194643")</f>
        <v>26194643</v>
      </c>
      <c r="E6" s="1" t="str">
        <f>IFERROR(__xludf.DUMMYFUNCTION("""COMPUTED_VALUE"""),"INFANTIL 1")</f>
        <v>INFANTIL 1</v>
      </c>
      <c r="F6" s="1" t="str">
        <f>IFERROR(__xludf.DUMMYFUNCTION("""COMPUTED_VALUE"""),"Integral")</f>
        <v>Integral</v>
      </c>
      <c r="G6" s="1" t="str">
        <f>IFERROR(__xludf.DUMMYFUNCTION("""COMPUTED_VALUE"""),"Comum")</f>
        <v>Comum</v>
      </c>
      <c r="H6" s="1" t="str">
        <f>IFERROR(__xludf.DUMMYFUNCTION("""COMPUTED_VALUE"""),"5")</f>
        <v>5</v>
      </c>
      <c r="I6" s="4" t="str">
        <f>IFERROR(__xludf.DUMMYFUNCTION("""COMPUTED_VALUE"""),"26062410587")</f>
        <v>26062410587</v>
      </c>
      <c r="J6" s="1" t="str">
        <f>IFERROR(__xludf.DUMMYFUNCTION("""COMPUTED_VALUE"""),"23/06/2026 09:32:02")</f>
        <v>23/06/2026 09:32:02</v>
      </c>
      <c r="K6" s="1" t="str">
        <f>IFERROR(__xludf.DUMMYFUNCTION("""COMPUTED_VALUE"""),"MARIANA LEANDRA TOMAZ DE MELO")</f>
        <v>MARIANA LEANDRA TOMAZ DE MELO</v>
      </c>
      <c r="L6" s="5" t="str">
        <f>IFERROR(__xludf.DUMMYFUNCTION("""COMPUTED_VALUE"""),"004.786.214-93")</f>
        <v>004.786.214-93</v>
      </c>
      <c r="M6" s="5" t="str">
        <f>IFERROR(__xludf.DUMMYFUNCTION("""COMPUTED_VALUE"""),"25/11/2024")</f>
        <v>25/11/2024</v>
      </c>
      <c r="N6" s="1"/>
      <c r="O6" s="1" t="str">
        <f>IFERROR(__xludf.DUMMYFUNCTION("""COMPUTED_VALUE"""),"0")</f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>
      <c r="A7" s="1"/>
      <c r="B7" s="1" t="str">
        <f t="array" ref="B7">XLOOKUP(C7,Tabela_1[NOME ESCOLA PONTO ID],Tabela_1[REGIONAL],"NE",0)</f>
        <v>REGIONAL 7</v>
      </c>
      <c r="C7" s="3" t="str">
        <f>IFERROR(__xludf.DUMMYFUNCTION("""COMPUTED_VALUE"""),"CEMEI DR. PAULO MENDES")</f>
        <v>CEMEI DR. PAULO MENDES</v>
      </c>
      <c r="D7" s="1" t="str">
        <f>IFERROR(__xludf.DUMMYFUNCTION("""COMPUTED_VALUE"""),"26194643")</f>
        <v>26194643</v>
      </c>
      <c r="E7" s="1" t="str">
        <f>IFERROR(__xludf.DUMMYFUNCTION("""COMPUTED_VALUE"""),"INFANTIL 1")</f>
        <v>INFANTIL 1</v>
      </c>
      <c r="F7" s="1" t="str">
        <f>IFERROR(__xludf.DUMMYFUNCTION("""COMPUTED_VALUE"""),"Integral")</f>
        <v>Integral</v>
      </c>
      <c r="G7" s="1" t="str">
        <f>IFERROR(__xludf.DUMMYFUNCTION("""COMPUTED_VALUE"""),"Comum")</f>
        <v>Comum</v>
      </c>
      <c r="H7" s="1" t="str">
        <f>IFERROR(__xludf.DUMMYFUNCTION("""COMPUTED_VALUE"""),"6")</f>
        <v>6</v>
      </c>
      <c r="I7" s="6" t="str">
        <f>IFERROR(__xludf.DUMMYFUNCTION("""COMPUTED_VALUE"""),"26062171235")</f>
        <v>26062171235</v>
      </c>
      <c r="J7" s="1" t="str">
        <f>IFERROR(__xludf.DUMMYFUNCTION("""COMPUTED_VALUE"""),"23/06/2026 09:36:48")</f>
        <v>23/06/2026 09:36:48</v>
      </c>
      <c r="K7" s="1" t="str">
        <f>IFERROR(__xludf.DUMMYFUNCTION("""COMPUTED_VALUE"""),"FERNANDA LEANDRA TOMAZ DE MELO")</f>
        <v>FERNANDA LEANDRA TOMAZ DE MELO</v>
      </c>
      <c r="L7" s="5" t="str">
        <f>IFERROR(__xludf.DUMMYFUNCTION("""COMPUTED_VALUE"""),"004.785.384-05")</f>
        <v>004.785.384-05</v>
      </c>
      <c r="M7" s="5" t="str">
        <f>IFERROR(__xludf.DUMMYFUNCTION("""COMPUTED_VALUE"""),"25/11/2024")</f>
        <v>25/11/2024</v>
      </c>
      <c r="N7" s="1"/>
      <c r="O7" s="1" t="str">
        <f>IFERROR(__xludf.DUMMYFUNCTION("""COMPUTED_VALUE"""),"0")</f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>
      <c r="A8" s="1"/>
      <c r="B8" s="1" t="str">
        <f t="array" ref="B8">XLOOKUP(C8,Tabela_1[NOME ESCOLA PONTO ID],Tabela_1[REGIONAL],"NE",0)</f>
        <v>REGIONAL 7</v>
      </c>
      <c r="C8" s="3" t="str">
        <f>IFERROR(__xludf.DUMMYFUNCTION("""COMPUTED_VALUE"""),"CEMEI DR. PAULO MENDES")</f>
        <v>CEMEI DR. PAULO MENDES</v>
      </c>
      <c r="D8" s="1" t="str">
        <f>IFERROR(__xludf.DUMMYFUNCTION("""COMPUTED_VALUE"""),"26194643")</f>
        <v>26194643</v>
      </c>
      <c r="E8" s="1" t="str">
        <f>IFERROR(__xludf.DUMMYFUNCTION("""COMPUTED_VALUE"""),"INFANTIL 2")</f>
        <v>INFANTIL 2</v>
      </c>
      <c r="F8" s="1" t="str">
        <f>IFERROR(__xludf.DUMMYFUNCTION("""COMPUTED_VALUE"""),"Integral")</f>
        <v>Integral</v>
      </c>
      <c r="G8" s="1" t="str">
        <f>IFERROR(__xludf.DUMMYFUNCTION("""COMPUTED_VALUE"""),"Comum")</f>
        <v>Comum</v>
      </c>
      <c r="H8" s="1" t="str">
        <f>IFERROR(__xludf.DUMMYFUNCTION("""COMPUTED_VALUE"""),"1")</f>
        <v>1</v>
      </c>
      <c r="I8" s="6" t="str">
        <f>IFERROR(__xludf.DUMMYFUNCTION("""COMPUTED_VALUE"""),"26062791417")</f>
        <v>26062791417</v>
      </c>
      <c r="J8" s="1" t="str">
        <f>IFERROR(__xludf.DUMMYFUNCTION("""COMPUTED_VALUE"""),"10/06/2026 11:22:14")</f>
        <v>10/06/2026 11:22:14</v>
      </c>
      <c r="K8" s="1" t="str">
        <f>IFERROR(__xludf.DUMMYFUNCTION("""COMPUTED_VALUE"""),"BRUNO GABRIEL SOARES DA SILVA")</f>
        <v>BRUNO GABRIEL SOARES DA SILVA</v>
      </c>
      <c r="L8" s="5" t="str">
        <f>IFERROR(__xludf.DUMMYFUNCTION("""COMPUTED_VALUE"""),"001.026.744-18")</f>
        <v>001.026.744-18</v>
      </c>
      <c r="M8" s="5" t="str">
        <f>IFERROR(__xludf.DUMMYFUNCTION("""COMPUTED_VALUE"""),"10/11/2023")</f>
        <v>10/11/2023</v>
      </c>
      <c r="N8" s="1"/>
      <c r="O8" s="1" t="str">
        <f>IFERROR(__xludf.DUMMYFUNCTION("""COMPUTED_VALUE"""),"0")</f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1"/>
      <c r="B9" s="1" t="str">
        <f t="array" ref="B9">XLOOKUP(C9,Tabela_1[NOME ESCOLA PONTO ID],Tabela_1[REGIONAL],"NE",0)</f>
        <v>REGIONAL 7</v>
      </c>
      <c r="C9" s="3" t="str">
        <f>IFERROR(__xludf.DUMMYFUNCTION("""COMPUTED_VALUE"""),"CEMEI DR. PAULO MENDES")</f>
        <v>CEMEI DR. PAULO MENDES</v>
      </c>
      <c r="D9" s="1" t="str">
        <f>IFERROR(__xludf.DUMMYFUNCTION("""COMPUTED_VALUE"""),"26194643")</f>
        <v>26194643</v>
      </c>
      <c r="E9" s="1" t="str">
        <f>IFERROR(__xludf.DUMMYFUNCTION("""COMPUTED_VALUE"""),"INFANTIL 3")</f>
        <v>INFANTIL 3</v>
      </c>
      <c r="F9" s="1" t="str">
        <f>IFERROR(__xludf.DUMMYFUNCTION("""COMPUTED_VALUE"""),"Integral")</f>
        <v>Integral</v>
      </c>
      <c r="G9" s="1" t="str">
        <f>IFERROR(__xludf.DUMMYFUNCTION("""COMPUTED_VALUE"""),"Comum")</f>
        <v>Comum</v>
      </c>
      <c r="H9" s="1" t="str">
        <f>IFERROR(__xludf.DUMMYFUNCTION("""COMPUTED_VALUE"""),"1")</f>
        <v>1</v>
      </c>
      <c r="I9" s="6" t="str">
        <f>IFERROR(__xludf.DUMMYFUNCTION("""COMPUTED_VALUE"""),"26032408413")</f>
        <v>26032408413</v>
      </c>
      <c r="J9" s="1" t="str">
        <f>IFERROR(__xludf.DUMMYFUNCTION("""COMPUTED_VALUE"""),"05/03/2026 14:41:21")</f>
        <v>05/03/2026 14:41:21</v>
      </c>
      <c r="K9" s="1" t="str">
        <f>IFERROR(__xludf.DUMMYFUNCTION("""COMPUTED_VALUE"""),"ISABELLY LUÍZA GONÇALVES DA SILVA")</f>
        <v>ISABELLY LUÍZA GONÇALVES DA SILVA</v>
      </c>
      <c r="L9" s="5" t="str">
        <f>IFERROR(__xludf.DUMMYFUNCTION("""COMPUTED_VALUE"""),"184.641.384-23")</f>
        <v>184.641.384-23</v>
      </c>
      <c r="M9" s="5" t="str">
        <f>IFERROR(__xludf.DUMMYFUNCTION("""COMPUTED_VALUE"""),"04/03/2023")</f>
        <v>04/03/2023</v>
      </c>
      <c r="N9" s="1"/>
      <c r="O9" s="1" t="str">
        <f>IFERROR(__xludf.DUMMYFUNCTION("""COMPUTED_VALUE"""),"0")</f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1"/>
      <c r="B10" s="1" t="str">
        <f t="array" ref="B10">XLOOKUP(C10,Tabela_1[NOME ESCOLA PONTO ID],Tabela_1[REGIONAL],"NE",0)</f>
        <v>REGIONAL 7</v>
      </c>
      <c r="C10" s="3" t="str">
        <f>IFERROR(__xludf.DUMMYFUNCTION("""COMPUTED_VALUE"""),"CEMEI DR. PAULO MENDES")</f>
        <v>CEMEI DR. PAULO MENDES</v>
      </c>
      <c r="D10" s="1" t="str">
        <f>IFERROR(__xludf.DUMMYFUNCTION("""COMPUTED_VALUE"""),"26194643")</f>
        <v>26194643</v>
      </c>
      <c r="E10" s="1" t="str">
        <f>IFERROR(__xludf.DUMMYFUNCTION("""COMPUTED_VALUE"""),"INFANTIL 3")</f>
        <v>INFANTIL 3</v>
      </c>
      <c r="F10" s="1" t="str">
        <f>IFERROR(__xludf.DUMMYFUNCTION("""COMPUTED_VALUE"""),"Integral")</f>
        <v>Integral</v>
      </c>
      <c r="G10" s="1" t="str">
        <f>IFERROR(__xludf.DUMMYFUNCTION("""COMPUTED_VALUE"""),"Comum")</f>
        <v>Comum</v>
      </c>
      <c r="H10" s="1" t="str">
        <f>IFERROR(__xludf.DUMMYFUNCTION("""COMPUTED_VALUE"""),"2")</f>
        <v>2</v>
      </c>
      <c r="I10" s="6" t="str">
        <f>IFERROR(__xludf.DUMMYFUNCTION("""COMPUTED_VALUE"""),"26052957177")</f>
        <v>26052957177</v>
      </c>
      <c r="J10" s="1" t="str">
        <f>IFERROR(__xludf.DUMMYFUNCTION("""COMPUTED_VALUE"""),"15/05/2026 11:07:04")</f>
        <v>15/05/2026 11:07:04</v>
      </c>
      <c r="K10" s="1" t="str">
        <f>IFERROR(__xludf.DUMMYFUNCTION("""COMPUTED_VALUE"""),"AUGUSTO MENDES DE BARROS")</f>
        <v>AUGUSTO MENDES DE BARROS</v>
      </c>
      <c r="L10" s="5" t="str">
        <f>IFERROR(__xludf.DUMMYFUNCTION("""COMPUTED_VALUE"""),"182.434.044-30")</f>
        <v>182.434.044-30</v>
      </c>
      <c r="M10" s="5" t="str">
        <f>IFERROR(__xludf.DUMMYFUNCTION("""COMPUTED_VALUE"""),"04/08/2022")</f>
        <v>04/08/2022</v>
      </c>
      <c r="N10" s="1"/>
      <c r="O10" s="1" t="str">
        <f>IFERROR(__xludf.DUMMYFUNCTION("""COMPUTED_VALUE"""),"0")</f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1"/>
      <c r="B11" s="1" t="str">
        <f t="array" ref="B11">XLOOKUP(C11,Tabela_1[NOME ESCOLA PONTO ID],Tabela_1[REGIONAL],"NE",0)</f>
        <v>REGIONAL 7</v>
      </c>
      <c r="C11" s="3" t="str">
        <f>IFERROR(__xludf.DUMMYFUNCTION("""COMPUTED_VALUE"""),"CEMEI DR. PAULO MENDES")</f>
        <v>CEMEI DR. PAULO MENDES</v>
      </c>
      <c r="D11" s="1" t="str">
        <f>IFERROR(__xludf.DUMMYFUNCTION("""COMPUTED_VALUE"""),"26194643")</f>
        <v>26194643</v>
      </c>
      <c r="E11" s="1" t="str">
        <f>IFERROR(__xludf.DUMMYFUNCTION("""COMPUTED_VALUE"""),"INFANTIL 3")</f>
        <v>INFANTIL 3</v>
      </c>
      <c r="F11" s="1" t="str">
        <f>IFERROR(__xludf.DUMMYFUNCTION("""COMPUTED_VALUE"""),"Integral")</f>
        <v>Integral</v>
      </c>
      <c r="G11" s="1" t="str">
        <f>IFERROR(__xludf.DUMMYFUNCTION("""COMPUTED_VALUE"""),"Comum")</f>
        <v>Comum</v>
      </c>
      <c r="H11" s="1" t="str">
        <f>IFERROR(__xludf.DUMMYFUNCTION("""COMPUTED_VALUE"""),"3")</f>
        <v>3</v>
      </c>
      <c r="I11" s="6" t="str">
        <f>IFERROR(__xludf.DUMMYFUNCTION("""COMPUTED_VALUE"""),"26052484301")</f>
        <v>26052484301</v>
      </c>
      <c r="J11" s="1" t="str">
        <f>IFERROR(__xludf.DUMMYFUNCTION("""COMPUTED_VALUE"""),"18/05/2026 09:15:19")</f>
        <v>18/05/2026 09:15:19</v>
      </c>
      <c r="K11" s="1" t="str">
        <f>IFERROR(__xludf.DUMMYFUNCTION("""COMPUTED_VALUE"""),"HELLOYSE VITÓRIA SANTOS DUARTE")</f>
        <v>HELLOYSE VITÓRIA SANTOS DUARTE</v>
      </c>
      <c r="L11" s="7" t="str">
        <f>IFERROR(__xludf.DUMMYFUNCTION("""COMPUTED_VALUE"""),"184.035.244-20")</f>
        <v>184.035.244-20</v>
      </c>
      <c r="M11" s="5" t="str">
        <f>IFERROR(__xludf.DUMMYFUNCTION("""COMPUTED_VALUE"""),"11/01/2023")</f>
        <v>11/01/2023</v>
      </c>
      <c r="N11" s="1"/>
      <c r="O11" s="1" t="str">
        <f>IFERROR(__xludf.DUMMYFUNCTION("""COMPUTED_VALUE"""),"0")</f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/>
      <c r="B12" s="1" t="str">
        <f t="array" ref="B12">XLOOKUP(C12,Tabela_1[NOME ESCOLA PONTO ID],Tabela_1[REGIONAL],"NE",0)</f>
        <v>REGIONAL 7</v>
      </c>
      <c r="C12" s="3" t="str">
        <f>IFERROR(__xludf.DUMMYFUNCTION("""COMPUTED_VALUE"""),"CEMEI DR. PAULO MENDES")</f>
        <v>CEMEI DR. PAULO MENDES</v>
      </c>
      <c r="D12" s="1" t="str">
        <f>IFERROR(__xludf.DUMMYFUNCTION("""COMPUTED_VALUE"""),"26194643")</f>
        <v>26194643</v>
      </c>
      <c r="E12" s="1" t="str">
        <f>IFERROR(__xludf.DUMMYFUNCTION("""COMPUTED_VALUE"""),"INFANTIL 4")</f>
        <v>INFANTIL 4</v>
      </c>
      <c r="F12" s="1" t="str">
        <f>IFERROR(__xludf.DUMMYFUNCTION("""COMPUTED_VALUE"""),"Matutino/Manhã")</f>
        <v>Matutino/Manhã</v>
      </c>
      <c r="G12" s="1" t="str">
        <f>IFERROR(__xludf.DUMMYFUNCTION("""COMPUTED_VALUE"""),"Comum")</f>
        <v>Comum</v>
      </c>
      <c r="H12" s="1" t="str">
        <f>IFERROR(__xludf.DUMMYFUNCTION("""COMPUTED_VALUE"""),"1")</f>
        <v>1</v>
      </c>
      <c r="I12" s="6" t="str">
        <f>IFERROR(__xludf.DUMMYFUNCTION("""COMPUTED_VALUE"""),"26032792799")</f>
        <v>26032792799</v>
      </c>
      <c r="J12" s="1" t="str">
        <f>IFERROR(__xludf.DUMMYFUNCTION("""COMPUTED_VALUE"""),"16/03/2026 11:13:15")</f>
        <v>16/03/2026 11:13:15</v>
      </c>
      <c r="K12" s="1" t="str">
        <f>IFERROR(__xludf.DUMMYFUNCTION("""COMPUTED_VALUE"""),"MARIA WILLYANE DA SILVA OLIVEIRA")</f>
        <v>MARIA WILLYANE DA SILVA OLIVEIRA</v>
      </c>
      <c r="L12" s="5" t="str">
        <f>IFERROR(__xludf.DUMMYFUNCTION("""COMPUTED_VALUE"""),"179.425.144-80")</f>
        <v>179.425.144-80</v>
      </c>
      <c r="M12" s="5" t="str">
        <f>IFERROR(__xludf.DUMMYFUNCTION("""COMPUTED_VALUE"""),"02/12/2021")</f>
        <v>02/12/2021</v>
      </c>
      <c r="N12" s="1"/>
      <c r="O12" s="1" t="str">
        <f>IFERROR(__xludf.DUMMYFUNCTION("""COMPUTED_VALUE"""),"0")</f>
        <v>0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/>
      <c r="B13" s="1" t="str">
        <f t="array" ref="B13">XLOOKUP(C13,Tabela_1[NOME ESCOLA PONTO ID],Tabela_1[REGIONAL],"NE",0)</f>
        <v>REGIONAL 7</v>
      </c>
      <c r="C13" s="3" t="str">
        <f>IFERROR(__xludf.DUMMYFUNCTION("""COMPUTED_VALUE"""),"CEMEI DR. PAULO MENDES")</f>
        <v>CEMEI DR. PAULO MENDES</v>
      </c>
      <c r="D13" s="1" t="str">
        <f>IFERROR(__xludf.DUMMYFUNCTION("""COMPUTED_VALUE"""),"26194643")</f>
        <v>26194643</v>
      </c>
      <c r="E13" s="1" t="str">
        <f>IFERROR(__xludf.DUMMYFUNCTION("""COMPUTED_VALUE"""),"INFANTIL 5")</f>
        <v>INFANTIL 5</v>
      </c>
      <c r="F13" s="1" t="str">
        <f>IFERROR(__xludf.DUMMYFUNCTION("""COMPUTED_VALUE"""),"Vespertino/Tarde")</f>
        <v>Vespertino/Tarde</v>
      </c>
      <c r="G13" s="1" t="str">
        <f>IFERROR(__xludf.DUMMYFUNCTION("""COMPUTED_VALUE"""),"Comum")</f>
        <v>Comum</v>
      </c>
      <c r="H13" s="1" t="str">
        <f>IFERROR(__xludf.DUMMYFUNCTION("""COMPUTED_VALUE"""),"1")</f>
        <v>1</v>
      </c>
      <c r="I13" s="6" t="str">
        <f>IFERROR(__xludf.DUMMYFUNCTION("""COMPUTED_VALUE"""),"26032246255")</f>
        <v>26032246255</v>
      </c>
      <c r="J13" s="1" t="str">
        <f>IFERROR(__xludf.DUMMYFUNCTION("""COMPUTED_VALUE"""),"04/03/2026 13:11:39")</f>
        <v>04/03/2026 13:11:39</v>
      </c>
      <c r="K13" s="1" t="str">
        <f>IFERROR(__xludf.DUMMYFUNCTION("""COMPUTED_VALUE"""),"DÉBORA ANA VALQUÍRIA GOMES DOS SANTOS")</f>
        <v>DÉBORA ANA VALQUÍRIA GOMES DOS SANTOS</v>
      </c>
      <c r="L13" s="5" t="str">
        <f>IFERROR(__xludf.DUMMYFUNCTION("""COMPUTED_VALUE"""),"174.916.104-47")</f>
        <v>174.916.104-47</v>
      </c>
      <c r="M13" s="5" t="str">
        <f>IFERROR(__xludf.DUMMYFUNCTION("""COMPUTED_VALUE"""),"12/10/2020")</f>
        <v>12/10/2020</v>
      </c>
      <c r="N13" s="1"/>
      <c r="O13" s="1" t="str">
        <f>IFERROR(__xludf.DUMMYFUNCTION("""COMPUTED_VALUE"""),"0")</f>
        <v>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/>
      <c r="B14" s="1" t="str">
        <f t="array" ref="B14">XLOOKUP(C14,Tabela_1[NOME ESCOLA PONTO ID],Tabela_1[REGIONAL],"NE",0)</f>
        <v>REGIONAL 3</v>
      </c>
      <c r="C14" s="3" t="str">
        <f>IFERROR(__xludf.DUMMYFUNCTION("""COMPUTED_VALUE"""),"CEMEI EDVALDO SEVERIANO DE OLIVEIRA")</f>
        <v>CEMEI EDVALDO SEVERIANO DE OLIVEIRA</v>
      </c>
      <c r="D14" s="1" t="str">
        <f>IFERROR(__xludf.DUMMYFUNCTION("""COMPUTED_VALUE"""),"26183374")</f>
        <v>26183374</v>
      </c>
      <c r="E14" s="1" t="str">
        <f>IFERROR(__xludf.DUMMYFUNCTION("""COMPUTED_VALUE"""),"INFANTIL 4")</f>
        <v>INFANTIL 4</v>
      </c>
      <c r="F14" s="1" t="str">
        <f>IFERROR(__xludf.DUMMYFUNCTION("""COMPUTED_VALUE"""),"Vespertino/Tarde")</f>
        <v>Vespertino/Tarde</v>
      </c>
      <c r="G14" s="1" t="str">
        <f>IFERROR(__xludf.DUMMYFUNCTION("""COMPUTED_VALUE"""),"Comum")</f>
        <v>Comum</v>
      </c>
      <c r="H14" s="1" t="str">
        <f>IFERROR(__xludf.DUMMYFUNCTION("""COMPUTED_VALUE"""),"1")</f>
        <v>1</v>
      </c>
      <c r="I14" s="6" t="str">
        <f>IFERROR(__xludf.DUMMYFUNCTION("""COMPUTED_VALUE"""),"26052786040")</f>
        <v>26052786040</v>
      </c>
      <c r="J14" s="1" t="str">
        <f>IFERROR(__xludf.DUMMYFUNCTION("""COMPUTED_VALUE"""),"19/05/2026 09:16:59")</f>
        <v>19/05/2026 09:16:59</v>
      </c>
      <c r="K14" s="1" t="str">
        <f>IFERROR(__xludf.DUMMYFUNCTION("""COMPUTED_VALUE"""),"Aylla Sophia Cabral dos santos")</f>
        <v>Aylla Sophia Cabral dos santos</v>
      </c>
      <c r="L14" s="7" t="str">
        <f>IFERROR(__xludf.DUMMYFUNCTION("""COMPUTED_VALUE"""),"178.153.334-27")</f>
        <v>178.153.334-27</v>
      </c>
      <c r="M14" s="7" t="str">
        <f>IFERROR(__xludf.DUMMYFUNCTION("""COMPUTED_VALUE"""),"02/06/2021")</f>
        <v>02/06/2021</v>
      </c>
      <c r="N14" s="1"/>
      <c r="O14" s="1" t="str">
        <f>IFERROR(__xludf.DUMMYFUNCTION("""COMPUTED_VALUE"""),"0")</f>
        <v>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/>
      <c r="B15" s="1" t="str">
        <f t="array" ref="B15">XLOOKUP(C15,Tabela_1[NOME ESCOLA PONTO ID],Tabela_1[REGIONAL],"NE",0)</f>
        <v>REGIONAL 7</v>
      </c>
      <c r="C15" s="3" t="str">
        <f>IFERROR(__xludf.DUMMYFUNCTION("""COMPUTED_VALUE"""),"CEMEI ELIEL EUSTAQUIO DA SILVA")</f>
        <v>CEMEI ELIEL EUSTAQUIO DA SILVA</v>
      </c>
      <c r="D15" s="1" t="str">
        <f>IFERROR(__xludf.DUMMYFUNCTION("""COMPUTED_VALUE"""),"26109255")</f>
        <v>26109255</v>
      </c>
      <c r="E15" s="1" t="str">
        <f>IFERROR(__xludf.DUMMYFUNCTION("""COMPUTED_VALUE"""),"INFANTIL 3")</f>
        <v>INFANTIL 3</v>
      </c>
      <c r="F15" s="1" t="str">
        <f>IFERROR(__xludf.DUMMYFUNCTION("""COMPUTED_VALUE"""),"Matutino/Manhã")</f>
        <v>Matutino/Manhã</v>
      </c>
      <c r="G15" s="1" t="str">
        <f>IFERROR(__xludf.DUMMYFUNCTION("""COMPUTED_VALUE"""),"Comum")</f>
        <v>Comum</v>
      </c>
      <c r="H15" s="1" t="str">
        <f>IFERROR(__xludf.DUMMYFUNCTION("""COMPUTED_VALUE"""),"1")</f>
        <v>1</v>
      </c>
      <c r="I15" s="6" t="str">
        <f>IFERROR(__xludf.DUMMYFUNCTION("""COMPUTED_VALUE"""),"26022224621")</f>
        <v>26022224621</v>
      </c>
      <c r="J15" s="1" t="str">
        <f>IFERROR(__xludf.DUMMYFUNCTION("""COMPUTED_VALUE"""),"06/02/2026 09:17:41")</f>
        <v>06/02/2026 09:17:41</v>
      </c>
      <c r="K15" s="1" t="str">
        <f>IFERROR(__xludf.DUMMYFUNCTION("""COMPUTED_VALUE"""),"JOÃO VITOR CERQUEIRA CAMPOS")</f>
        <v>JOÃO VITOR CERQUEIRA CAMPOS</v>
      </c>
      <c r="L15" s="7" t="str">
        <f>IFERROR(__xludf.DUMMYFUNCTION("""COMPUTED_VALUE"""),"184.852.244-42")</f>
        <v>184.852.244-42</v>
      </c>
      <c r="M15" s="5" t="str">
        <f>IFERROR(__xludf.DUMMYFUNCTION("""COMPUTED_VALUE"""),"26/03/2023")</f>
        <v>26/03/2023</v>
      </c>
      <c r="N15" s="1"/>
      <c r="O15" s="1" t="str">
        <f>IFERROR(__xludf.DUMMYFUNCTION("""COMPUTED_VALUE"""),"0")</f>
        <v>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/>
      <c r="B16" s="1" t="str">
        <f t="array" ref="B16">XLOOKUP(C16,Tabela_1[NOME ESCOLA PONTO ID],Tabela_1[REGIONAL],"NE",0)</f>
        <v>REGIONAL 7</v>
      </c>
      <c r="C16" s="3" t="str">
        <f>IFERROR(__xludf.DUMMYFUNCTION("""COMPUTED_VALUE"""),"CEMEI ELIEL EUSTAQUIO DA SILVA")</f>
        <v>CEMEI ELIEL EUSTAQUIO DA SILVA</v>
      </c>
      <c r="D16" s="1" t="str">
        <f>IFERROR(__xludf.DUMMYFUNCTION("""COMPUTED_VALUE"""),"26109255")</f>
        <v>26109255</v>
      </c>
      <c r="E16" s="1" t="str">
        <f>IFERROR(__xludf.DUMMYFUNCTION("""COMPUTED_VALUE"""),"INFANTIL 3")</f>
        <v>INFANTIL 3</v>
      </c>
      <c r="F16" s="1" t="str">
        <f>IFERROR(__xludf.DUMMYFUNCTION("""COMPUTED_VALUE"""),"Matutino/Manhã")</f>
        <v>Matutino/Manhã</v>
      </c>
      <c r="G16" s="1" t="str">
        <f>IFERROR(__xludf.DUMMYFUNCTION("""COMPUTED_VALUE"""),"Comum")</f>
        <v>Comum</v>
      </c>
      <c r="H16" s="1" t="str">
        <f>IFERROR(__xludf.DUMMYFUNCTION("""COMPUTED_VALUE"""),"2")</f>
        <v>2</v>
      </c>
      <c r="I16" s="6" t="str">
        <f>IFERROR(__xludf.DUMMYFUNCTION("""COMPUTED_VALUE"""),"26052680185")</f>
        <v>26052680185</v>
      </c>
      <c r="J16" s="1" t="str">
        <f>IFERROR(__xludf.DUMMYFUNCTION("""COMPUTED_VALUE"""),"04/05/2026 08:16:17")</f>
        <v>04/05/2026 08:16:17</v>
      </c>
      <c r="K16" s="1" t="str">
        <f>IFERROR(__xludf.DUMMYFUNCTION("""COMPUTED_VALUE"""),"ASAFE ALLAN DE PAULA SILVA")</f>
        <v>ASAFE ALLAN DE PAULA SILVA</v>
      </c>
      <c r="L16" s="5" t="str">
        <f>IFERROR(__xludf.DUMMYFUNCTION("""COMPUTED_VALUE"""),"183.832.884-09")</f>
        <v>183.832.884-09</v>
      </c>
      <c r="M16" s="5" t="str">
        <f>IFERROR(__xludf.DUMMYFUNCTION("""COMPUTED_VALUE"""),"24/12/2022")</f>
        <v>24/12/2022</v>
      </c>
      <c r="N16" s="1"/>
      <c r="O16" s="1" t="str">
        <f>IFERROR(__xludf.DUMMYFUNCTION("""COMPUTED_VALUE"""),"0")</f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/>
      <c r="B17" s="1" t="str">
        <f t="array" ref="B17">XLOOKUP(C17,Tabela_1[NOME ESCOLA PONTO ID],Tabela_1[REGIONAL],"NE",0)</f>
        <v>REGIONAL 7</v>
      </c>
      <c r="C17" s="3" t="str">
        <f>IFERROR(__xludf.DUMMYFUNCTION("""COMPUTED_VALUE"""),"CEMEI ELIEL EUSTAQUIO DA SILVA")</f>
        <v>CEMEI ELIEL EUSTAQUIO DA SILVA</v>
      </c>
      <c r="D17" s="1" t="str">
        <f>IFERROR(__xludf.DUMMYFUNCTION("""COMPUTED_VALUE"""),"26109255")</f>
        <v>26109255</v>
      </c>
      <c r="E17" s="1" t="str">
        <f>IFERROR(__xludf.DUMMYFUNCTION("""COMPUTED_VALUE"""),"INFANTIL 3")</f>
        <v>INFANTIL 3</v>
      </c>
      <c r="F17" s="1" t="str">
        <f>IFERROR(__xludf.DUMMYFUNCTION("""COMPUTED_VALUE"""),"Matutino/Manhã")</f>
        <v>Matutino/Manhã</v>
      </c>
      <c r="G17" s="1" t="str">
        <f>IFERROR(__xludf.DUMMYFUNCTION("""COMPUTED_VALUE"""),"Comum")</f>
        <v>Comum</v>
      </c>
      <c r="H17" s="1" t="str">
        <f>IFERROR(__xludf.DUMMYFUNCTION("""COMPUTED_VALUE"""),"3")</f>
        <v>3</v>
      </c>
      <c r="I17" s="6" t="str">
        <f>IFERROR(__xludf.DUMMYFUNCTION("""COMPUTED_VALUE"""),"26062196800")</f>
        <v>26062196800</v>
      </c>
      <c r="J17" s="1" t="str">
        <f>IFERROR(__xludf.DUMMYFUNCTION("""COMPUTED_VALUE"""),"22/06/2026 14:09:23")</f>
        <v>22/06/2026 14:09:23</v>
      </c>
      <c r="K17" s="1" t="str">
        <f>IFERROR(__xludf.DUMMYFUNCTION("""COMPUTED_VALUE"""),"Isabella Valentina dos Santos")</f>
        <v>Isabella Valentina dos Santos</v>
      </c>
      <c r="L17" s="5" t="str">
        <f>IFERROR(__xludf.DUMMYFUNCTION("""COMPUTED_VALUE"""),"181.388.084-03")</f>
        <v>181.388.084-03</v>
      </c>
      <c r="M17" s="5" t="str">
        <f>IFERROR(__xludf.DUMMYFUNCTION("""COMPUTED_VALUE"""),"07/04/2022")</f>
        <v>07/04/2022</v>
      </c>
      <c r="N17" s="1"/>
      <c r="O17" s="1" t="str">
        <f>IFERROR(__xludf.DUMMYFUNCTION("""COMPUTED_VALUE"""),"0")</f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>
      <c r="A18" s="1"/>
      <c r="B18" s="1" t="str">
        <f t="array" ref="B18">XLOOKUP(C18,Tabela_1[NOME ESCOLA PONTO ID],Tabela_1[REGIONAL],"NE",0)</f>
        <v>REGIONAL 7</v>
      </c>
      <c r="C18" s="3" t="str">
        <f>IFERROR(__xludf.DUMMYFUNCTION("""COMPUTED_VALUE"""),"CEMEI ELIEL EUSTAQUIO DA SILVA")</f>
        <v>CEMEI ELIEL EUSTAQUIO DA SILVA</v>
      </c>
      <c r="D18" s="1" t="str">
        <f>IFERROR(__xludf.DUMMYFUNCTION("""COMPUTED_VALUE"""),"26109255")</f>
        <v>26109255</v>
      </c>
      <c r="E18" s="1" t="str">
        <f>IFERROR(__xludf.DUMMYFUNCTION("""COMPUTED_VALUE"""),"INFANTIL 4")</f>
        <v>INFANTIL 4</v>
      </c>
      <c r="F18" s="1" t="str">
        <f>IFERROR(__xludf.DUMMYFUNCTION("""COMPUTED_VALUE"""),"Matutino/Manhã")</f>
        <v>Matutino/Manhã</v>
      </c>
      <c r="G18" s="1" t="str">
        <f>IFERROR(__xludf.DUMMYFUNCTION("""COMPUTED_VALUE"""),"Comum")</f>
        <v>Comum</v>
      </c>
      <c r="H18" s="1" t="str">
        <f>IFERROR(__xludf.DUMMYFUNCTION("""COMPUTED_VALUE"""),"1")</f>
        <v>1</v>
      </c>
      <c r="I18" s="6" t="str">
        <f>IFERROR(__xludf.DUMMYFUNCTION("""COMPUTED_VALUE"""),"26012221340")</f>
        <v>26012221340</v>
      </c>
      <c r="J18" s="1" t="str">
        <f>IFERROR(__xludf.DUMMYFUNCTION("""COMPUTED_VALUE"""),"28/01/2026 09:47:11")</f>
        <v>28/01/2026 09:47:11</v>
      </c>
      <c r="K18" s="1" t="str">
        <f>IFERROR(__xludf.DUMMYFUNCTION("""COMPUTED_VALUE"""),"ANA LIVIA PEREIRA GOMES DA SILVA")</f>
        <v>ANA LIVIA PEREIRA GOMES DA SILVA</v>
      </c>
      <c r="L18" s="5" t="str">
        <f>IFERROR(__xludf.DUMMYFUNCTION("""COMPUTED_VALUE"""),"176.668.744-05")</f>
        <v>176.668.744-05</v>
      </c>
      <c r="M18" s="5" t="str">
        <f>IFERROR(__xludf.DUMMYFUNCTION("""COMPUTED_VALUE"""),"12/05/2021")</f>
        <v>12/05/2021</v>
      </c>
      <c r="N18" s="1"/>
      <c r="O18" s="1" t="str">
        <f>IFERROR(__xludf.DUMMYFUNCTION("""COMPUTED_VALUE"""),"0")</f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/>
      <c r="B19" s="1" t="str">
        <f t="array" ref="B19">XLOOKUP(C19,Tabela_1[NOME ESCOLA PONTO ID],Tabela_1[REGIONAL],"NE",0)</f>
        <v>REGIONAL 7</v>
      </c>
      <c r="C19" s="3" t="str">
        <f>IFERROR(__xludf.DUMMYFUNCTION("""COMPUTED_VALUE"""),"CEMEI ELIEL EUSTAQUIO DA SILVA")</f>
        <v>CEMEI ELIEL EUSTAQUIO DA SILVA</v>
      </c>
      <c r="D19" s="1" t="str">
        <f>IFERROR(__xludf.DUMMYFUNCTION("""COMPUTED_VALUE"""),"26109255")</f>
        <v>26109255</v>
      </c>
      <c r="E19" s="1" t="str">
        <f>IFERROR(__xludf.DUMMYFUNCTION("""COMPUTED_VALUE"""),"INFANTIL 4")</f>
        <v>INFANTIL 4</v>
      </c>
      <c r="F19" s="1" t="str">
        <f>IFERROR(__xludf.DUMMYFUNCTION("""COMPUTED_VALUE"""),"Matutino/Manhã")</f>
        <v>Matutino/Manhã</v>
      </c>
      <c r="G19" s="1" t="str">
        <f>IFERROR(__xludf.DUMMYFUNCTION("""COMPUTED_VALUE"""),"Comum")</f>
        <v>Comum</v>
      </c>
      <c r="H19" s="1" t="str">
        <f>IFERROR(__xludf.DUMMYFUNCTION("""COMPUTED_VALUE"""),"2")</f>
        <v>2</v>
      </c>
      <c r="I19" s="6" t="str">
        <f>IFERROR(__xludf.DUMMYFUNCTION("""COMPUTED_VALUE"""),"26012828322")</f>
        <v>26012828322</v>
      </c>
      <c r="J19" s="1" t="str">
        <f>IFERROR(__xludf.DUMMYFUNCTION("""COMPUTED_VALUE"""),"28/01/2026 10:14:16")</f>
        <v>28/01/2026 10:14:16</v>
      </c>
      <c r="K19" s="1" t="str">
        <f>IFERROR(__xludf.DUMMYFUNCTION("""COMPUTED_VALUE"""),"RYAN FELIPE CORREIA DA SILVA")</f>
        <v>RYAN FELIPE CORREIA DA SILVA</v>
      </c>
      <c r="L19" s="5" t="str">
        <f>IFERROR(__xludf.DUMMYFUNCTION("""COMPUTED_VALUE"""),"178.064.414-09")</f>
        <v>178.064.414-09</v>
      </c>
      <c r="M19" s="5" t="str">
        <f>IFERROR(__xludf.DUMMYFUNCTION("""COMPUTED_VALUE"""),"10/08/2021")</f>
        <v>10/08/2021</v>
      </c>
      <c r="N19" s="1"/>
      <c r="O19" s="1" t="str">
        <f>IFERROR(__xludf.DUMMYFUNCTION("""COMPUTED_VALUE"""),"0")</f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/>
      <c r="B20" s="1" t="str">
        <f t="array" ref="B20">XLOOKUP(C20,Tabela_1[NOME ESCOLA PONTO ID],Tabela_1[REGIONAL],"NE",0)</f>
        <v>REGIONAL 7</v>
      </c>
      <c r="C20" s="3" t="str">
        <f>IFERROR(__xludf.DUMMYFUNCTION("""COMPUTED_VALUE"""),"CEMEI ELIEL EUSTAQUIO DA SILVA")</f>
        <v>CEMEI ELIEL EUSTAQUIO DA SILVA</v>
      </c>
      <c r="D20" s="1" t="str">
        <f>IFERROR(__xludf.DUMMYFUNCTION("""COMPUTED_VALUE"""),"26109255")</f>
        <v>26109255</v>
      </c>
      <c r="E20" s="1" t="str">
        <f>IFERROR(__xludf.DUMMYFUNCTION("""COMPUTED_VALUE"""),"INFANTIL 4")</f>
        <v>INFANTIL 4</v>
      </c>
      <c r="F20" s="1" t="str">
        <f>IFERROR(__xludf.DUMMYFUNCTION("""COMPUTED_VALUE"""),"Matutino/Manhã")</f>
        <v>Matutino/Manhã</v>
      </c>
      <c r="G20" s="1" t="str">
        <f>IFERROR(__xludf.DUMMYFUNCTION("""COMPUTED_VALUE"""),"Comum")</f>
        <v>Comum</v>
      </c>
      <c r="H20" s="1" t="str">
        <f>IFERROR(__xludf.DUMMYFUNCTION("""COMPUTED_VALUE"""),"3")</f>
        <v>3</v>
      </c>
      <c r="I20" s="6" t="str">
        <f>IFERROR(__xludf.DUMMYFUNCTION("""COMPUTED_VALUE"""),"26012960959")</f>
        <v>26012960959</v>
      </c>
      <c r="J20" s="1" t="str">
        <f>IFERROR(__xludf.DUMMYFUNCTION("""COMPUTED_VALUE"""),"28/01/2026 10:18:39")</f>
        <v>28/01/2026 10:18:39</v>
      </c>
      <c r="K20" s="1" t="str">
        <f>IFERROR(__xludf.DUMMYFUNCTION("""COMPUTED_VALUE"""),"LAYLA MANUELY DANTAS DIAS DA SILVA")</f>
        <v>LAYLA MANUELY DANTAS DIAS DA SILVA</v>
      </c>
      <c r="L20" s="5" t="str">
        <f>IFERROR(__xludf.DUMMYFUNCTION("""COMPUTED_VALUE"""),"179.149.914-73")</f>
        <v>179.149.914-73</v>
      </c>
      <c r="M20" s="5" t="str">
        <f>IFERROR(__xludf.DUMMYFUNCTION("""COMPUTED_VALUE"""),"01/11/2021")</f>
        <v>01/11/2021</v>
      </c>
      <c r="N20" s="1"/>
      <c r="O20" s="1" t="str">
        <f>IFERROR(__xludf.DUMMYFUNCTION("""COMPUTED_VALUE"""),"0")</f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ht="15.75" customHeight="1">
      <c r="A21" s="1"/>
      <c r="B21" s="1" t="str">
        <f t="array" ref="B21">XLOOKUP(C21,Tabela_1[NOME ESCOLA PONTO ID],Tabela_1[REGIONAL],"NE",0)</f>
        <v>REGIONAL 7</v>
      </c>
      <c r="C21" s="3" t="str">
        <f>IFERROR(__xludf.DUMMYFUNCTION("""COMPUTED_VALUE"""),"CEMEI ELIEL EUSTAQUIO DA SILVA")</f>
        <v>CEMEI ELIEL EUSTAQUIO DA SILVA</v>
      </c>
      <c r="D21" s="1" t="str">
        <f>IFERROR(__xludf.DUMMYFUNCTION("""COMPUTED_VALUE"""),"26109255")</f>
        <v>26109255</v>
      </c>
      <c r="E21" s="1" t="str">
        <f>IFERROR(__xludf.DUMMYFUNCTION("""COMPUTED_VALUE"""),"INFANTIL 4")</f>
        <v>INFANTIL 4</v>
      </c>
      <c r="F21" s="1" t="str">
        <f>IFERROR(__xludf.DUMMYFUNCTION("""COMPUTED_VALUE"""),"Matutino/Manhã")</f>
        <v>Matutino/Manhã</v>
      </c>
      <c r="G21" s="1" t="str">
        <f>IFERROR(__xludf.DUMMYFUNCTION("""COMPUTED_VALUE"""),"Comum")</f>
        <v>Comum</v>
      </c>
      <c r="H21" s="1" t="str">
        <f>IFERROR(__xludf.DUMMYFUNCTION("""COMPUTED_VALUE"""),"4")</f>
        <v>4</v>
      </c>
      <c r="I21" s="6" t="str">
        <f>IFERROR(__xludf.DUMMYFUNCTION("""COMPUTED_VALUE"""),"26012514123")</f>
        <v>26012514123</v>
      </c>
      <c r="J21" s="1" t="str">
        <f>IFERROR(__xludf.DUMMYFUNCTION("""COMPUTED_VALUE"""),"28/01/2026 10:27:27")</f>
        <v>28/01/2026 10:27:27</v>
      </c>
      <c r="K21" s="1" t="str">
        <f>IFERROR(__xludf.DUMMYFUNCTION("""COMPUTED_VALUE"""),"KALEL MATHIAS SILVA DO NASCIMENTO")</f>
        <v>KALEL MATHIAS SILVA DO NASCIMENTO</v>
      </c>
      <c r="L21" s="5" t="str">
        <f>IFERROR(__xludf.DUMMYFUNCTION("""COMPUTED_VALUE"""),"179.890.114-50")</f>
        <v>179.890.114-50</v>
      </c>
      <c r="M21" s="5" t="str">
        <f>IFERROR(__xludf.DUMMYFUNCTION("""COMPUTED_VALUE"""),"21/11/2021")</f>
        <v>21/11/2021</v>
      </c>
      <c r="N21" s="1"/>
      <c r="O21" s="1" t="str">
        <f>IFERROR(__xludf.DUMMYFUNCTION("""COMPUTED_VALUE"""),"0")</f>
        <v>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ht="15.75" customHeight="1">
      <c r="A22" s="1"/>
      <c r="B22" s="1" t="str">
        <f t="array" ref="B22">XLOOKUP(C22,Tabela_1[NOME ESCOLA PONTO ID],Tabela_1[REGIONAL],"NE",0)</f>
        <v>REGIONAL 7</v>
      </c>
      <c r="C22" s="3" t="str">
        <f>IFERROR(__xludf.DUMMYFUNCTION("""COMPUTED_VALUE"""),"CEMEI ELIEL EUSTAQUIO DA SILVA")</f>
        <v>CEMEI ELIEL EUSTAQUIO DA SILVA</v>
      </c>
      <c r="D22" s="1" t="str">
        <f>IFERROR(__xludf.DUMMYFUNCTION("""COMPUTED_VALUE"""),"26109255")</f>
        <v>26109255</v>
      </c>
      <c r="E22" s="1" t="str">
        <f>IFERROR(__xludf.DUMMYFUNCTION("""COMPUTED_VALUE"""),"INFANTIL 4")</f>
        <v>INFANTIL 4</v>
      </c>
      <c r="F22" s="1" t="str">
        <f>IFERROR(__xludf.DUMMYFUNCTION("""COMPUTED_VALUE"""),"Matutino/Manhã")</f>
        <v>Matutino/Manhã</v>
      </c>
      <c r="G22" s="1" t="str">
        <f>IFERROR(__xludf.DUMMYFUNCTION("""COMPUTED_VALUE"""),"Comum")</f>
        <v>Comum</v>
      </c>
      <c r="H22" s="1" t="str">
        <f>IFERROR(__xludf.DUMMYFUNCTION("""COMPUTED_VALUE"""),"5")</f>
        <v>5</v>
      </c>
      <c r="I22" s="6" t="str">
        <f>IFERROR(__xludf.DUMMYFUNCTION("""COMPUTED_VALUE"""),"26012851393")</f>
        <v>26012851393</v>
      </c>
      <c r="J22" s="1" t="str">
        <f>IFERROR(__xludf.DUMMYFUNCTION("""COMPUTED_VALUE"""),"29/01/2026 21:02:49")</f>
        <v>29/01/2026 21:02:49</v>
      </c>
      <c r="K22" s="1" t="str">
        <f>IFERROR(__xludf.DUMMYFUNCTION("""COMPUTED_VALUE"""),"BRYAN RAVI PRIMO DA SILVA")</f>
        <v>BRYAN RAVI PRIMO DA SILVA</v>
      </c>
      <c r="L22" s="5" t="str">
        <f>IFERROR(__xludf.DUMMYFUNCTION("""COMPUTED_VALUE"""),"179.610.804-90")</f>
        <v>179.610.804-90</v>
      </c>
      <c r="M22" s="5" t="str">
        <f>IFERROR(__xludf.DUMMYFUNCTION("""COMPUTED_VALUE"""),"12/12/2021")</f>
        <v>12/12/2021</v>
      </c>
      <c r="N22" s="1"/>
      <c r="O22" s="1" t="str">
        <f>IFERROR(__xludf.DUMMYFUNCTION("""COMPUTED_VALUE"""),"0")</f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ht="15.75" customHeight="1">
      <c r="A23" s="1"/>
      <c r="B23" s="1" t="str">
        <f t="array" ref="B23">XLOOKUP(C23,Tabela_1[NOME ESCOLA PONTO ID],Tabela_1[REGIONAL],"NE",0)</f>
        <v>REGIONAL 7</v>
      </c>
      <c r="C23" s="3" t="str">
        <f>IFERROR(__xludf.DUMMYFUNCTION("""COMPUTED_VALUE"""),"CEMEI ELIEL EUSTAQUIO DA SILVA")</f>
        <v>CEMEI ELIEL EUSTAQUIO DA SILVA</v>
      </c>
      <c r="D23" s="1" t="str">
        <f>IFERROR(__xludf.DUMMYFUNCTION("""COMPUTED_VALUE"""),"26109255")</f>
        <v>26109255</v>
      </c>
      <c r="E23" s="1" t="str">
        <f>IFERROR(__xludf.DUMMYFUNCTION("""COMPUTED_VALUE"""),"INFANTIL 4")</f>
        <v>INFANTIL 4</v>
      </c>
      <c r="F23" s="1" t="str">
        <f>IFERROR(__xludf.DUMMYFUNCTION("""COMPUTED_VALUE"""),"Matutino/Manhã")</f>
        <v>Matutino/Manhã</v>
      </c>
      <c r="G23" s="1" t="str">
        <f>IFERROR(__xludf.DUMMYFUNCTION("""COMPUTED_VALUE"""),"Comum")</f>
        <v>Comum</v>
      </c>
      <c r="H23" s="1" t="str">
        <f>IFERROR(__xludf.DUMMYFUNCTION("""COMPUTED_VALUE"""),"6")</f>
        <v>6</v>
      </c>
      <c r="I23" s="6" t="str">
        <f>IFERROR(__xludf.DUMMYFUNCTION("""COMPUTED_VALUE"""),"26022367185")</f>
        <v>26022367185</v>
      </c>
      <c r="J23" s="1" t="str">
        <f>IFERROR(__xludf.DUMMYFUNCTION("""COMPUTED_VALUE"""),"03/02/2026 09:59:50")</f>
        <v>03/02/2026 09:59:50</v>
      </c>
      <c r="K23" s="1" t="str">
        <f>IFERROR(__xludf.DUMMYFUNCTION("""COMPUTED_VALUE"""),"ANTHONY GAEL CACIANO FRANÇA VIEIRA")</f>
        <v>ANTHONY GAEL CACIANO FRANÇA VIEIRA</v>
      </c>
      <c r="L23" s="5" t="str">
        <f>IFERROR(__xludf.DUMMYFUNCTION("""COMPUTED_VALUE"""),"180.577.814-59")</f>
        <v>180.577.814-59</v>
      </c>
      <c r="M23" s="5" t="str">
        <f>IFERROR(__xludf.DUMMYFUNCTION("""COMPUTED_VALUE"""),"20/02/2022")</f>
        <v>20/02/2022</v>
      </c>
      <c r="N23" s="1"/>
      <c r="O23" s="1" t="str">
        <f>IFERROR(__xludf.DUMMYFUNCTION("""COMPUTED_VALUE"""),"0")</f>
        <v>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ht="15.75" customHeight="1">
      <c r="A24" s="1"/>
      <c r="B24" s="1" t="str">
        <f t="array" ref="B24">XLOOKUP(C24,Tabela_1[NOME ESCOLA PONTO ID],Tabela_1[REGIONAL],"NE",0)</f>
        <v>REGIONAL 7</v>
      </c>
      <c r="C24" s="3" t="str">
        <f>IFERROR(__xludf.DUMMYFUNCTION("""COMPUTED_VALUE"""),"CEMEI ELIEL EUSTAQUIO DA SILVA")</f>
        <v>CEMEI ELIEL EUSTAQUIO DA SILVA</v>
      </c>
      <c r="D24" s="1" t="str">
        <f>IFERROR(__xludf.DUMMYFUNCTION("""COMPUTED_VALUE"""),"26109255")</f>
        <v>26109255</v>
      </c>
      <c r="E24" s="1" t="str">
        <f>IFERROR(__xludf.DUMMYFUNCTION("""COMPUTED_VALUE"""),"INFANTIL 4")</f>
        <v>INFANTIL 4</v>
      </c>
      <c r="F24" s="1" t="str">
        <f>IFERROR(__xludf.DUMMYFUNCTION("""COMPUTED_VALUE"""),"Matutino/Manhã")</f>
        <v>Matutino/Manhã</v>
      </c>
      <c r="G24" s="1" t="str">
        <f>IFERROR(__xludf.DUMMYFUNCTION("""COMPUTED_VALUE"""),"Comum")</f>
        <v>Comum</v>
      </c>
      <c r="H24" s="1" t="str">
        <f>IFERROR(__xludf.DUMMYFUNCTION("""COMPUTED_VALUE"""),"7")</f>
        <v>7</v>
      </c>
      <c r="I24" s="6" t="str">
        <f>IFERROR(__xludf.DUMMYFUNCTION("""COMPUTED_VALUE"""),"26022615852")</f>
        <v>26022615852</v>
      </c>
      <c r="J24" s="1" t="str">
        <f>IFERROR(__xludf.DUMMYFUNCTION("""COMPUTED_VALUE"""),"05/02/2026 11:30:23")</f>
        <v>05/02/2026 11:30:23</v>
      </c>
      <c r="K24" s="1" t="str">
        <f>IFERROR(__xludf.DUMMYFUNCTION("""COMPUTED_VALUE"""),"JEFFERSON WILLIAM ALVES DA SILVA")</f>
        <v>JEFFERSON WILLIAM ALVES DA SILVA</v>
      </c>
      <c r="L24" s="5" t="str">
        <f>IFERROR(__xludf.DUMMYFUNCTION("""COMPUTED_VALUE"""),"180.705.954-50")</f>
        <v>180.705.954-50</v>
      </c>
      <c r="M24" s="5" t="str">
        <f>IFERROR(__xludf.DUMMYFUNCTION("""COMPUTED_VALUE"""),"01/03/2022")</f>
        <v>01/03/2022</v>
      </c>
      <c r="N24" s="1"/>
      <c r="O24" s="1" t="str">
        <f>IFERROR(__xludf.DUMMYFUNCTION("""COMPUTED_VALUE"""),"0")</f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15.75" customHeight="1">
      <c r="A25" s="1"/>
      <c r="B25" s="1" t="str">
        <f t="array" ref="B25">XLOOKUP(C25,Tabela_1[NOME ESCOLA PONTO ID],Tabela_1[REGIONAL],"NE",0)</f>
        <v>REGIONAL 7</v>
      </c>
      <c r="C25" s="3" t="str">
        <f>IFERROR(__xludf.DUMMYFUNCTION("""COMPUTED_VALUE"""),"CEMEI ELIEL EUSTAQUIO DA SILVA")</f>
        <v>CEMEI ELIEL EUSTAQUIO DA SILVA</v>
      </c>
      <c r="D25" s="1" t="str">
        <f>IFERROR(__xludf.DUMMYFUNCTION("""COMPUTED_VALUE"""),"26109255")</f>
        <v>26109255</v>
      </c>
      <c r="E25" s="1" t="str">
        <f>IFERROR(__xludf.DUMMYFUNCTION("""COMPUTED_VALUE"""),"INFANTIL 4")</f>
        <v>INFANTIL 4</v>
      </c>
      <c r="F25" s="1" t="str">
        <f>IFERROR(__xludf.DUMMYFUNCTION("""COMPUTED_VALUE"""),"Matutino/Manhã")</f>
        <v>Matutino/Manhã</v>
      </c>
      <c r="G25" s="1" t="str">
        <f>IFERROR(__xludf.DUMMYFUNCTION("""COMPUTED_VALUE"""),"Comum")</f>
        <v>Comum</v>
      </c>
      <c r="H25" s="1" t="str">
        <f>IFERROR(__xludf.DUMMYFUNCTION("""COMPUTED_VALUE"""),"8")</f>
        <v>8</v>
      </c>
      <c r="I25" s="6" t="str">
        <f>IFERROR(__xludf.DUMMYFUNCTION("""COMPUTED_VALUE"""),"26022967127")</f>
        <v>26022967127</v>
      </c>
      <c r="J25" s="1" t="str">
        <f>IFERROR(__xludf.DUMMYFUNCTION("""COMPUTED_VALUE"""),"05/02/2026 11:43:49")</f>
        <v>05/02/2026 11:43:49</v>
      </c>
      <c r="K25" s="1" t="str">
        <f>IFERROR(__xludf.DUMMYFUNCTION("""COMPUTED_VALUE"""),"EDUARDO LUIZ PEREIRA DOS SANTOS")</f>
        <v>EDUARDO LUIZ PEREIRA DOS SANTOS</v>
      </c>
      <c r="L25" s="5" t="str">
        <f>IFERROR(__xludf.DUMMYFUNCTION("""COMPUTED_VALUE"""),"180.724.984-01")</f>
        <v>180.724.984-01</v>
      </c>
      <c r="M25" s="5" t="str">
        <f>IFERROR(__xludf.DUMMYFUNCTION("""COMPUTED_VALUE"""),"26/01/2022")</f>
        <v>26/01/2022</v>
      </c>
      <c r="N25" s="1"/>
      <c r="O25" s="1" t="str">
        <f>IFERROR(__xludf.DUMMYFUNCTION("""COMPUTED_VALUE"""),"0")</f>
        <v>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ht="15.75" customHeight="1">
      <c r="A26" s="1"/>
      <c r="B26" s="1" t="str">
        <f t="array" ref="B26">XLOOKUP(C26,Tabela_1[NOME ESCOLA PONTO ID],Tabela_1[REGIONAL],"NE",0)</f>
        <v>REGIONAL 7</v>
      </c>
      <c r="C26" s="3" t="str">
        <f>IFERROR(__xludf.DUMMYFUNCTION("""COMPUTED_VALUE"""),"CEMEI ELIEL EUSTAQUIO DA SILVA")</f>
        <v>CEMEI ELIEL EUSTAQUIO DA SILVA</v>
      </c>
      <c r="D26" s="1" t="str">
        <f>IFERROR(__xludf.DUMMYFUNCTION("""COMPUTED_VALUE"""),"26109255")</f>
        <v>26109255</v>
      </c>
      <c r="E26" s="1" t="str">
        <f>IFERROR(__xludf.DUMMYFUNCTION("""COMPUTED_VALUE"""),"INFANTIL 4")</f>
        <v>INFANTIL 4</v>
      </c>
      <c r="F26" s="1" t="str">
        <f>IFERROR(__xludf.DUMMYFUNCTION("""COMPUTED_VALUE"""),"Matutino/Manhã")</f>
        <v>Matutino/Manhã</v>
      </c>
      <c r="G26" s="1" t="str">
        <f>IFERROR(__xludf.DUMMYFUNCTION("""COMPUTED_VALUE"""),"Comum")</f>
        <v>Comum</v>
      </c>
      <c r="H26" s="1" t="str">
        <f>IFERROR(__xludf.DUMMYFUNCTION("""COMPUTED_VALUE"""),"9")</f>
        <v>9</v>
      </c>
      <c r="I26" s="4" t="str">
        <f>IFERROR(__xludf.DUMMYFUNCTION("""COMPUTED_VALUE"""),"26022109575")</f>
        <v>26022109575</v>
      </c>
      <c r="J26" s="1" t="str">
        <f>IFERROR(__xludf.DUMMYFUNCTION("""COMPUTED_VALUE"""),"09/02/2026 08:33:33")</f>
        <v>09/02/2026 08:33:33</v>
      </c>
      <c r="K26" s="1" t="str">
        <f>IFERROR(__xludf.DUMMYFUNCTION("""COMPUTED_VALUE"""),"EDERSON GABRIEL DA SILVA SANTOS GOIS")</f>
        <v>EDERSON GABRIEL DA SILVA SANTOS GOIS</v>
      </c>
      <c r="L26" s="5" t="str">
        <f>IFERROR(__xludf.DUMMYFUNCTION("""COMPUTED_VALUE"""),"181.265.684-02")</f>
        <v>181.265.684-02</v>
      </c>
      <c r="M26" s="5" t="str">
        <f>IFERROR(__xludf.DUMMYFUNCTION("""COMPUTED_VALUE"""),"17/02/2022")</f>
        <v>17/02/2022</v>
      </c>
      <c r="N26" s="1"/>
      <c r="O26" s="1" t="str">
        <f>IFERROR(__xludf.DUMMYFUNCTION("""COMPUTED_VALUE"""),"0")</f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ht="15.75" customHeight="1">
      <c r="A27" s="1"/>
      <c r="B27" s="1" t="str">
        <f t="array" ref="B27">XLOOKUP(C27,Tabela_1[NOME ESCOLA PONTO ID],Tabela_1[REGIONAL],"NE",0)</f>
        <v>REGIONAL 7</v>
      </c>
      <c r="C27" s="3" t="str">
        <f>IFERROR(__xludf.DUMMYFUNCTION("""COMPUTED_VALUE"""),"CEMEI ELIEL EUSTAQUIO DA SILVA")</f>
        <v>CEMEI ELIEL EUSTAQUIO DA SILVA</v>
      </c>
      <c r="D27" s="1" t="str">
        <f>IFERROR(__xludf.DUMMYFUNCTION("""COMPUTED_VALUE"""),"26109255")</f>
        <v>26109255</v>
      </c>
      <c r="E27" s="1" t="str">
        <f>IFERROR(__xludf.DUMMYFUNCTION("""COMPUTED_VALUE"""),"INFANTIL 4")</f>
        <v>INFANTIL 4</v>
      </c>
      <c r="F27" s="1" t="str">
        <f>IFERROR(__xludf.DUMMYFUNCTION("""COMPUTED_VALUE"""),"Matutino/Manhã")</f>
        <v>Matutino/Manhã</v>
      </c>
      <c r="G27" s="1" t="str">
        <f>IFERROR(__xludf.DUMMYFUNCTION("""COMPUTED_VALUE"""),"Comum")</f>
        <v>Comum</v>
      </c>
      <c r="H27" s="1" t="str">
        <f>IFERROR(__xludf.DUMMYFUNCTION("""COMPUTED_VALUE"""),"10")</f>
        <v>10</v>
      </c>
      <c r="I27" s="4" t="str">
        <f>IFERROR(__xludf.DUMMYFUNCTION("""COMPUTED_VALUE"""),"26022674866")</f>
        <v>26022674866</v>
      </c>
      <c r="J27" s="1" t="str">
        <f>IFERROR(__xludf.DUMMYFUNCTION("""COMPUTED_VALUE"""),"10/02/2026 08:38:18")</f>
        <v>10/02/2026 08:38:18</v>
      </c>
      <c r="K27" s="1" t="str">
        <f>IFERROR(__xludf.DUMMYFUNCTION("""COMPUTED_VALUE"""),"ALLÍCYA SOPHIA E SILVA RODRIGUES")</f>
        <v>ALLÍCYA SOPHIA E SILVA RODRIGUES</v>
      </c>
      <c r="L27" s="5" t="str">
        <f>IFERROR(__xludf.DUMMYFUNCTION("""COMPUTED_VALUE"""),"178.859.044-90")</f>
        <v>178.859.044-90</v>
      </c>
      <c r="M27" s="7" t="str">
        <f>IFERROR(__xludf.DUMMYFUNCTION("""COMPUTED_VALUE"""),"21/10/2021")</f>
        <v>21/10/2021</v>
      </c>
      <c r="N27" s="1"/>
      <c r="O27" s="1" t="str">
        <f>IFERROR(__xludf.DUMMYFUNCTION("""COMPUTED_VALUE"""),"0")</f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ht="15.75" customHeight="1">
      <c r="A28" s="1"/>
      <c r="B28" s="1" t="str">
        <f t="array" ref="B28">XLOOKUP(C28,Tabela_1[NOME ESCOLA PONTO ID],Tabela_1[REGIONAL],"NE",0)</f>
        <v>REGIONAL 7</v>
      </c>
      <c r="C28" s="3" t="str">
        <f>IFERROR(__xludf.DUMMYFUNCTION("""COMPUTED_VALUE"""),"CEMEI ELIEL EUSTAQUIO DA SILVA")</f>
        <v>CEMEI ELIEL EUSTAQUIO DA SILVA</v>
      </c>
      <c r="D28" s="1" t="str">
        <f>IFERROR(__xludf.DUMMYFUNCTION("""COMPUTED_VALUE"""),"26109255")</f>
        <v>26109255</v>
      </c>
      <c r="E28" s="1" t="str">
        <f>IFERROR(__xludf.DUMMYFUNCTION("""COMPUTED_VALUE"""),"INFANTIL 4")</f>
        <v>INFANTIL 4</v>
      </c>
      <c r="F28" s="1" t="str">
        <f>IFERROR(__xludf.DUMMYFUNCTION("""COMPUTED_VALUE"""),"Matutino/Manhã")</f>
        <v>Matutino/Manhã</v>
      </c>
      <c r="G28" s="1" t="str">
        <f>IFERROR(__xludf.DUMMYFUNCTION("""COMPUTED_VALUE"""),"Comum")</f>
        <v>Comum</v>
      </c>
      <c r="H28" s="1" t="str">
        <f>IFERROR(__xludf.DUMMYFUNCTION("""COMPUTED_VALUE"""),"11")</f>
        <v>11</v>
      </c>
      <c r="I28" s="4" t="str">
        <f>IFERROR(__xludf.DUMMYFUNCTION("""COMPUTED_VALUE"""),"26032523852")</f>
        <v>26032523852</v>
      </c>
      <c r="J28" s="1" t="str">
        <f>IFERROR(__xludf.DUMMYFUNCTION("""COMPUTED_VALUE"""),"26/03/2026 15:15:54")</f>
        <v>26/03/2026 15:15:54</v>
      </c>
      <c r="K28" s="1" t="str">
        <f>IFERROR(__xludf.DUMMYFUNCTION("""COMPUTED_VALUE"""),"YOHANNA LARISSA BARBOSA LOPES")</f>
        <v>YOHANNA LARISSA BARBOSA LOPES</v>
      </c>
      <c r="L28" s="5" t="str">
        <f>IFERROR(__xludf.DUMMYFUNCTION("""COMPUTED_VALUE"""),"176.892.574-70")</f>
        <v>176.892.574-70</v>
      </c>
      <c r="M28" s="7" t="str">
        <f>IFERROR(__xludf.DUMMYFUNCTION("""COMPUTED_VALUE"""),"30/05/2021")</f>
        <v>30/05/2021</v>
      </c>
      <c r="N28" s="1"/>
      <c r="O28" s="1" t="str">
        <f>IFERROR(__xludf.DUMMYFUNCTION("""COMPUTED_VALUE"""),"0")</f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ht="15.75" customHeight="1">
      <c r="A29" s="1"/>
      <c r="B29" s="1" t="str">
        <f t="array" ref="B29">XLOOKUP(C29,Tabela_1[NOME ESCOLA PONTO ID],Tabela_1[REGIONAL],"NE",0)</f>
        <v>REGIONAL 7</v>
      </c>
      <c r="C29" s="3" t="str">
        <f>IFERROR(__xludf.DUMMYFUNCTION("""COMPUTED_VALUE"""),"CEMEI ELIEL EUSTAQUIO DA SILVA")</f>
        <v>CEMEI ELIEL EUSTAQUIO DA SILVA</v>
      </c>
      <c r="D29" s="1" t="str">
        <f>IFERROR(__xludf.DUMMYFUNCTION("""COMPUTED_VALUE"""),"26109255")</f>
        <v>26109255</v>
      </c>
      <c r="E29" s="1" t="str">
        <f>IFERROR(__xludf.DUMMYFUNCTION("""COMPUTED_VALUE"""),"INFANTIL 4")</f>
        <v>INFANTIL 4</v>
      </c>
      <c r="F29" s="1" t="str">
        <f>IFERROR(__xludf.DUMMYFUNCTION("""COMPUTED_VALUE"""),"Matutino/Manhã")</f>
        <v>Matutino/Manhã</v>
      </c>
      <c r="G29" s="1" t="str">
        <f>IFERROR(__xludf.DUMMYFUNCTION("""COMPUTED_VALUE"""),"Comum")</f>
        <v>Comum</v>
      </c>
      <c r="H29" s="1" t="str">
        <f>IFERROR(__xludf.DUMMYFUNCTION("""COMPUTED_VALUE"""),"12")</f>
        <v>12</v>
      </c>
      <c r="I29" s="4" t="str">
        <f>IFERROR(__xludf.DUMMYFUNCTION("""COMPUTED_VALUE"""),"26042354258")</f>
        <v>26042354258</v>
      </c>
      <c r="J29" s="1" t="str">
        <f>IFERROR(__xludf.DUMMYFUNCTION("""COMPUTED_VALUE"""),"09/04/2026 13:55:24")</f>
        <v>09/04/2026 13:55:24</v>
      </c>
      <c r="K29" s="1" t="str">
        <f>IFERROR(__xludf.DUMMYFUNCTION("""COMPUTED_VALUE"""),"DAVI EMANUEL FARIAS GINO")</f>
        <v>DAVI EMANUEL FARIAS GINO</v>
      </c>
      <c r="L29" s="5" t="str">
        <f>IFERROR(__xludf.DUMMYFUNCTION("""COMPUTED_VALUE"""),"178.842.614-21")</f>
        <v>178.842.614-21</v>
      </c>
      <c r="M29" s="7" t="str">
        <f>IFERROR(__xludf.DUMMYFUNCTION("""COMPUTED_VALUE"""),"16/10/2021")</f>
        <v>16/10/2021</v>
      </c>
      <c r="N29" s="1"/>
      <c r="O29" s="1" t="str">
        <f>IFERROR(__xludf.DUMMYFUNCTION("""COMPUTED_VALUE"""),"0")</f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ht="15.75" customHeight="1">
      <c r="A30" s="1"/>
      <c r="B30" s="1" t="str">
        <f t="array" ref="B30">XLOOKUP(C30,Tabela_1[NOME ESCOLA PONTO ID],Tabela_1[REGIONAL],"NE",0)</f>
        <v>REGIONAL 7</v>
      </c>
      <c r="C30" s="3" t="str">
        <f>IFERROR(__xludf.DUMMYFUNCTION("""COMPUTED_VALUE"""),"CEMEI ELIEL EUSTAQUIO DA SILVA")</f>
        <v>CEMEI ELIEL EUSTAQUIO DA SILVA</v>
      </c>
      <c r="D30" s="1" t="str">
        <f>IFERROR(__xludf.DUMMYFUNCTION("""COMPUTED_VALUE"""),"26109255")</f>
        <v>26109255</v>
      </c>
      <c r="E30" s="1" t="str">
        <f>IFERROR(__xludf.DUMMYFUNCTION("""COMPUTED_VALUE"""),"INFANTIL 4")</f>
        <v>INFANTIL 4</v>
      </c>
      <c r="F30" s="1" t="str">
        <f>IFERROR(__xludf.DUMMYFUNCTION("""COMPUTED_VALUE"""),"Matutino/Manhã")</f>
        <v>Matutino/Manhã</v>
      </c>
      <c r="G30" s="1" t="str">
        <f>IFERROR(__xludf.DUMMYFUNCTION("""COMPUTED_VALUE"""),"Comum")</f>
        <v>Comum</v>
      </c>
      <c r="H30" s="1" t="str">
        <f>IFERROR(__xludf.DUMMYFUNCTION("""COMPUTED_VALUE"""),"13")</f>
        <v>13</v>
      </c>
      <c r="I30" s="4" t="str">
        <f>IFERROR(__xludf.DUMMYFUNCTION("""COMPUTED_VALUE"""),"26052109575")</f>
        <v>26052109575</v>
      </c>
      <c r="J30" s="1" t="str">
        <f>IFERROR(__xludf.DUMMYFUNCTION("""COMPUTED_VALUE"""),"27/05/2026 11:45:30")</f>
        <v>27/05/2026 11:45:30</v>
      </c>
      <c r="K30" s="1" t="str">
        <f>IFERROR(__xludf.DUMMYFUNCTION("""COMPUTED_VALUE"""),"Maria Beatriz da rocha Campelo")</f>
        <v>Maria Beatriz da rocha Campelo</v>
      </c>
      <c r="L30" s="5" t="str">
        <f>IFERROR(__xludf.DUMMYFUNCTION("""COMPUTED_VALUE"""),"177.413.554-06")</f>
        <v>177.413.554-06</v>
      </c>
      <c r="M30" s="7" t="str">
        <f>IFERROR(__xludf.DUMMYFUNCTION("""COMPUTED_VALUE"""),"09/07/2021")</f>
        <v>09/07/2021</v>
      </c>
      <c r="N30" s="1"/>
      <c r="O30" s="1" t="str">
        <f>IFERROR(__xludf.DUMMYFUNCTION("""COMPUTED_VALUE"""),"0")</f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ht="15.75" customHeight="1">
      <c r="A31" s="1"/>
      <c r="B31" s="1" t="str">
        <f t="array" ref="B31">XLOOKUP(C31,Tabela_1[NOME ESCOLA PONTO ID],Tabela_1[REGIONAL],"NE",0)</f>
        <v>REGIONAL 7</v>
      </c>
      <c r="C31" s="3" t="str">
        <f>IFERROR(__xludf.DUMMYFUNCTION("""COMPUTED_VALUE"""),"CEMEI JOÃO FERNANDES VIEIRA")</f>
        <v>CEMEI JOÃO FERNANDES VIEIRA</v>
      </c>
      <c r="D31" s="1" t="str">
        <f>IFERROR(__xludf.DUMMYFUNCTION("""COMPUTED_VALUE"""),"26109530")</f>
        <v>26109530</v>
      </c>
      <c r="E31" s="1" t="str">
        <f>IFERROR(__xludf.DUMMYFUNCTION("""COMPUTED_VALUE"""),"INFANTIL 4")</f>
        <v>INFANTIL 4</v>
      </c>
      <c r="F31" s="1" t="str">
        <f>IFERROR(__xludf.DUMMYFUNCTION("""COMPUTED_VALUE"""),"Matutino/Manhã")</f>
        <v>Matutino/Manhã</v>
      </c>
      <c r="G31" s="1" t="str">
        <f>IFERROR(__xludf.DUMMYFUNCTION("""COMPUTED_VALUE"""),"Comum")</f>
        <v>Comum</v>
      </c>
      <c r="H31" s="1" t="str">
        <f>IFERROR(__xludf.DUMMYFUNCTION("""COMPUTED_VALUE"""),"1")</f>
        <v>1</v>
      </c>
      <c r="I31" s="4" t="str">
        <f>IFERROR(__xludf.DUMMYFUNCTION("""COMPUTED_VALUE"""),"26012511040")</f>
        <v>26012511040</v>
      </c>
      <c r="J31" s="1" t="str">
        <f>IFERROR(__xludf.DUMMYFUNCTION("""COMPUTED_VALUE"""),"28/01/2026 08:40:52")</f>
        <v>28/01/2026 08:40:52</v>
      </c>
      <c r="K31" s="1" t="str">
        <f>IFERROR(__xludf.DUMMYFUNCTION("""COMPUTED_VALUE"""),"VITORIA ALVES BELO DA SILVA")</f>
        <v>VITORIA ALVES BELO DA SILVA</v>
      </c>
      <c r="L31" s="7" t="str">
        <f>IFERROR(__xludf.DUMMYFUNCTION("""COMPUTED_VALUE"""),"177.337.994-14")</f>
        <v>177.337.994-14</v>
      </c>
      <c r="M31" s="5" t="str">
        <f>IFERROR(__xludf.DUMMYFUNCTION("""COMPUTED_VALUE"""),"05/07/2021")</f>
        <v>05/07/2021</v>
      </c>
      <c r="N31" s="1"/>
      <c r="O31" s="1" t="str">
        <f>IFERROR(__xludf.DUMMYFUNCTION("""COMPUTED_VALUE"""),"0")</f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ht="15.75" customHeight="1">
      <c r="A32" s="1"/>
      <c r="B32" s="1" t="str">
        <f t="array" ref="B32">XLOOKUP(C32,Tabela_1[NOME ESCOLA PONTO ID],Tabela_1[REGIONAL],"NE",0)</f>
        <v>REGIONAL 7</v>
      </c>
      <c r="C32" s="3" t="str">
        <f>IFERROR(__xludf.DUMMYFUNCTION("""COMPUTED_VALUE"""),"CEMEI JOÃO FERNANDES VIEIRA")</f>
        <v>CEMEI JOÃO FERNANDES VIEIRA</v>
      </c>
      <c r="D32" s="1" t="str">
        <f>IFERROR(__xludf.DUMMYFUNCTION("""COMPUTED_VALUE"""),"26109530")</f>
        <v>26109530</v>
      </c>
      <c r="E32" s="1" t="str">
        <f>IFERROR(__xludf.DUMMYFUNCTION("""COMPUTED_VALUE"""),"INFANTIL 4")</f>
        <v>INFANTIL 4</v>
      </c>
      <c r="F32" s="1" t="str">
        <f>IFERROR(__xludf.DUMMYFUNCTION("""COMPUTED_VALUE"""),"Matutino/Manhã")</f>
        <v>Matutino/Manhã</v>
      </c>
      <c r="G32" s="1" t="str">
        <f>IFERROR(__xludf.DUMMYFUNCTION("""COMPUTED_VALUE"""),"Comum")</f>
        <v>Comum</v>
      </c>
      <c r="H32" s="1" t="str">
        <f>IFERROR(__xludf.DUMMYFUNCTION("""COMPUTED_VALUE"""),"2")</f>
        <v>2</v>
      </c>
      <c r="I32" s="4" t="str">
        <f>IFERROR(__xludf.DUMMYFUNCTION("""COMPUTED_VALUE"""),"26022386245")</f>
        <v>26022386245</v>
      </c>
      <c r="J32" s="1" t="str">
        <f>IFERROR(__xludf.DUMMYFUNCTION("""COMPUTED_VALUE"""),"04/02/2026 10:08:37")</f>
        <v>04/02/2026 10:08:37</v>
      </c>
      <c r="K32" s="1" t="str">
        <f>IFERROR(__xludf.DUMMYFUNCTION("""COMPUTED_VALUE"""),"MARIA VALLENTHINA SOPHIA NASCIMENTO")</f>
        <v>MARIA VALLENTHINA SOPHIA NASCIMENTO</v>
      </c>
      <c r="L32" s="5" t="str">
        <f>IFERROR(__xludf.DUMMYFUNCTION("""COMPUTED_VALUE"""),"180.367.124-66")</f>
        <v>180.367.124-66</v>
      </c>
      <c r="M32" s="5" t="str">
        <f>IFERROR(__xludf.DUMMYFUNCTION("""COMPUTED_VALUE"""),"04/02/2022")</f>
        <v>04/02/2022</v>
      </c>
      <c r="N32" s="1"/>
      <c r="O32" s="1" t="str">
        <f>IFERROR(__xludf.DUMMYFUNCTION("""COMPUTED_VALUE"""),"0")</f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ht="15.75" customHeight="1">
      <c r="A33" s="1"/>
      <c r="B33" s="1" t="str">
        <f t="array" ref="B33">XLOOKUP(C33,Tabela_1[NOME ESCOLA PONTO ID],Tabela_1[REGIONAL],"NE",0)</f>
        <v>REGIONAL 7</v>
      </c>
      <c r="C33" s="3" t="str">
        <f>IFERROR(__xludf.DUMMYFUNCTION("""COMPUTED_VALUE"""),"CEMEI JOÃO FERNANDES VIEIRA")</f>
        <v>CEMEI JOÃO FERNANDES VIEIRA</v>
      </c>
      <c r="D33" s="1" t="str">
        <f>IFERROR(__xludf.DUMMYFUNCTION("""COMPUTED_VALUE"""),"26109530")</f>
        <v>26109530</v>
      </c>
      <c r="E33" s="1" t="str">
        <f>IFERROR(__xludf.DUMMYFUNCTION("""COMPUTED_VALUE"""),"INFANTIL 4")</f>
        <v>INFANTIL 4</v>
      </c>
      <c r="F33" s="1" t="str">
        <f>IFERROR(__xludf.DUMMYFUNCTION("""COMPUTED_VALUE"""),"Vespertino/Tarde")</f>
        <v>Vespertino/Tarde</v>
      </c>
      <c r="G33" s="1" t="str">
        <f>IFERROR(__xludf.DUMMYFUNCTION("""COMPUTED_VALUE"""),"Comum")</f>
        <v>Comum</v>
      </c>
      <c r="H33" s="1" t="str">
        <f>IFERROR(__xludf.DUMMYFUNCTION("""COMPUTED_VALUE"""),"1")</f>
        <v>1</v>
      </c>
      <c r="I33" s="6" t="str">
        <f>IFERROR(__xludf.DUMMYFUNCTION("""COMPUTED_VALUE"""),"26012971328")</f>
        <v>26012971328</v>
      </c>
      <c r="J33" s="1" t="str">
        <f>IFERROR(__xludf.DUMMYFUNCTION("""COMPUTED_VALUE"""),"29/01/2026 12:10:37")</f>
        <v>29/01/2026 12:10:37</v>
      </c>
      <c r="K33" s="1" t="str">
        <f>IFERROR(__xludf.DUMMYFUNCTION("""COMPUTED_VALUE"""),"MARIA CLARA DA SILVA")</f>
        <v>MARIA CLARA DA SILVA</v>
      </c>
      <c r="L33" s="5" t="str">
        <f>IFERROR(__xludf.DUMMYFUNCTION("""COMPUTED_VALUE"""),"177.832.344-88")</f>
        <v>177.832.344-88</v>
      </c>
      <c r="M33" s="5" t="str">
        <f>IFERROR(__xludf.DUMMYFUNCTION("""COMPUTED_VALUE"""),"30/04/2021")</f>
        <v>30/04/2021</v>
      </c>
      <c r="N33" s="1"/>
      <c r="O33" s="1" t="str">
        <f>IFERROR(__xludf.DUMMYFUNCTION("""COMPUTED_VALUE"""),"0")</f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ht="15.75" customHeight="1">
      <c r="A34" s="1"/>
      <c r="B34" s="1" t="str">
        <f t="array" ref="B34">XLOOKUP(C34,Tabela_1[NOME ESCOLA PONTO ID],Tabela_1[REGIONAL],"NE",0)</f>
        <v>REGIONAL 7</v>
      </c>
      <c r="C34" s="3" t="str">
        <f>IFERROR(__xludf.DUMMYFUNCTION("""COMPUTED_VALUE"""),"CEMEI JOÃO FERNANDES VIEIRA")</f>
        <v>CEMEI JOÃO FERNANDES VIEIRA</v>
      </c>
      <c r="D34" s="1" t="str">
        <f>IFERROR(__xludf.DUMMYFUNCTION("""COMPUTED_VALUE"""),"26109530")</f>
        <v>26109530</v>
      </c>
      <c r="E34" s="1" t="str">
        <f>IFERROR(__xludf.DUMMYFUNCTION("""COMPUTED_VALUE"""),"INFANTIL 5")</f>
        <v>INFANTIL 5</v>
      </c>
      <c r="F34" s="1" t="str">
        <f>IFERROR(__xludf.DUMMYFUNCTION("""COMPUTED_VALUE"""),"Matutino/Manhã")</f>
        <v>Matutino/Manhã</v>
      </c>
      <c r="G34" s="1" t="str">
        <f>IFERROR(__xludf.DUMMYFUNCTION("""COMPUTED_VALUE"""),"Comum")</f>
        <v>Comum</v>
      </c>
      <c r="H34" s="1" t="str">
        <f>IFERROR(__xludf.DUMMYFUNCTION("""COMPUTED_VALUE"""),"1")</f>
        <v>1</v>
      </c>
      <c r="I34" s="6" t="str">
        <f>IFERROR(__xludf.DUMMYFUNCTION("""COMPUTED_VALUE"""),"26022172975")</f>
        <v>26022172975</v>
      </c>
      <c r="J34" s="1" t="str">
        <f>IFERROR(__xludf.DUMMYFUNCTION("""COMPUTED_VALUE"""),"02/02/2026 08:05:51")</f>
        <v>02/02/2026 08:05:51</v>
      </c>
      <c r="K34" s="1" t="str">
        <f>IFERROR(__xludf.DUMMYFUNCTION("""COMPUTED_VALUE"""),"GUILHERME BELO DA SILVA")</f>
        <v>GUILHERME BELO DA SILVA</v>
      </c>
      <c r="L34" s="5" t="str">
        <f>IFERROR(__xludf.DUMMYFUNCTION("""COMPUTED_VALUE"""),"171.947.514-88")</f>
        <v>171.947.514-88</v>
      </c>
      <c r="M34" s="5" t="str">
        <f>IFERROR(__xludf.DUMMYFUNCTION("""COMPUTED_VALUE"""),"21/05/2020")</f>
        <v>21/05/2020</v>
      </c>
      <c r="N34" s="1"/>
      <c r="O34" s="1" t="str">
        <f>IFERROR(__xludf.DUMMYFUNCTION("""COMPUTED_VALUE"""),"0")</f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ht="15.75" customHeight="1">
      <c r="A35" s="1"/>
      <c r="B35" s="1" t="str">
        <f t="array" ref="B35">XLOOKUP(C35,Tabela_1[NOME ESCOLA PONTO ID],Tabela_1[REGIONAL],"NE",0)</f>
        <v>REGIONAL 7</v>
      </c>
      <c r="C35" s="3" t="str">
        <f>IFERROR(__xludf.DUMMYFUNCTION("""COMPUTED_VALUE"""),"CEMEI JOÃO FERNANDES VIEIRA")</f>
        <v>CEMEI JOÃO FERNANDES VIEIRA</v>
      </c>
      <c r="D35" s="1" t="str">
        <f>IFERROR(__xludf.DUMMYFUNCTION("""COMPUTED_VALUE"""),"26109530")</f>
        <v>26109530</v>
      </c>
      <c r="E35" s="1" t="str">
        <f>IFERROR(__xludf.DUMMYFUNCTION("""COMPUTED_VALUE"""),"INFANTIL 5")</f>
        <v>INFANTIL 5</v>
      </c>
      <c r="F35" s="1" t="str">
        <f>IFERROR(__xludf.DUMMYFUNCTION("""COMPUTED_VALUE"""),"Matutino/Manhã")</f>
        <v>Matutino/Manhã</v>
      </c>
      <c r="G35" s="1" t="str">
        <f>IFERROR(__xludf.DUMMYFUNCTION("""COMPUTED_VALUE"""),"Comum")</f>
        <v>Comum</v>
      </c>
      <c r="H35" s="1" t="str">
        <f>IFERROR(__xludf.DUMMYFUNCTION("""COMPUTED_VALUE"""),"2")</f>
        <v>2</v>
      </c>
      <c r="I35" s="6" t="str">
        <f>IFERROR(__xludf.DUMMYFUNCTION("""COMPUTED_VALUE"""),"26022602142")</f>
        <v>26022602142</v>
      </c>
      <c r="J35" s="1" t="str">
        <f>IFERROR(__xludf.DUMMYFUNCTION("""COMPUTED_VALUE"""),"11/02/2026 11:23:05")</f>
        <v>11/02/2026 11:23:05</v>
      </c>
      <c r="K35" s="1" t="str">
        <f>IFERROR(__xludf.DUMMYFUNCTION("""COMPUTED_VALUE"""),"ANTHONNY GABRIEL DA SILVA")</f>
        <v>ANTHONNY GABRIEL DA SILVA</v>
      </c>
      <c r="L35" s="5" t="str">
        <f>IFERROR(__xludf.DUMMYFUNCTION("""COMPUTED_VALUE"""),"175.853.744-29")</f>
        <v>175.853.744-29</v>
      </c>
      <c r="M35" s="5" t="str">
        <f>IFERROR(__xludf.DUMMYFUNCTION("""COMPUTED_VALUE"""),"05/03/2021")</f>
        <v>05/03/2021</v>
      </c>
      <c r="N35" s="1"/>
      <c r="O35" s="1" t="str">
        <f>IFERROR(__xludf.DUMMYFUNCTION("""COMPUTED_VALUE"""),"0")</f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ht="15.75" customHeight="1">
      <c r="A36" s="1"/>
      <c r="B36" s="1" t="str">
        <f t="array" ref="B36">XLOOKUP(C36,Tabela_1[NOME ESCOLA PONTO ID],Tabela_1[REGIONAL],"NE",0)</f>
        <v>REGIONAL 6</v>
      </c>
      <c r="C36" s="3" t="str">
        <f>IFERROR(__xludf.DUMMYFUNCTION("""COMPUTED_VALUE"""),"CEMEI LIGIA ARAUJO DE OLIVEIRA")</f>
        <v>CEMEI LIGIA ARAUJO DE OLIVEIRA</v>
      </c>
      <c r="D36" s="1" t="str">
        <f>IFERROR(__xludf.DUMMYFUNCTION("""COMPUTED_VALUE"""),"26191300")</f>
        <v>26191300</v>
      </c>
      <c r="E36" s="1" t="str">
        <f>IFERROR(__xludf.DUMMYFUNCTION("""COMPUTED_VALUE"""),"INFANTIL 1")</f>
        <v>INFANTIL 1</v>
      </c>
      <c r="F36" s="1" t="str">
        <f>IFERROR(__xludf.DUMMYFUNCTION("""COMPUTED_VALUE"""),"Integral")</f>
        <v>Integral</v>
      </c>
      <c r="G36" s="1" t="str">
        <f>IFERROR(__xludf.DUMMYFUNCTION("""COMPUTED_VALUE"""),"Comum")</f>
        <v>Comum</v>
      </c>
      <c r="H36" s="1" t="str">
        <f>IFERROR(__xludf.DUMMYFUNCTION("""COMPUTED_VALUE"""),"1")</f>
        <v>1</v>
      </c>
      <c r="I36" s="6" t="str">
        <f>IFERROR(__xludf.DUMMYFUNCTION("""COMPUTED_VALUE"""),"26032957457")</f>
        <v>26032957457</v>
      </c>
      <c r="J36" s="1" t="str">
        <f>IFERROR(__xludf.DUMMYFUNCTION("""COMPUTED_VALUE"""),"09/03/2026 17:29:00")</f>
        <v>09/03/2026 17:29:00</v>
      </c>
      <c r="K36" s="1" t="str">
        <f>IFERROR(__xludf.DUMMYFUNCTION("""COMPUTED_VALUE"""),"MIGUEL DE CARVALHO MELO CARDOSO")</f>
        <v>MIGUEL DE CARVALHO MELO CARDOSO</v>
      </c>
      <c r="L36" s="5" t="str">
        <f>IFERROR(__xludf.DUMMYFUNCTION("""COMPUTED_VALUE"""),"003.288.894-58")</f>
        <v>003.288.894-58</v>
      </c>
      <c r="M36" s="5" t="str">
        <f>IFERROR(__xludf.DUMMYFUNCTION("""COMPUTED_VALUE"""),"21/05/2024")</f>
        <v>21/05/2024</v>
      </c>
      <c r="N36" s="1"/>
      <c r="O36" s="1" t="str">
        <f>IFERROR(__xludf.DUMMYFUNCTION("""COMPUTED_VALUE"""),"0")</f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ht="15.75" customHeight="1">
      <c r="A37" s="1"/>
      <c r="B37" s="1" t="str">
        <f t="array" ref="B37">XLOOKUP(C37,Tabela_1[NOME ESCOLA PONTO ID],Tabela_1[REGIONAL],"NE",0)</f>
        <v>REGIONAL 6</v>
      </c>
      <c r="C37" s="3" t="str">
        <f>IFERROR(__xludf.DUMMYFUNCTION("""COMPUTED_VALUE"""),"CEMEI LIGIA ARAUJO DE OLIVEIRA")</f>
        <v>CEMEI LIGIA ARAUJO DE OLIVEIRA</v>
      </c>
      <c r="D37" s="1" t="str">
        <f>IFERROR(__xludf.DUMMYFUNCTION("""COMPUTED_VALUE"""),"26191300")</f>
        <v>26191300</v>
      </c>
      <c r="E37" s="1" t="str">
        <f>IFERROR(__xludf.DUMMYFUNCTION("""COMPUTED_VALUE"""),"INFANTIL 1")</f>
        <v>INFANTIL 1</v>
      </c>
      <c r="F37" s="1" t="str">
        <f>IFERROR(__xludf.DUMMYFUNCTION("""COMPUTED_VALUE"""),"Integral")</f>
        <v>Integral</v>
      </c>
      <c r="G37" s="1" t="str">
        <f>IFERROR(__xludf.DUMMYFUNCTION("""COMPUTED_VALUE"""),"Comum")</f>
        <v>Comum</v>
      </c>
      <c r="H37" s="1" t="str">
        <f>IFERROR(__xludf.DUMMYFUNCTION("""COMPUTED_VALUE"""),"2")</f>
        <v>2</v>
      </c>
      <c r="I37" s="6" t="str">
        <f>IFERROR(__xludf.DUMMYFUNCTION("""COMPUTED_VALUE"""),"26032662209")</f>
        <v>26032662209</v>
      </c>
      <c r="J37" s="1" t="str">
        <f>IFERROR(__xludf.DUMMYFUNCTION("""COMPUTED_VALUE"""),"23/03/2026 19:01:28")</f>
        <v>23/03/2026 19:01:28</v>
      </c>
      <c r="K37" s="1" t="str">
        <f>IFERROR(__xludf.DUMMYFUNCTION("""COMPUTED_VALUE"""),"LIAN SALAZAR SERNA")</f>
        <v>LIAN SALAZAR SERNA</v>
      </c>
      <c r="L37" s="5" t="str">
        <f>IFERROR(__xludf.DUMMYFUNCTION("""COMPUTED_VALUE"""),"003.732.314-82")</f>
        <v>003.732.314-82</v>
      </c>
      <c r="M37" s="5" t="str">
        <f>IFERROR(__xludf.DUMMYFUNCTION("""COMPUTED_VALUE"""),"15/05/2024")</f>
        <v>15/05/2024</v>
      </c>
      <c r="N37" s="1"/>
      <c r="O37" s="1" t="str">
        <f>IFERROR(__xludf.DUMMYFUNCTION("""COMPUTED_VALUE"""),"0")</f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ht="15.75" customHeight="1">
      <c r="A38" s="1"/>
      <c r="B38" s="1" t="str">
        <f t="array" ref="B38">XLOOKUP(C38,Tabela_1[NOME ESCOLA PONTO ID],Tabela_1[REGIONAL],"NE",0)</f>
        <v>REGIONAL 6</v>
      </c>
      <c r="C38" s="3" t="str">
        <f>IFERROR(__xludf.DUMMYFUNCTION("""COMPUTED_VALUE"""),"CEMEI LIGIA ARAUJO DE OLIVEIRA")</f>
        <v>CEMEI LIGIA ARAUJO DE OLIVEIRA</v>
      </c>
      <c r="D38" s="1" t="str">
        <f>IFERROR(__xludf.DUMMYFUNCTION("""COMPUTED_VALUE"""),"26191300")</f>
        <v>26191300</v>
      </c>
      <c r="E38" s="1" t="str">
        <f>IFERROR(__xludf.DUMMYFUNCTION("""COMPUTED_VALUE"""),"INFANTIL 2")</f>
        <v>INFANTIL 2</v>
      </c>
      <c r="F38" s="1" t="str">
        <f>IFERROR(__xludf.DUMMYFUNCTION("""COMPUTED_VALUE"""),"Integral")</f>
        <v>Integral</v>
      </c>
      <c r="G38" s="1" t="str">
        <f>IFERROR(__xludf.DUMMYFUNCTION("""COMPUTED_VALUE"""),"Comum")</f>
        <v>Comum</v>
      </c>
      <c r="H38" s="1" t="str">
        <f>IFERROR(__xludf.DUMMYFUNCTION("""COMPUTED_VALUE"""),"1")</f>
        <v>1</v>
      </c>
      <c r="I38" s="6" t="str">
        <f>IFERROR(__xludf.DUMMYFUNCTION("""COMPUTED_VALUE"""),"26012747238")</f>
        <v>26012747238</v>
      </c>
      <c r="J38" s="1" t="str">
        <f>IFERROR(__xludf.DUMMYFUNCTION("""COMPUTED_VALUE"""),"28/01/2026 08:07:40")</f>
        <v>28/01/2026 08:07:40</v>
      </c>
      <c r="K38" s="1" t="str">
        <f>IFERROR(__xludf.DUMMYFUNCTION("""COMPUTED_VALUE"""),"ÍCARO MIGUEL ESPÍNDOLA DA SILVA")</f>
        <v>ÍCARO MIGUEL ESPÍNDOLA DA SILVA</v>
      </c>
      <c r="L38" s="5" t="str">
        <f>IFERROR(__xludf.DUMMYFUNCTION("""COMPUTED_VALUE"""),"001.566.454-67")</f>
        <v>001.566.454-67</v>
      </c>
      <c r="M38" s="5" t="str">
        <f>IFERROR(__xludf.DUMMYFUNCTION("""COMPUTED_VALUE"""),"19/08/2023")</f>
        <v>19/08/2023</v>
      </c>
      <c r="N38" s="1"/>
      <c r="O38" s="1" t="str">
        <f>IFERROR(__xludf.DUMMYFUNCTION("""COMPUTED_VALUE"""),"0")</f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ht="15.75" customHeight="1">
      <c r="A39" s="1"/>
      <c r="B39" s="1" t="str">
        <f t="array" ref="B39">XLOOKUP(C39,Tabela_1[NOME ESCOLA PONTO ID],Tabela_1[REGIONAL],"NE",0)</f>
        <v>REGIONAL 6</v>
      </c>
      <c r="C39" s="3" t="str">
        <f>IFERROR(__xludf.DUMMYFUNCTION("""COMPUTED_VALUE"""),"CEMEI LIGIA ARAUJO DE OLIVEIRA")</f>
        <v>CEMEI LIGIA ARAUJO DE OLIVEIRA</v>
      </c>
      <c r="D39" s="1" t="str">
        <f>IFERROR(__xludf.DUMMYFUNCTION("""COMPUTED_VALUE"""),"26191300")</f>
        <v>26191300</v>
      </c>
      <c r="E39" s="1" t="str">
        <f>IFERROR(__xludf.DUMMYFUNCTION("""COMPUTED_VALUE"""),"INFANTIL 2")</f>
        <v>INFANTIL 2</v>
      </c>
      <c r="F39" s="1" t="str">
        <f>IFERROR(__xludf.DUMMYFUNCTION("""COMPUTED_VALUE"""),"Integral")</f>
        <v>Integral</v>
      </c>
      <c r="G39" s="1" t="str">
        <f>IFERROR(__xludf.DUMMYFUNCTION("""COMPUTED_VALUE"""),"Comum")</f>
        <v>Comum</v>
      </c>
      <c r="H39" s="1" t="str">
        <f>IFERROR(__xludf.DUMMYFUNCTION("""COMPUTED_VALUE"""),"2")</f>
        <v>2</v>
      </c>
      <c r="I39" s="6" t="str">
        <f>IFERROR(__xludf.DUMMYFUNCTION("""COMPUTED_VALUE"""),"26012677600")</f>
        <v>26012677600</v>
      </c>
      <c r="J39" s="1" t="str">
        <f>IFERROR(__xludf.DUMMYFUNCTION("""COMPUTED_VALUE"""),"29/01/2026 10:35:38")</f>
        <v>29/01/2026 10:35:38</v>
      </c>
      <c r="K39" s="1" t="str">
        <f>IFERROR(__xludf.DUMMYFUNCTION("""COMPUTED_VALUE"""),"OLIVER HEITOR LINS LIRA")</f>
        <v>OLIVER HEITOR LINS LIRA</v>
      </c>
      <c r="L39" s="5" t="str">
        <f>IFERROR(__xludf.DUMMYFUNCTION("""COMPUTED_VALUE"""),"185.479.534-18")</f>
        <v>185.479.534-18</v>
      </c>
      <c r="M39" s="5" t="str">
        <f>IFERROR(__xludf.DUMMYFUNCTION("""COMPUTED_VALUE"""),"27/05/2023")</f>
        <v>27/05/2023</v>
      </c>
      <c r="N39" s="1"/>
      <c r="O39" s="1" t="str">
        <f>IFERROR(__xludf.DUMMYFUNCTION("""COMPUTED_VALUE"""),"0")</f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ht="15.75" customHeight="1">
      <c r="A40" s="1"/>
      <c r="B40" s="1" t="str">
        <f t="array" ref="B40">XLOOKUP(C40,Tabela_1[NOME ESCOLA PONTO ID],Tabela_1[REGIONAL],"NE",0)</f>
        <v>REGIONAL 6</v>
      </c>
      <c r="C40" s="3" t="str">
        <f>IFERROR(__xludf.DUMMYFUNCTION("""COMPUTED_VALUE"""),"CEMEI LIGIA ARAUJO DE OLIVEIRA")</f>
        <v>CEMEI LIGIA ARAUJO DE OLIVEIRA</v>
      </c>
      <c r="D40" s="1" t="str">
        <f>IFERROR(__xludf.DUMMYFUNCTION("""COMPUTED_VALUE"""),"26191300")</f>
        <v>26191300</v>
      </c>
      <c r="E40" s="1" t="str">
        <f>IFERROR(__xludf.DUMMYFUNCTION("""COMPUTED_VALUE"""),"INFANTIL 2")</f>
        <v>INFANTIL 2</v>
      </c>
      <c r="F40" s="1" t="str">
        <f>IFERROR(__xludf.DUMMYFUNCTION("""COMPUTED_VALUE"""),"Integral")</f>
        <v>Integral</v>
      </c>
      <c r="G40" s="1" t="str">
        <f>IFERROR(__xludf.DUMMYFUNCTION("""COMPUTED_VALUE"""),"Comum")</f>
        <v>Comum</v>
      </c>
      <c r="H40" s="1" t="str">
        <f>IFERROR(__xludf.DUMMYFUNCTION("""COMPUTED_VALUE"""),"3")</f>
        <v>3</v>
      </c>
      <c r="I40" s="6" t="str">
        <f>IFERROR(__xludf.DUMMYFUNCTION("""COMPUTED_VALUE"""),"26032167672")</f>
        <v>26032167672</v>
      </c>
      <c r="J40" s="1" t="str">
        <f>IFERROR(__xludf.DUMMYFUNCTION("""COMPUTED_VALUE"""),"11/03/2026 10:19:05")</f>
        <v>11/03/2026 10:19:05</v>
      </c>
      <c r="K40" s="1" t="str">
        <f>IFERROR(__xludf.DUMMYFUNCTION("""COMPUTED_VALUE"""),"ALISSON GABRIEL DOS SANTOS SILVA")</f>
        <v>ALISSON GABRIEL DOS SANTOS SILVA</v>
      </c>
      <c r="L40" s="5" t="str">
        <f>IFERROR(__xludf.DUMMYFUNCTION("""COMPUTED_VALUE"""),"001.878.044-00")</f>
        <v>001.878.044-00</v>
      </c>
      <c r="M40" s="5" t="str">
        <f>IFERROR(__xludf.DUMMYFUNCTION("""COMPUTED_VALUE"""),"30/12/2023")</f>
        <v>30/12/2023</v>
      </c>
      <c r="N40" s="1"/>
      <c r="O40" s="1" t="str">
        <f>IFERROR(__xludf.DUMMYFUNCTION("""COMPUTED_VALUE"""),"0")</f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ht="15.75" customHeight="1">
      <c r="A41" s="1"/>
      <c r="B41" s="1" t="str">
        <f t="array" ref="B41">XLOOKUP(C41,Tabela_1[NOME ESCOLA PONTO ID],Tabela_1[REGIONAL],"NE",0)</f>
        <v>REGIONAL 6</v>
      </c>
      <c r="C41" s="3" t="str">
        <f>IFERROR(__xludf.DUMMYFUNCTION("""COMPUTED_VALUE"""),"CEMEI LIGIA ARAUJO DE OLIVEIRA")</f>
        <v>CEMEI LIGIA ARAUJO DE OLIVEIRA</v>
      </c>
      <c r="D41" s="1" t="str">
        <f>IFERROR(__xludf.DUMMYFUNCTION("""COMPUTED_VALUE"""),"26191300")</f>
        <v>26191300</v>
      </c>
      <c r="E41" s="1" t="str">
        <f>IFERROR(__xludf.DUMMYFUNCTION("""COMPUTED_VALUE"""),"INFANTIL 2")</f>
        <v>INFANTIL 2</v>
      </c>
      <c r="F41" s="1" t="str">
        <f>IFERROR(__xludf.DUMMYFUNCTION("""COMPUTED_VALUE"""),"Integral")</f>
        <v>Integral</v>
      </c>
      <c r="G41" s="1" t="str">
        <f>IFERROR(__xludf.DUMMYFUNCTION("""COMPUTED_VALUE"""),"Comum")</f>
        <v>Comum</v>
      </c>
      <c r="H41" s="1" t="str">
        <f>IFERROR(__xludf.DUMMYFUNCTION("""COMPUTED_VALUE"""),"4")</f>
        <v>4</v>
      </c>
      <c r="I41" s="6" t="str">
        <f>IFERROR(__xludf.DUMMYFUNCTION("""COMPUTED_VALUE"""),"26042573900")</f>
        <v>26042573900</v>
      </c>
      <c r="J41" s="1" t="str">
        <f>IFERROR(__xludf.DUMMYFUNCTION("""COMPUTED_VALUE"""),"20/04/2026 12:53:45")</f>
        <v>20/04/2026 12:53:45</v>
      </c>
      <c r="K41" s="1" t="str">
        <f>IFERROR(__xludf.DUMMYFUNCTION("""COMPUTED_VALUE"""),"ISABELA MARIA DIAS DA SILVA")</f>
        <v>ISABELA MARIA DIAS DA SILVA</v>
      </c>
      <c r="L41" s="7" t="str">
        <f>IFERROR(__xludf.DUMMYFUNCTION("""COMPUTED_VALUE"""),"166.511.419-37")</f>
        <v>166.511.419-37</v>
      </c>
      <c r="M41" s="5" t="str">
        <f>IFERROR(__xludf.DUMMYFUNCTION("""COMPUTED_VALUE"""),"02/05/2023")</f>
        <v>02/05/2023</v>
      </c>
      <c r="N41" s="1"/>
      <c r="O41" s="1" t="str">
        <f>IFERROR(__xludf.DUMMYFUNCTION("""COMPUTED_VALUE"""),"0")</f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ht="15.75" customHeight="1">
      <c r="A42" s="1"/>
      <c r="B42" s="1" t="str">
        <f t="array" ref="B42">XLOOKUP(C42,Tabela_1[NOME ESCOLA PONTO ID],Tabela_1[REGIONAL],"NE",0)</f>
        <v>REGIONAL 6</v>
      </c>
      <c r="C42" s="3" t="str">
        <f>IFERROR(__xludf.DUMMYFUNCTION("""COMPUTED_VALUE"""),"CEMEI LIGIA ARAUJO DE OLIVEIRA")</f>
        <v>CEMEI LIGIA ARAUJO DE OLIVEIRA</v>
      </c>
      <c r="D42" s="1" t="str">
        <f>IFERROR(__xludf.DUMMYFUNCTION("""COMPUTED_VALUE"""),"26191300")</f>
        <v>26191300</v>
      </c>
      <c r="E42" s="1" t="str">
        <f>IFERROR(__xludf.DUMMYFUNCTION("""COMPUTED_VALUE"""),"INFANTIL 2")</f>
        <v>INFANTIL 2</v>
      </c>
      <c r="F42" s="1" t="str">
        <f>IFERROR(__xludf.DUMMYFUNCTION("""COMPUTED_VALUE"""),"Integral")</f>
        <v>Integral</v>
      </c>
      <c r="G42" s="1" t="str">
        <f>IFERROR(__xludf.DUMMYFUNCTION("""COMPUTED_VALUE"""),"Comum")</f>
        <v>Comum</v>
      </c>
      <c r="H42" s="1" t="str">
        <f>IFERROR(__xludf.DUMMYFUNCTION("""COMPUTED_VALUE"""),"5")</f>
        <v>5</v>
      </c>
      <c r="I42" s="4" t="str">
        <f>IFERROR(__xludf.DUMMYFUNCTION("""COMPUTED_VALUE"""),"26052223423")</f>
        <v>26052223423</v>
      </c>
      <c r="J42" s="1" t="str">
        <f>IFERROR(__xludf.DUMMYFUNCTION("""COMPUTED_VALUE"""),"08/05/2026 07:30:21")</f>
        <v>08/05/2026 07:30:21</v>
      </c>
      <c r="K42" s="1" t="str">
        <f>IFERROR(__xludf.DUMMYFUNCTION("""COMPUTED_VALUE"""),"HEITOR GABRIEL MARQUES DOS SANTOS")</f>
        <v>HEITOR GABRIEL MARQUES DOS SANTOS</v>
      </c>
      <c r="L42" s="5" t="str">
        <f>IFERROR(__xludf.DUMMYFUNCTION("""COMPUTED_VALUE"""),"185.759.414-29")</f>
        <v>185.759.414-29</v>
      </c>
      <c r="M42" s="5" t="str">
        <f>IFERROR(__xludf.DUMMYFUNCTION("""COMPUTED_VALUE"""),"20/05/2023")</f>
        <v>20/05/2023</v>
      </c>
      <c r="N42" s="1"/>
      <c r="O42" s="1" t="str">
        <f>IFERROR(__xludf.DUMMYFUNCTION("""COMPUTED_VALUE"""),"0")</f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ht="15.75" customHeight="1">
      <c r="A43" s="1"/>
      <c r="B43" s="1" t="str">
        <f t="array" ref="B43">XLOOKUP(C43,Tabela_1[NOME ESCOLA PONTO ID],Tabela_1[REGIONAL],"NE",0)</f>
        <v>REGIONAL 6</v>
      </c>
      <c r="C43" s="3" t="str">
        <f>IFERROR(__xludf.DUMMYFUNCTION("""COMPUTED_VALUE"""),"CEMEI LIGIA ARAUJO DE OLIVEIRA")</f>
        <v>CEMEI LIGIA ARAUJO DE OLIVEIRA</v>
      </c>
      <c r="D43" s="1" t="str">
        <f>IFERROR(__xludf.DUMMYFUNCTION("""COMPUTED_VALUE"""),"26191300")</f>
        <v>26191300</v>
      </c>
      <c r="E43" s="1" t="str">
        <f>IFERROR(__xludf.DUMMYFUNCTION("""COMPUTED_VALUE"""),"INFANTIL 2")</f>
        <v>INFANTIL 2</v>
      </c>
      <c r="F43" s="1" t="str">
        <f>IFERROR(__xludf.DUMMYFUNCTION("""COMPUTED_VALUE"""),"Integral")</f>
        <v>Integral</v>
      </c>
      <c r="G43" s="1" t="str">
        <f>IFERROR(__xludf.DUMMYFUNCTION("""COMPUTED_VALUE"""),"Comum")</f>
        <v>Comum</v>
      </c>
      <c r="H43" s="1" t="str">
        <f>IFERROR(__xludf.DUMMYFUNCTION("""COMPUTED_VALUE"""),"6")</f>
        <v>6</v>
      </c>
      <c r="I43" s="4" t="str">
        <f>IFERROR(__xludf.DUMMYFUNCTION("""COMPUTED_VALUE"""),"26062955555")</f>
        <v>26062955555</v>
      </c>
      <c r="J43" s="1" t="str">
        <f>IFERROR(__xludf.DUMMYFUNCTION("""COMPUTED_VALUE"""),"10/06/2026 09:35:26")</f>
        <v>10/06/2026 09:35:26</v>
      </c>
      <c r="K43" s="1" t="str">
        <f>IFERROR(__xludf.DUMMYFUNCTION("""COMPUTED_VALUE"""),"HENRIQUE LORENZO PACHECO DA SILVA")</f>
        <v>HENRIQUE LORENZO PACHECO DA SILVA</v>
      </c>
      <c r="L43" s="5" t="str">
        <f>IFERROR(__xludf.DUMMYFUNCTION("""COMPUTED_VALUE"""),"035.434.204-53")</f>
        <v>035.434.204-53</v>
      </c>
      <c r="M43" s="5" t="str">
        <f>IFERROR(__xludf.DUMMYFUNCTION("""COMPUTED_VALUE"""),"22/06/2023")</f>
        <v>22/06/2023</v>
      </c>
      <c r="N43" s="1"/>
      <c r="O43" s="1" t="str">
        <f>IFERROR(__xludf.DUMMYFUNCTION("""COMPUTED_VALUE"""),"0")</f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ht="15.75" customHeight="1">
      <c r="A44" s="1"/>
      <c r="B44" s="1" t="str">
        <f t="array" ref="B44">XLOOKUP(C44,Tabela_1[NOME ESCOLA PONTO ID],Tabela_1[REGIONAL],"NE",0)</f>
        <v>REGIONAL 6</v>
      </c>
      <c r="C44" s="3" t="str">
        <f>IFERROR(__xludf.DUMMYFUNCTION("""COMPUTED_VALUE"""),"CEMEI LIGIA ARAUJO DE OLIVEIRA")</f>
        <v>CEMEI LIGIA ARAUJO DE OLIVEIRA</v>
      </c>
      <c r="D44" s="1" t="str">
        <f>IFERROR(__xludf.DUMMYFUNCTION("""COMPUTED_VALUE"""),"26191300")</f>
        <v>26191300</v>
      </c>
      <c r="E44" s="1" t="str">
        <f>IFERROR(__xludf.DUMMYFUNCTION("""COMPUTED_VALUE"""),"INFANTIL 3")</f>
        <v>INFANTIL 3</v>
      </c>
      <c r="F44" s="1" t="str">
        <f>IFERROR(__xludf.DUMMYFUNCTION("""COMPUTED_VALUE"""),"Integral")</f>
        <v>Integral</v>
      </c>
      <c r="G44" s="1" t="str">
        <f>IFERROR(__xludf.DUMMYFUNCTION("""COMPUTED_VALUE"""),"Comum")</f>
        <v>Comum</v>
      </c>
      <c r="H44" s="1" t="str">
        <f>IFERROR(__xludf.DUMMYFUNCTION("""COMPUTED_VALUE"""),"1")</f>
        <v>1</v>
      </c>
      <c r="I44" s="4" t="str">
        <f>IFERROR(__xludf.DUMMYFUNCTION("""COMPUTED_VALUE"""),"26022419534")</f>
        <v>26022419534</v>
      </c>
      <c r="J44" s="1" t="str">
        <f>IFERROR(__xludf.DUMMYFUNCTION("""COMPUTED_VALUE"""),"03/02/2026 14:12:28")</f>
        <v>03/02/2026 14:12:28</v>
      </c>
      <c r="K44" s="1" t="str">
        <f>IFERROR(__xludf.DUMMYFUNCTION("""COMPUTED_VALUE"""),"AYLLA FERREIRA DA SILVA")</f>
        <v>AYLLA FERREIRA DA SILVA</v>
      </c>
      <c r="L44" s="5" t="str">
        <f>IFERROR(__xludf.DUMMYFUNCTION("""COMPUTED_VALUE"""),"183.532.494-05")</f>
        <v>183.532.494-05</v>
      </c>
      <c r="M44" s="5" t="str">
        <f>IFERROR(__xludf.DUMMYFUNCTION("""COMPUTED_VALUE"""),"22/11/2022")</f>
        <v>22/11/2022</v>
      </c>
      <c r="N44" s="1"/>
      <c r="O44" s="1" t="str">
        <f>IFERROR(__xludf.DUMMYFUNCTION("""COMPUTED_VALUE"""),"0")</f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5.75" customHeight="1">
      <c r="A45" s="1"/>
      <c r="B45" s="1" t="str">
        <f t="array" ref="B45">XLOOKUP(C45,Tabela_1[NOME ESCOLA PONTO ID],Tabela_1[REGIONAL],"NE",0)</f>
        <v>REGIONAL 6</v>
      </c>
      <c r="C45" s="3" t="str">
        <f>IFERROR(__xludf.DUMMYFUNCTION("""COMPUTED_VALUE"""),"CEMEI LIGIA ARAUJO DE OLIVEIRA")</f>
        <v>CEMEI LIGIA ARAUJO DE OLIVEIRA</v>
      </c>
      <c r="D45" s="1" t="str">
        <f>IFERROR(__xludf.DUMMYFUNCTION("""COMPUTED_VALUE"""),"26191300")</f>
        <v>26191300</v>
      </c>
      <c r="E45" s="1" t="str">
        <f>IFERROR(__xludf.DUMMYFUNCTION("""COMPUTED_VALUE"""),"INFANTIL 3")</f>
        <v>INFANTIL 3</v>
      </c>
      <c r="F45" s="1" t="str">
        <f>IFERROR(__xludf.DUMMYFUNCTION("""COMPUTED_VALUE"""),"Integral")</f>
        <v>Integral</v>
      </c>
      <c r="G45" s="1" t="str">
        <f>IFERROR(__xludf.DUMMYFUNCTION("""COMPUTED_VALUE"""),"Comum")</f>
        <v>Comum</v>
      </c>
      <c r="H45" s="1" t="str">
        <f>IFERROR(__xludf.DUMMYFUNCTION("""COMPUTED_VALUE"""),"2")</f>
        <v>2</v>
      </c>
      <c r="I45" s="4" t="str">
        <f>IFERROR(__xludf.DUMMYFUNCTION("""COMPUTED_VALUE"""),"26022477473")</f>
        <v>26022477473</v>
      </c>
      <c r="J45" s="1" t="str">
        <f>IFERROR(__xludf.DUMMYFUNCTION("""COMPUTED_VALUE"""),"03/02/2026 14:18:57")</f>
        <v>03/02/2026 14:18:57</v>
      </c>
      <c r="K45" s="1" t="str">
        <f>IFERROR(__xludf.DUMMYFUNCTION("""COMPUTED_VALUE"""),"ALYCIA FERREIRA DA SILVA")</f>
        <v>ALYCIA FERREIRA DA SILVA</v>
      </c>
      <c r="L45" s="5" t="str">
        <f>IFERROR(__xludf.DUMMYFUNCTION("""COMPUTED_VALUE"""),"183.532.504-11")</f>
        <v>183.532.504-11</v>
      </c>
      <c r="M45" s="5" t="str">
        <f>IFERROR(__xludf.DUMMYFUNCTION("""COMPUTED_VALUE"""),"22/11/2022")</f>
        <v>22/11/2022</v>
      </c>
      <c r="N45" s="1"/>
      <c r="O45" s="1" t="str">
        <f>IFERROR(__xludf.DUMMYFUNCTION("""COMPUTED_VALUE"""),"0")</f>
        <v>0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5.75" customHeight="1">
      <c r="A46" s="1"/>
      <c r="B46" s="1" t="str">
        <f t="array" ref="B46">XLOOKUP(C46,Tabela_1[NOME ESCOLA PONTO ID],Tabela_1[REGIONAL],"NE",0)</f>
        <v>REGIONAL 6</v>
      </c>
      <c r="C46" s="3" t="str">
        <f>IFERROR(__xludf.DUMMYFUNCTION("""COMPUTED_VALUE"""),"CEMEI LIGIA ARAUJO DE OLIVEIRA")</f>
        <v>CEMEI LIGIA ARAUJO DE OLIVEIRA</v>
      </c>
      <c r="D46" s="1" t="str">
        <f>IFERROR(__xludf.DUMMYFUNCTION("""COMPUTED_VALUE"""),"26191300")</f>
        <v>26191300</v>
      </c>
      <c r="E46" s="1" t="str">
        <f>IFERROR(__xludf.DUMMYFUNCTION("""COMPUTED_VALUE"""),"INFANTIL 3")</f>
        <v>INFANTIL 3</v>
      </c>
      <c r="F46" s="1" t="str">
        <f>IFERROR(__xludf.DUMMYFUNCTION("""COMPUTED_VALUE"""),"Integral")</f>
        <v>Integral</v>
      </c>
      <c r="G46" s="1" t="str">
        <f>IFERROR(__xludf.DUMMYFUNCTION("""COMPUTED_VALUE"""),"Comum")</f>
        <v>Comum</v>
      </c>
      <c r="H46" s="1" t="str">
        <f>IFERROR(__xludf.DUMMYFUNCTION("""COMPUTED_VALUE"""),"3")</f>
        <v>3</v>
      </c>
      <c r="I46" s="6" t="str">
        <f>IFERROR(__xludf.DUMMYFUNCTION("""COMPUTED_VALUE"""),"26022456645")</f>
        <v>26022456645</v>
      </c>
      <c r="J46" s="1" t="str">
        <f>IFERROR(__xludf.DUMMYFUNCTION("""COMPUTED_VALUE"""),"23/02/2026 20:39:24")</f>
        <v>23/02/2026 20:39:24</v>
      </c>
      <c r="K46" s="1" t="str">
        <f>IFERROR(__xludf.DUMMYFUNCTION("""COMPUTED_VALUE"""),"ABRAÃO EMANOEL PINHEIRO DA SILVA")</f>
        <v>ABRAÃO EMANOEL PINHEIRO DA SILVA</v>
      </c>
      <c r="L46" s="5" t="str">
        <f>IFERROR(__xludf.DUMMYFUNCTION("""COMPUTED_VALUE"""),"182.714.394-05")</f>
        <v>182.714.394-05</v>
      </c>
      <c r="M46" s="7" t="str">
        <f>IFERROR(__xludf.DUMMYFUNCTION("""COMPUTED_VALUE"""),"31/08/2022")</f>
        <v>31/08/2022</v>
      </c>
      <c r="N46" s="1"/>
      <c r="O46" s="1" t="str">
        <f>IFERROR(__xludf.DUMMYFUNCTION("""COMPUTED_VALUE"""),"0")</f>
        <v>0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5.75" customHeight="1">
      <c r="A47" s="1"/>
      <c r="B47" s="1" t="str">
        <f t="array" ref="B47">XLOOKUP(C47,Tabela_1[NOME ESCOLA PONTO ID],Tabela_1[REGIONAL],"NE",0)</f>
        <v>REGIONAL 5</v>
      </c>
      <c r="C47" s="3" t="str">
        <f>IFERROR(__xludf.DUMMYFUNCTION("""COMPUTED_VALUE"""),"CEMEI PROFª MARIA LUZIA RIO LIMA")</f>
        <v>CEMEI PROFª MARIA LUZIA RIO LIMA</v>
      </c>
      <c r="D47" s="1" t="str">
        <f>IFERROR(__xludf.DUMMYFUNCTION("""COMPUTED_VALUE"""),"26187060")</f>
        <v>26187060</v>
      </c>
      <c r="E47" s="1" t="str">
        <f>IFERROR(__xludf.DUMMYFUNCTION("""COMPUTED_VALUE"""),"INFANTIL 1")</f>
        <v>INFANTIL 1</v>
      </c>
      <c r="F47" s="1" t="str">
        <f>IFERROR(__xludf.DUMMYFUNCTION("""COMPUTED_VALUE"""),"Integral")</f>
        <v>Integral</v>
      </c>
      <c r="G47" s="1" t="str">
        <f>IFERROR(__xludf.DUMMYFUNCTION("""COMPUTED_VALUE"""),"Comum")</f>
        <v>Comum</v>
      </c>
      <c r="H47" s="1" t="str">
        <f>IFERROR(__xludf.DUMMYFUNCTION("""COMPUTED_VALUE"""),"1")</f>
        <v>1</v>
      </c>
      <c r="I47" s="6" t="str">
        <f>IFERROR(__xludf.DUMMYFUNCTION("""COMPUTED_VALUE"""),"26032132321")</f>
        <v>26032132321</v>
      </c>
      <c r="J47" s="1" t="str">
        <f>IFERROR(__xludf.DUMMYFUNCTION("""COMPUTED_VALUE"""),"19/03/2026 08:28:18")</f>
        <v>19/03/2026 08:28:18</v>
      </c>
      <c r="K47" s="1" t="str">
        <f>IFERROR(__xludf.DUMMYFUNCTION("""COMPUTED_VALUE"""),"MARIA CLARA DE LIMA")</f>
        <v>MARIA CLARA DE LIMA</v>
      </c>
      <c r="L47" s="7" t="str">
        <f>IFERROR(__xludf.DUMMYFUNCTION("""COMPUTED_VALUE"""),"004.995.084-32")</f>
        <v>004.995.084-32</v>
      </c>
      <c r="M47" s="5" t="str">
        <f>IFERROR(__xludf.DUMMYFUNCTION("""COMPUTED_VALUE"""),"16/12/2024")</f>
        <v>16/12/2024</v>
      </c>
      <c r="N47" s="1"/>
      <c r="O47" s="1" t="str">
        <f>IFERROR(__xludf.DUMMYFUNCTION("""COMPUTED_VALUE"""),"0")</f>
        <v>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5.75" customHeight="1">
      <c r="A48" s="1"/>
      <c r="B48" s="1" t="str">
        <f t="array" ref="B48">XLOOKUP(C48,Tabela_1[NOME ESCOLA PONTO ID],Tabela_1[REGIONAL],"NE",0)</f>
        <v>REGIONAL 5</v>
      </c>
      <c r="C48" s="3" t="str">
        <f>IFERROR(__xludf.DUMMYFUNCTION("""COMPUTED_VALUE"""),"CEMEI PROFª MARIA LUZIA RIO LIMA")</f>
        <v>CEMEI PROFª MARIA LUZIA RIO LIMA</v>
      </c>
      <c r="D48" s="1" t="str">
        <f>IFERROR(__xludf.DUMMYFUNCTION("""COMPUTED_VALUE"""),"26187060")</f>
        <v>26187060</v>
      </c>
      <c r="E48" s="1" t="str">
        <f>IFERROR(__xludf.DUMMYFUNCTION("""COMPUTED_VALUE"""),"INFANTIL 1")</f>
        <v>INFANTIL 1</v>
      </c>
      <c r="F48" s="1" t="str">
        <f>IFERROR(__xludf.DUMMYFUNCTION("""COMPUTED_VALUE"""),"Integral")</f>
        <v>Integral</v>
      </c>
      <c r="G48" s="1" t="str">
        <f>IFERROR(__xludf.DUMMYFUNCTION("""COMPUTED_VALUE"""),"Comum")</f>
        <v>Comum</v>
      </c>
      <c r="H48" s="1" t="str">
        <f>IFERROR(__xludf.DUMMYFUNCTION("""COMPUTED_VALUE"""),"2")</f>
        <v>2</v>
      </c>
      <c r="I48" s="6" t="str">
        <f>IFERROR(__xludf.DUMMYFUNCTION("""COMPUTED_VALUE"""),"26032131066")</f>
        <v>26032131066</v>
      </c>
      <c r="J48" s="1" t="str">
        <f>IFERROR(__xludf.DUMMYFUNCTION("""COMPUTED_VALUE"""),"19/03/2026 08:46:18")</f>
        <v>19/03/2026 08:46:18</v>
      </c>
      <c r="K48" s="1" t="str">
        <f>IFERROR(__xludf.DUMMYFUNCTION("""COMPUTED_VALUE"""),"MARIA FLOR DE LIMA")</f>
        <v>MARIA FLOR DE LIMA</v>
      </c>
      <c r="L48" s="5" t="str">
        <f>IFERROR(__xludf.DUMMYFUNCTION("""COMPUTED_VALUE"""),"004.995.534-97")</f>
        <v>004.995.534-97</v>
      </c>
      <c r="M48" s="5" t="str">
        <f>IFERROR(__xludf.DUMMYFUNCTION("""COMPUTED_VALUE"""),"16/12/2024")</f>
        <v>16/12/2024</v>
      </c>
      <c r="N48" s="1"/>
      <c r="O48" s="1" t="str">
        <f>IFERROR(__xludf.DUMMYFUNCTION("""COMPUTED_VALUE"""),"0")</f>
        <v>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5.75" customHeight="1">
      <c r="A49" s="1"/>
      <c r="B49" s="1" t="str">
        <f t="array" ref="B49">XLOOKUP(C49,Tabela_1[NOME ESCOLA PONTO ID],Tabela_1[REGIONAL],"NE",0)</f>
        <v>REGIONAL 5</v>
      </c>
      <c r="C49" s="3" t="str">
        <f>IFERROR(__xludf.DUMMYFUNCTION("""COMPUTED_VALUE"""),"CEMEI PROFª MARIA LUZIA RIO LIMA")</f>
        <v>CEMEI PROFª MARIA LUZIA RIO LIMA</v>
      </c>
      <c r="D49" s="1" t="str">
        <f>IFERROR(__xludf.DUMMYFUNCTION("""COMPUTED_VALUE"""),"26187060")</f>
        <v>26187060</v>
      </c>
      <c r="E49" s="1" t="str">
        <f>IFERROR(__xludf.DUMMYFUNCTION("""COMPUTED_VALUE"""),"INFANTIL 1")</f>
        <v>INFANTIL 1</v>
      </c>
      <c r="F49" s="1" t="str">
        <f>IFERROR(__xludf.DUMMYFUNCTION("""COMPUTED_VALUE"""),"Integral")</f>
        <v>Integral</v>
      </c>
      <c r="G49" s="1" t="str">
        <f>IFERROR(__xludf.DUMMYFUNCTION("""COMPUTED_VALUE"""),"Comum")</f>
        <v>Comum</v>
      </c>
      <c r="H49" s="1" t="str">
        <f>IFERROR(__xludf.DUMMYFUNCTION("""COMPUTED_VALUE"""),"3")</f>
        <v>3</v>
      </c>
      <c r="I49" s="6" t="str">
        <f>IFERROR(__xludf.DUMMYFUNCTION("""COMPUTED_VALUE"""),"26052596009")</f>
        <v>26052596009</v>
      </c>
      <c r="J49" s="1" t="str">
        <f>IFERROR(__xludf.DUMMYFUNCTION("""COMPUTED_VALUE"""),"06/05/2026 15:38:45")</f>
        <v>06/05/2026 15:38:45</v>
      </c>
      <c r="K49" s="1" t="str">
        <f>IFERROR(__xludf.DUMMYFUNCTION("""COMPUTED_VALUE"""),"EMANUEL LUCAS FAUSTINO DA SILVA")</f>
        <v>EMANUEL LUCAS FAUSTINO DA SILVA</v>
      </c>
      <c r="L49" s="5" t="str">
        <f>IFERROR(__xludf.DUMMYFUNCTION("""COMPUTED_VALUE"""),"118.065.824-81")</f>
        <v>118.065.824-81</v>
      </c>
      <c r="M49" s="5" t="str">
        <f>IFERROR(__xludf.DUMMYFUNCTION("""COMPUTED_VALUE"""),"05/09/2024")</f>
        <v>05/09/2024</v>
      </c>
      <c r="N49" s="1"/>
      <c r="O49" s="1" t="str">
        <f>IFERROR(__xludf.DUMMYFUNCTION("""COMPUTED_VALUE"""),"0")</f>
        <v>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5.75" customHeight="1">
      <c r="A50" s="1"/>
      <c r="B50" s="1" t="str">
        <f t="array" ref="B50">XLOOKUP(C50,Tabela_1[NOME ESCOLA PONTO ID],Tabela_1[REGIONAL],"NE",0)</f>
        <v>REGIONAL 5</v>
      </c>
      <c r="C50" s="3" t="str">
        <f>IFERROR(__xludf.DUMMYFUNCTION("""COMPUTED_VALUE"""),"CEMEI PROFª MARIA LUZIA RIO LIMA")</f>
        <v>CEMEI PROFª MARIA LUZIA RIO LIMA</v>
      </c>
      <c r="D50" s="1" t="str">
        <f>IFERROR(__xludf.DUMMYFUNCTION("""COMPUTED_VALUE"""),"26187060")</f>
        <v>26187060</v>
      </c>
      <c r="E50" s="1" t="str">
        <f>IFERROR(__xludf.DUMMYFUNCTION("""COMPUTED_VALUE"""),"INFANTIL 1")</f>
        <v>INFANTIL 1</v>
      </c>
      <c r="F50" s="1" t="str">
        <f>IFERROR(__xludf.DUMMYFUNCTION("""COMPUTED_VALUE"""),"Integral")</f>
        <v>Integral</v>
      </c>
      <c r="G50" s="1" t="str">
        <f>IFERROR(__xludf.DUMMYFUNCTION("""COMPUTED_VALUE"""),"Comum")</f>
        <v>Comum</v>
      </c>
      <c r="H50" s="1" t="str">
        <f>IFERROR(__xludf.DUMMYFUNCTION("""COMPUTED_VALUE"""),"4")</f>
        <v>4</v>
      </c>
      <c r="I50" s="6" t="str">
        <f>IFERROR(__xludf.DUMMYFUNCTION("""COMPUTED_VALUE"""),"26062876709")</f>
        <v>26062876709</v>
      </c>
      <c r="J50" s="1" t="str">
        <f>IFERROR(__xludf.DUMMYFUNCTION("""COMPUTED_VALUE"""),"10/06/2026 16:57:35")</f>
        <v>10/06/2026 16:57:35</v>
      </c>
      <c r="K50" s="1" t="str">
        <f>IFERROR(__xludf.DUMMYFUNCTION("""COMPUTED_VALUE"""),"Edgar Souza do monte")</f>
        <v>Edgar Souza do monte</v>
      </c>
      <c r="L50" s="5" t="str">
        <f>IFERROR(__xludf.DUMMYFUNCTION("""COMPUTED_VALUE"""),"004.150.004-08")</f>
        <v>004.150.004-08</v>
      </c>
      <c r="M50" s="5" t="str">
        <f>IFERROR(__xludf.DUMMYFUNCTION("""COMPUTED_VALUE"""),"19/09/2024")</f>
        <v>19/09/2024</v>
      </c>
      <c r="N50" s="1"/>
      <c r="O50" s="1" t="str">
        <f>IFERROR(__xludf.DUMMYFUNCTION("""COMPUTED_VALUE"""),"0")</f>
        <v>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5.75" customHeight="1">
      <c r="A51" s="1"/>
      <c r="B51" s="1" t="str">
        <f t="array" ref="B51">XLOOKUP(C51,Tabela_1[NOME ESCOLA PONTO ID],Tabela_1[REGIONAL],"NE",0)</f>
        <v>REGIONAL 5</v>
      </c>
      <c r="C51" s="3" t="str">
        <f>IFERROR(__xludf.DUMMYFUNCTION("""COMPUTED_VALUE"""),"CEMEI PROFª MARIA LUZIA RIO LIMA")</f>
        <v>CEMEI PROFª MARIA LUZIA RIO LIMA</v>
      </c>
      <c r="D51" s="1" t="str">
        <f>IFERROR(__xludf.DUMMYFUNCTION("""COMPUTED_VALUE"""),"26187060")</f>
        <v>26187060</v>
      </c>
      <c r="E51" s="1" t="str">
        <f>IFERROR(__xludf.DUMMYFUNCTION("""COMPUTED_VALUE"""),"INFANTIL 1")</f>
        <v>INFANTIL 1</v>
      </c>
      <c r="F51" s="1" t="str">
        <f>IFERROR(__xludf.DUMMYFUNCTION("""COMPUTED_VALUE"""),"Integral")</f>
        <v>Integral</v>
      </c>
      <c r="G51" s="1" t="str">
        <f>IFERROR(__xludf.DUMMYFUNCTION("""COMPUTED_VALUE"""),"Comum")</f>
        <v>Comum</v>
      </c>
      <c r="H51" s="1" t="str">
        <f>IFERROR(__xludf.DUMMYFUNCTION("""COMPUTED_VALUE"""),"5")</f>
        <v>5</v>
      </c>
      <c r="I51" s="4" t="str">
        <f>IFERROR(__xludf.DUMMYFUNCTION("""COMPUTED_VALUE"""),"26062552151")</f>
        <v>26062552151</v>
      </c>
      <c r="J51" s="1" t="str">
        <f>IFERROR(__xludf.DUMMYFUNCTION("""COMPUTED_VALUE"""),"10/06/2026 17:01:25")</f>
        <v>10/06/2026 17:01:25</v>
      </c>
      <c r="K51" s="1" t="str">
        <f>IFERROR(__xludf.DUMMYFUNCTION("""COMPUTED_VALUE"""),"Dante Souza do Monte")</f>
        <v>Dante Souza do Monte</v>
      </c>
      <c r="L51" s="7" t="str">
        <f>IFERROR(__xludf.DUMMYFUNCTION("""COMPUTED_VALUE"""),"004.149.744-92")</f>
        <v>004.149.744-92</v>
      </c>
      <c r="M51" s="5" t="str">
        <f>IFERROR(__xludf.DUMMYFUNCTION("""COMPUTED_VALUE"""),"19/09/2024")</f>
        <v>19/09/2024</v>
      </c>
      <c r="N51" s="1"/>
      <c r="O51" s="1" t="str">
        <f>IFERROR(__xludf.DUMMYFUNCTION("""COMPUTED_VALUE"""),"0")</f>
        <v>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ht="15.75" customHeight="1">
      <c r="A52" s="1"/>
      <c r="B52" s="1" t="str">
        <f t="array" ref="B52">XLOOKUP(C52,Tabela_1[NOME ESCOLA PONTO ID],Tabela_1[REGIONAL],"NE",0)</f>
        <v>REGIONAL 7</v>
      </c>
      <c r="C52" s="3" t="str">
        <f>IFERROR(__xludf.DUMMYFUNCTION("""COMPUTED_VALUE"""),"CEMEI PROFESSORA CIBELE DE ANDRADE MENDES DE AZEVEDO")</f>
        <v>CEMEI PROFESSORA CIBELE DE ANDRADE MENDES DE AZEVEDO</v>
      </c>
      <c r="D52" s="1" t="str">
        <f>IFERROR(__xludf.DUMMYFUNCTION("""COMPUTED_VALUE"""),"26193078")</f>
        <v>26193078</v>
      </c>
      <c r="E52" s="1" t="str">
        <f>IFERROR(__xludf.DUMMYFUNCTION("""COMPUTED_VALUE"""),"INFANTIL 1")</f>
        <v>INFANTIL 1</v>
      </c>
      <c r="F52" s="1" t="str">
        <f>IFERROR(__xludf.DUMMYFUNCTION("""COMPUTED_VALUE"""),"Integral")</f>
        <v>Integral</v>
      </c>
      <c r="G52" s="1" t="str">
        <f>IFERROR(__xludf.DUMMYFUNCTION("""COMPUTED_VALUE"""),"Comum")</f>
        <v>Comum</v>
      </c>
      <c r="H52" s="1" t="str">
        <f>IFERROR(__xludf.DUMMYFUNCTION("""COMPUTED_VALUE"""),"1")</f>
        <v>1</v>
      </c>
      <c r="I52" s="6" t="str">
        <f>IFERROR(__xludf.DUMMYFUNCTION("""COMPUTED_VALUE"""),"26022090824")</f>
        <v>26022090824</v>
      </c>
      <c r="J52" s="1" t="str">
        <f>IFERROR(__xludf.DUMMYFUNCTION("""COMPUTED_VALUE"""),"02/02/2026 09:13:57")</f>
        <v>02/02/2026 09:13:57</v>
      </c>
      <c r="K52" s="1" t="str">
        <f>IFERROR(__xludf.DUMMYFUNCTION("""COMPUTED_VALUE"""),"ÍSIS POLYANA SOARES RAMOS")</f>
        <v>ÍSIS POLYANA SOARES RAMOS</v>
      </c>
      <c r="L52" s="5" t="str">
        <f>IFERROR(__xludf.DUMMYFUNCTION("""COMPUTED_VALUE"""),"041.104.474-53")</f>
        <v>041.104.474-53</v>
      </c>
      <c r="M52" s="5" t="str">
        <f>IFERROR(__xludf.DUMMYFUNCTION("""COMPUTED_VALUE"""),"17/01/2026")</f>
        <v>17/01/2026</v>
      </c>
      <c r="N52" s="1"/>
      <c r="O52" s="1" t="str">
        <f>IFERROR(__xludf.DUMMYFUNCTION("""COMPUTED_VALUE"""),"0")</f>
        <v>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ht="15.75" customHeight="1">
      <c r="A53" s="1"/>
      <c r="B53" s="1" t="str">
        <f t="array" ref="B53">XLOOKUP(C53,Tabela_1[NOME ESCOLA PONTO ID],Tabela_1[REGIONAL],"NE",0)</f>
        <v>REGIONAL 7</v>
      </c>
      <c r="C53" s="3" t="str">
        <f>IFERROR(__xludf.DUMMYFUNCTION("""COMPUTED_VALUE"""),"CEMEI PROFESSORA CIBELE DE ANDRADE MENDES DE AZEVEDO")</f>
        <v>CEMEI PROFESSORA CIBELE DE ANDRADE MENDES DE AZEVEDO</v>
      </c>
      <c r="D53" s="1" t="str">
        <f>IFERROR(__xludf.DUMMYFUNCTION("""COMPUTED_VALUE"""),"26193078")</f>
        <v>26193078</v>
      </c>
      <c r="E53" s="1" t="str">
        <f>IFERROR(__xludf.DUMMYFUNCTION("""COMPUTED_VALUE"""),"INFANTIL 1")</f>
        <v>INFANTIL 1</v>
      </c>
      <c r="F53" s="1" t="str">
        <f>IFERROR(__xludf.DUMMYFUNCTION("""COMPUTED_VALUE"""),"Integral")</f>
        <v>Integral</v>
      </c>
      <c r="G53" s="1" t="str">
        <f>IFERROR(__xludf.DUMMYFUNCTION("""COMPUTED_VALUE"""),"Comum")</f>
        <v>Comum</v>
      </c>
      <c r="H53" s="1" t="str">
        <f>IFERROR(__xludf.DUMMYFUNCTION("""COMPUTED_VALUE"""),"2")</f>
        <v>2</v>
      </c>
      <c r="I53" s="6" t="str">
        <f>IFERROR(__xludf.DUMMYFUNCTION("""COMPUTED_VALUE"""),"26022986363")</f>
        <v>26022986363</v>
      </c>
      <c r="J53" s="1" t="str">
        <f>IFERROR(__xludf.DUMMYFUNCTION("""COMPUTED_VALUE"""),"04/02/2026 08:52:54")</f>
        <v>04/02/2026 08:52:54</v>
      </c>
      <c r="K53" s="1" t="str">
        <f>IFERROR(__xludf.DUMMYFUNCTION("""COMPUTED_VALUE"""),"RENAN JOSÉ DA SILVA")</f>
        <v>RENAN JOSÉ DA SILVA</v>
      </c>
      <c r="L53" s="5" t="str">
        <f>IFERROR(__xludf.DUMMYFUNCTION("""COMPUTED_VALUE"""),"003.612.264-54")</f>
        <v>003.612.264-54</v>
      </c>
      <c r="M53" s="5" t="str">
        <f>IFERROR(__xludf.DUMMYFUNCTION("""COMPUTED_VALUE"""),"18/04/2024")</f>
        <v>18/04/2024</v>
      </c>
      <c r="N53" s="1"/>
      <c r="O53" s="1" t="str">
        <f>IFERROR(__xludf.DUMMYFUNCTION("""COMPUTED_VALUE"""),"0")</f>
        <v>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ht="15.75" customHeight="1">
      <c r="A54" s="1"/>
      <c r="B54" s="1" t="str">
        <f t="array" ref="B54">XLOOKUP(C54,Tabela_1[NOME ESCOLA PONTO ID],Tabela_1[REGIONAL],"NE",0)</f>
        <v>REGIONAL 7</v>
      </c>
      <c r="C54" s="3" t="str">
        <f>IFERROR(__xludf.DUMMYFUNCTION("""COMPUTED_VALUE"""),"CEMEI PROFESSORA CIBELE DE ANDRADE MENDES DE AZEVEDO")</f>
        <v>CEMEI PROFESSORA CIBELE DE ANDRADE MENDES DE AZEVEDO</v>
      </c>
      <c r="D54" s="1" t="str">
        <f>IFERROR(__xludf.DUMMYFUNCTION("""COMPUTED_VALUE"""),"26193078")</f>
        <v>26193078</v>
      </c>
      <c r="E54" s="1" t="str">
        <f>IFERROR(__xludf.DUMMYFUNCTION("""COMPUTED_VALUE"""),"INFANTIL 1")</f>
        <v>INFANTIL 1</v>
      </c>
      <c r="F54" s="1" t="str">
        <f>IFERROR(__xludf.DUMMYFUNCTION("""COMPUTED_VALUE"""),"Integral")</f>
        <v>Integral</v>
      </c>
      <c r="G54" s="1" t="str">
        <f>IFERROR(__xludf.DUMMYFUNCTION("""COMPUTED_VALUE"""),"Comum")</f>
        <v>Comum</v>
      </c>
      <c r="H54" s="1" t="str">
        <f>IFERROR(__xludf.DUMMYFUNCTION("""COMPUTED_VALUE"""),"3")</f>
        <v>3</v>
      </c>
      <c r="I54" s="6" t="str">
        <f>IFERROR(__xludf.DUMMYFUNCTION("""COMPUTED_VALUE"""),"26022051060")</f>
        <v>26022051060</v>
      </c>
      <c r="J54" s="1" t="str">
        <f>IFERROR(__xludf.DUMMYFUNCTION("""COMPUTED_VALUE"""),"05/02/2026 12:22:17")</f>
        <v>05/02/2026 12:22:17</v>
      </c>
      <c r="K54" s="1" t="str">
        <f>IFERROR(__xludf.DUMMYFUNCTION("""COMPUTED_VALUE"""),"ELLOÁH JASMIN NASCIMENTO DA SILVA")</f>
        <v>ELLOÁH JASMIN NASCIMENTO DA SILVA</v>
      </c>
      <c r="L54" s="5" t="str">
        <f>IFERROR(__xludf.DUMMYFUNCTION("""COMPUTED_VALUE"""),"003.964.064-75")</f>
        <v>003.964.064-75</v>
      </c>
      <c r="M54" s="5" t="str">
        <f>IFERROR(__xludf.DUMMYFUNCTION("""COMPUTED_VALUE"""),"12/08/2024")</f>
        <v>12/08/2024</v>
      </c>
      <c r="N54" s="1"/>
      <c r="O54" s="1" t="str">
        <f>IFERROR(__xludf.DUMMYFUNCTION("""COMPUTED_VALUE"""),"0")</f>
        <v>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ht="15.75" customHeight="1">
      <c r="A55" s="1"/>
      <c r="B55" s="1" t="str">
        <f t="array" ref="B55">XLOOKUP(C55,Tabela_1[NOME ESCOLA PONTO ID],Tabela_1[REGIONAL],"NE",0)</f>
        <v>REGIONAL 7</v>
      </c>
      <c r="C55" s="3" t="str">
        <f>IFERROR(__xludf.DUMMYFUNCTION("""COMPUTED_VALUE"""),"CEMEI PROFESSORA CIBELE DE ANDRADE MENDES DE AZEVEDO")</f>
        <v>CEMEI PROFESSORA CIBELE DE ANDRADE MENDES DE AZEVEDO</v>
      </c>
      <c r="D55" s="1" t="str">
        <f>IFERROR(__xludf.DUMMYFUNCTION("""COMPUTED_VALUE"""),"26193078")</f>
        <v>26193078</v>
      </c>
      <c r="E55" s="1" t="str">
        <f>IFERROR(__xludf.DUMMYFUNCTION("""COMPUTED_VALUE"""),"INFANTIL 1")</f>
        <v>INFANTIL 1</v>
      </c>
      <c r="F55" s="1" t="str">
        <f>IFERROR(__xludf.DUMMYFUNCTION("""COMPUTED_VALUE"""),"Integral")</f>
        <v>Integral</v>
      </c>
      <c r="G55" s="1" t="str">
        <f>IFERROR(__xludf.DUMMYFUNCTION("""COMPUTED_VALUE"""),"Comum")</f>
        <v>Comum</v>
      </c>
      <c r="H55" s="1" t="str">
        <f>IFERROR(__xludf.DUMMYFUNCTION("""COMPUTED_VALUE"""),"4")</f>
        <v>4</v>
      </c>
      <c r="I55" s="6" t="str">
        <f>IFERROR(__xludf.DUMMYFUNCTION("""COMPUTED_VALUE"""),"26022579804")</f>
        <v>26022579804</v>
      </c>
      <c r="J55" s="1" t="str">
        <f>IFERROR(__xludf.DUMMYFUNCTION("""COMPUTED_VALUE"""),"05/02/2026 13:29:32")</f>
        <v>05/02/2026 13:29:32</v>
      </c>
      <c r="K55" s="1" t="str">
        <f>IFERROR(__xludf.DUMMYFUNCTION("""COMPUTED_VALUE"""),"OLIVER LICKS DE ALMEIDA")</f>
        <v>OLIVER LICKS DE ALMEIDA</v>
      </c>
      <c r="L55" s="5" t="str">
        <f>IFERROR(__xludf.DUMMYFUNCTION("""COMPUTED_VALUE"""),"002.966.174-90")</f>
        <v>002.966.174-90</v>
      </c>
      <c r="M55" s="5" t="str">
        <f>IFERROR(__xludf.DUMMYFUNCTION("""COMPUTED_VALUE"""),"16/05/2024")</f>
        <v>16/05/2024</v>
      </c>
      <c r="N55" s="1"/>
      <c r="O55" s="1" t="str">
        <f>IFERROR(__xludf.DUMMYFUNCTION("""COMPUTED_VALUE"""),"0")</f>
        <v>0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ht="15.75" customHeight="1">
      <c r="A56" s="1"/>
      <c r="B56" s="1" t="str">
        <f t="array" ref="B56">XLOOKUP(C56,Tabela_1[NOME ESCOLA PONTO ID],Tabela_1[REGIONAL],"NE",0)</f>
        <v>REGIONAL 7</v>
      </c>
      <c r="C56" s="3" t="str">
        <f>IFERROR(__xludf.DUMMYFUNCTION("""COMPUTED_VALUE"""),"CEMEI PROFESSORA CIBELE DE ANDRADE MENDES DE AZEVEDO")</f>
        <v>CEMEI PROFESSORA CIBELE DE ANDRADE MENDES DE AZEVEDO</v>
      </c>
      <c r="D56" s="1" t="str">
        <f>IFERROR(__xludf.DUMMYFUNCTION("""COMPUTED_VALUE"""),"26193078")</f>
        <v>26193078</v>
      </c>
      <c r="E56" s="1" t="str">
        <f>IFERROR(__xludf.DUMMYFUNCTION("""COMPUTED_VALUE"""),"INFANTIL 1")</f>
        <v>INFANTIL 1</v>
      </c>
      <c r="F56" s="1" t="str">
        <f>IFERROR(__xludf.DUMMYFUNCTION("""COMPUTED_VALUE"""),"Integral")</f>
        <v>Integral</v>
      </c>
      <c r="G56" s="1" t="str">
        <f>IFERROR(__xludf.DUMMYFUNCTION("""COMPUTED_VALUE"""),"Comum")</f>
        <v>Comum</v>
      </c>
      <c r="H56" s="1" t="str">
        <f>IFERROR(__xludf.DUMMYFUNCTION("""COMPUTED_VALUE"""),"5")</f>
        <v>5</v>
      </c>
      <c r="I56" s="6" t="str">
        <f>IFERROR(__xludf.DUMMYFUNCTION("""COMPUTED_VALUE"""),"26022646352")</f>
        <v>26022646352</v>
      </c>
      <c r="J56" s="1" t="str">
        <f>IFERROR(__xludf.DUMMYFUNCTION("""COMPUTED_VALUE"""),"05/02/2026 15:38:24")</f>
        <v>05/02/2026 15:38:24</v>
      </c>
      <c r="K56" s="1" t="str">
        <f>IFERROR(__xludf.DUMMYFUNCTION("""COMPUTED_VALUE"""),"THOMAS ENRICO RODRIGUES DE BARROS")</f>
        <v>THOMAS ENRICO RODRIGUES DE BARROS</v>
      </c>
      <c r="L56" s="5" t="str">
        <f>IFERROR(__xludf.DUMMYFUNCTION("""COMPUTED_VALUE"""),"003.082.134-75")</f>
        <v>003.082.134-75</v>
      </c>
      <c r="M56" s="7" t="str">
        <f>IFERROR(__xludf.DUMMYFUNCTION("""COMPUTED_VALUE"""),"19/05/2024")</f>
        <v>19/05/2024</v>
      </c>
      <c r="N56" s="1"/>
      <c r="O56" s="1" t="str">
        <f>IFERROR(__xludf.DUMMYFUNCTION("""COMPUTED_VALUE"""),"0")</f>
        <v>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ht="15.75" customHeight="1">
      <c r="A57" s="1"/>
      <c r="B57" s="1" t="str">
        <f t="array" ref="B57">XLOOKUP(C57,Tabela_1[NOME ESCOLA PONTO ID],Tabela_1[REGIONAL],"NE",0)</f>
        <v>REGIONAL 7</v>
      </c>
      <c r="C57" s="3" t="str">
        <f>IFERROR(__xludf.DUMMYFUNCTION("""COMPUTED_VALUE"""),"CEMEI PROFESSORA CIBELE DE ANDRADE MENDES DE AZEVEDO")</f>
        <v>CEMEI PROFESSORA CIBELE DE ANDRADE MENDES DE AZEVEDO</v>
      </c>
      <c r="D57" s="1" t="str">
        <f>IFERROR(__xludf.DUMMYFUNCTION("""COMPUTED_VALUE"""),"26193078")</f>
        <v>26193078</v>
      </c>
      <c r="E57" s="1" t="str">
        <f>IFERROR(__xludf.DUMMYFUNCTION("""COMPUTED_VALUE"""),"INFANTIL 1")</f>
        <v>INFANTIL 1</v>
      </c>
      <c r="F57" s="1" t="str">
        <f>IFERROR(__xludf.DUMMYFUNCTION("""COMPUTED_VALUE"""),"Integral")</f>
        <v>Integral</v>
      </c>
      <c r="G57" s="1" t="str">
        <f>IFERROR(__xludf.DUMMYFUNCTION("""COMPUTED_VALUE"""),"Comum")</f>
        <v>Comum</v>
      </c>
      <c r="H57" s="1" t="str">
        <f>IFERROR(__xludf.DUMMYFUNCTION("""COMPUTED_VALUE"""),"6")</f>
        <v>6</v>
      </c>
      <c r="I57" s="6" t="str">
        <f>IFERROR(__xludf.DUMMYFUNCTION("""COMPUTED_VALUE"""),"26022733712")</f>
        <v>26022733712</v>
      </c>
      <c r="J57" s="1" t="str">
        <f>IFERROR(__xludf.DUMMYFUNCTION("""COMPUTED_VALUE"""),"05/02/2026 20:35:45")</f>
        <v>05/02/2026 20:35:45</v>
      </c>
      <c r="K57" s="1" t="str">
        <f>IFERROR(__xludf.DUMMYFUNCTION("""COMPUTED_VALUE"""),"YASMIM BEATRIZ DA SILVA ADRIÃO")</f>
        <v>YASMIM BEATRIZ DA SILVA ADRIÃO</v>
      </c>
      <c r="L57" s="5" t="str">
        <f>IFERROR(__xludf.DUMMYFUNCTION("""COMPUTED_VALUE"""),"005.732.894-33")</f>
        <v>005.732.894-33</v>
      </c>
      <c r="M57" s="5" t="str">
        <f>IFERROR(__xludf.DUMMYFUNCTION("""COMPUTED_VALUE"""),"14/03/2025")</f>
        <v>14/03/2025</v>
      </c>
      <c r="N57" s="1"/>
      <c r="O57" s="1" t="str">
        <f>IFERROR(__xludf.DUMMYFUNCTION("""COMPUTED_VALUE"""),"0")</f>
        <v>0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ht="15.75" customHeight="1">
      <c r="A58" s="1"/>
      <c r="B58" s="1" t="str">
        <f t="array" ref="B58">XLOOKUP(C58,Tabela_1[NOME ESCOLA PONTO ID],Tabela_1[REGIONAL],"NE",0)</f>
        <v>REGIONAL 7</v>
      </c>
      <c r="C58" s="3" t="str">
        <f>IFERROR(__xludf.DUMMYFUNCTION("""COMPUTED_VALUE"""),"CEMEI PROFESSORA CIBELE DE ANDRADE MENDES DE AZEVEDO")</f>
        <v>CEMEI PROFESSORA CIBELE DE ANDRADE MENDES DE AZEVEDO</v>
      </c>
      <c r="D58" s="1" t="str">
        <f>IFERROR(__xludf.DUMMYFUNCTION("""COMPUTED_VALUE"""),"26193078")</f>
        <v>26193078</v>
      </c>
      <c r="E58" s="1" t="str">
        <f>IFERROR(__xludf.DUMMYFUNCTION("""COMPUTED_VALUE"""),"INFANTIL 1")</f>
        <v>INFANTIL 1</v>
      </c>
      <c r="F58" s="1" t="str">
        <f>IFERROR(__xludf.DUMMYFUNCTION("""COMPUTED_VALUE"""),"Integral")</f>
        <v>Integral</v>
      </c>
      <c r="G58" s="1" t="str">
        <f>IFERROR(__xludf.DUMMYFUNCTION("""COMPUTED_VALUE"""),"Comum")</f>
        <v>Comum</v>
      </c>
      <c r="H58" s="1" t="str">
        <f>IFERROR(__xludf.DUMMYFUNCTION("""COMPUTED_VALUE"""),"7")</f>
        <v>7</v>
      </c>
      <c r="I58" s="6" t="str">
        <f>IFERROR(__xludf.DUMMYFUNCTION("""COMPUTED_VALUE"""),"26022056129")</f>
        <v>26022056129</v>
      </c>
      <c r="J58" s="1" t="str">
        <f>IFERROR(__xludf.DUMMYFUNCTION("""COMPUTED_VALUE"""),"23/02/2026 14:03:33")</f>
        <v>23/02/2026 14:03:33</v>
      </c>
      <c r="K58" s="1" t="str">
        <f>IFERROR(__xludf.DUMMYFUNCTION("""COMPUTED_VALUE"""),"EMANUELLY SOFIA DA SILVA")</f>
        <v>EMANUELLY SOFIA DA SILVA</v>
      </c>
      <c r="L58" s="5" t="str">
        <f>IFERROR(__xludf.DUMMYFUNCTION("""COMPUTED_VALUE"""),"002.714.984-63")</f>
        <v>002.714.984-63</v>
      </c>
      <c r="M58" s="5" t="str">
        <f>IFERROR(__xludf.DUMMYFUNCTION("""COMPUTED_VALUE"""),"10/04/2024")</f>
        <v>10/04/2024</v>
      </c>
      <c r="N58" s="1"/>
      <c r="O58" s="1" t="str">
        <f>IFERROR(__xludf.DUMMYFUNCTION("""COMPUTED_VALUE"""),"0")</f>
        <v>0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ht="15.75" customHeight="1">
      <c r="A59" s="1"/>
      <c r="B59" s="1" t="str">
        <f t="array" ref="B59">XLOOKUP(C59,Tabela_1[NOME ESCOLA PONTO ID],Tabela_1[REGIONAL],"NE",0)</f>
        <v>REGIONAL 7</v>
      </c>
      <c r="C59" s="3" t="str">
        <f>IFERROR(__xludf.DUMMYFUNCTION("""COMPUTED_VALUE"""),"CEMEI PROFESSORA CIBELE DE ANDRADE MENDES DE AZEVEDO")</f>
        <v>CEMEI PROFESSORA CIBELE DE ANDRADE MENDES DE AZEVEDO</v>
      </c>
      <c r="D59" s="1" t="str">
        <f>IFERROR(__xludf.DUMMYFUNCTION("""COMPUTED_VALUE"""),"26193078")</f>
        <v>26193078</v>
      </c>
      <c r="E59" s="1" t="str">
        <f>IFERROR(__xludf.DUMMYFUNCTION("""COMPUTED_VALUE"""),"INFANTIL 1")</f>
        <v>INFANTIL 1</v>
      </c>
      <c r="F59" s="1" t="str">
        <f>IFERROR(__xludf.DUMMYFUNCTION("""COMPUTED_VALUE"""),"Integral")</f>
        <v>Integral</v>
      </c>
      <c r="G59" s="1" t="str">
        <f>IFERROR(__xludf.DUMMYFUNCTION("""COMPUTED_VALUE"""),"Comum")</f>
        <v>Comum</v>
      </c>
      <c r="H59" s="1" t="str">
        <f>IFERROR(__xludf.DUMMYFUNCTION("""COMPUTED_VALUE"""),"8")</f>
        <v>8</v>
      </c>
      <c r="I59" s="4" t="str">
        <f>IFERROR(__xludf.DUMMYFUNCTION("""COMPUTED_VALUE"""),"26032949306")</f>
        <v>26032949306</v>
      </c>
      <c r="J59" s="1" t="str">
        <f>IFERROR(__xludf.DUMMYFUNCTION("""COMPUTED_VALUE"""),"16/03/2026 10:09:54")</f>
        <v>16/03/2026 10:09:54</v>
      </c>
      <c r="K59" s="1" t="str">
        <f>IFERROR(__xludf.DUMMYFUNCTION("""COMPUTED_VALUE"""),"HELENA MARIA CAVALCANTI MARTINS TORRES")</f>
        <v>HELENA MARIA CAVALCANTI MARTINS TORRES</v>
      </c>
      <c r="L59" s="5" t="str">
        <f>IFERROR(__xludf.DUMMYFUNCTION("""COMPUTED_VALUE"""),"002.611.704-57")</f>
        <v>002.611.704-57</v>
      </c>
      <c r="M59" s="5" t="str">
        <f>IFERROR(__xludf.DUMMYFUNCTION("""COMPUTED_VALUE"""),"15/04/2024")</f>
        <v>15/04/2024</v>
      </c>
      <c r="N59" s="1"/>
      <c r="O59" s="1" t="str">
        <f>IFERROR(__xludf.DUMMYFUNCTION("""COMPUTED_VALUE"""),"0")</f>
        <v>0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5.75" customHeight="1">
      <c r="A60" s="1"/>
      <c r="B60" s="1" t="str">
        <f t="array" ref="B60">XLOOKUP(C60,Tabela_1[NOME ESCOLA PONTO ID],Tabela_1[REGIONAL],"NE",0)</f>
        <v>REGIONAL 7</v>
      </c>
      <c r="C60" s="3" t="str">
        <f>IFERROR(__xludf.DUMMYFUNCTION("""COMPUTED_VALUE"""),"CEMEI PROFESSORA CIBELE DE ANDRADE MENDES DE AZEVEDO")</f>
        <v>CEMEI PROFESSORA CIBELE DE ANDRADE MENDES DE AZEVEDO</v>
      </c>
      <c r="D60" s="1" t="str">
        <f>IFERROR(__xludf.DUMMYFUNCTION("""COMPUTED_VALUE"""),"26193078")</f>
        <v>26193078</v>
      </c>
      <c r="E60" s="1" t="str">
        <f>IFERROR(__xludf.DUMMYFUNCTION("""COMPUTED_VALUE"""),"INFANTIL 1")</f>
        <v>INFANTIL 1</v>
      </c>
      <c r="F60" s="1" t="str">
        <f>IFERROR(__xludf.DUMMYFUNCTION("""COMPUTED_VALUE"""),"Integral")</f>
        <v>Integral</v>
      </c>
      <c r="G60" s="1" t="str">
        <f>IFERROR(__xludf.DUMMYFUNCTION("""COMPUTED_VALUE"""),"Comum")</f>
        <v>Comum</v>
      </c>
      <c r="H60" s="1" t="str">
        <f>IFERROR(__xludf.DUMMYFUNCTION("""COMPUTED_VALUE"""),"9")</f>
        <v>9</v>
      </c>
      <c r="I60" s="4" t="str">
        <f>IFERROR(__xludf.DUMMYFUNCTION("""COMPUTED_VALUE"""),"26032567893")</f>
        <v>26032567893</v>
      </c>
      <c r="J60" s="1" t="str">
        <f>IFERROR(__xludf.DUMMYFUNCTION("""COMPUTED_VALUE"""),"18/03/2026 12:28:10")</f>
        <v>18/03/2026 12:28:10</v>
      </c>
      <c r="K60" s="1" t="str">
        <f>IFERROR(__xludf.DUMMYFUNCTION("""COMPUTED_VALUE"""),"LAVI EMANUEL SIQUEIRA DA SILVA")</f>
        <v>LAVI EMANUEL SIQUEIRA DA SILVA</v>
      </c>
      <c r="L60" s="5" t="str">
        <f>IFERROR(__xludf.DUMMYFUNCTION("""COMPUTED_VALUE"""),"045.571.744-34")</f>
        <v>045.571.744-34</v>
      </c>
      <c r="M60" s="5" t="str">
        <f>IFERROR(__xludf.DUMMYFUNCTION("""COMPUTED_VALUE"""),"19/01/2026")</f>
        <v>19/01/2026</v>
      </c>
      <c r="N60" s="1"/>
      <c r="O60" s="1" t="str">
        <f>IFERROR(__xludf.DUMMYFUNCTION("""COMPUTED_VALUE"""),"0")</f>
        <v>0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5.75" customHeight="1">
      <c r="A61" s="1"/>
      <c r="B61" s="1" t="str">
        <f t="array" ref="B61">XLOOKUP(C61,Tabela_1[NOME ESCOLA PONTO ID],Tabela_1[REGIONAL],"NE",0)</f>
        <v>REGIONAL 7</v>
      </c>
      <c r="C61" s="3" t="str">
        <f>IFERROR(__xludf.DUMMYFUNCTION("""COMPUTED_VALUE"""),"CEMEI PROFESSORA CIBELE DE ANDRADE MENDES DE AZEVEDO")</f>
        <v>CEMEI PROFESSORA CIBELE DE ANDRADE MENDES DE AZEVEDO</v>
      </c>
      <c r="D61" s="1" t="str">
        <f>IFERROR(__xludf.DUMMYFUNCTION("""COMPUTED_VALUE"""),"26193078")</f>
        <v>26193078</v>
      </c>
      <c r="E61" s="1" t="str">
        <f>IFERROR(__xludf.DUMMYFUNCTION("""COMPUTED_VALUE"""),"INFANTIL 1")</f>
        <v>INFANTIL 1</v>
      </c>
      <c r="F61" s="1" t="str">
        <f>IFERROR(__xludf.DUMMYFUNCTION("""COMPUTED_VALUE"""),"Integral")</f>
        <v>Integral</v>
      </c>
      <c r="G61" s="1" t="str">
        <f>IFERROR(__xludf.DUMMYFUNCTION("""COMPUTED_VALUE"""),"Comum")</f>
        <v>Comum</v>
      </c>
      <c r="H61" s="1" t="str">
        <f>IFERROR(__xludf.DUMMYFUNCTION("""COMPUTED_VALUE"""),"10")</f>
        <v>10</v>
      </c>
      <c r="I61" s="4" t="str">
        <f>IFERROR(__xludf.DUMMYFUNCTION("""COMPUTED_VALUE"""),"26032563347")</f>
        <v>26032563347</v>
      </c>
      <c r="J61" s="1" t="str">
        <f>IFERROR(__xludf.DUMMYFUNCTION("""COMPUTED_VALUE"""),"26/03/2026 18:22:32")</f>
        <v>26/03/2026 18:22:32</v>
      </c>
      <c r="K61" s="1" t="str">
        <f>IFERROR(__xludf.DUMMYFUNCTION("""COMPUTED_VALUE"""),"AYLA MANUELLE ALMEIDA DURVAL BRISSANTT")</f>
        <v>AYLA MANUELLE ALMEIDA DURVAL BRISSANTT</v>
      </c>
      <c r="L61" s="7" t="str">
        <f>IFERROR(__xludf.DUMMYFUNCTION("""COMPUTED_VALUE"""),"004.727.814-56")</f>
        <v>004.727.814-56</v>
      </c>
      <c r="M61" s="5" t="str">
        <f>IFERROR(__xludf.DUMMYFUNCTION("""COMPUTED_VALUE"""),"20/11/2024")</f>
        <v>20/11/2024</v>
      </c>
      <c r="N61" s="1"/>
      <c r="O61" s="1" t="str">
        <f>IFERROR(__xludf.DUMMYFUNCTION("""COMPUTED_VALUE"""),"0")</f>
        <v>0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ht="15.75" customHeight="1">
      <c r="A62" s="1"/>
      <c r="B62" s="1" t="str">
        <f t="array" ref="B62">XLOOKUP(C62,Tabela_1[NOME ESCOLA PONTO ID],Tabela_1[REGIONAL],"NE",0)</f>
        <v>REGIONAL 7</v>
      </c>
      <c r="C62" s="3" t="str">
        <f>IFERROR(__xludf.DUMMYFUNCTION("""COMPUTED_VALUE"""),"CEMEI PROFESSORA CIBELE DE ANDRADE MENDES DE AZEVEDO")</f>
        <v>CEMEI PROFESSORA CIBELE DE ANDRADE MENDES DE AZEVEDO</v>
      </c>
      <c r="D62" s="1" t="str">
        <f>IFERROR(__xludf.DUMMYFUNCTION("""COMPUTED_VALUE"""),"26193078")</f>
        <v>26193078</v>
      </c>
      <c r="E62" s="1" t="str">
        <f>IFERROR(__xludf.DUMMYFUNCTION("""COMPUTED_VALUE"""),"INFANTIL 1")</f>
        <v>INFANTIL 1</v>
      </c>
      <c r="F62" s="1" t="str">
        <f>IFERROR(__xludf.DUMMYFUNCTION("""COMPUTED_VALUE"""),"Integral")</f>
        <v>Integral</v>
      </c>
      <c r="G62" s="1" t="str">
        <f>IFERROR(__xludf.DUMMYFUNCTION("""COMPUTED_VALUE"""),"Comum")</f>
        <v>Comum</v>
      </c>
      <c r="H62" s="1" t="str">
        <f>IFERROR(__xludf.DUMMYFUNCTION("""COMPUTED_VALUE"""),"11")</f>
        <v>11</v>
      </c>
      <c r="I62" s="6" t="str">
        <f>IFERROR(__xludf.DUMMYFUNCTION("""COMPUTED_VALUE"""),"26042763377")</f>
        <v>26042763377</v>
      </c>
      <c r="J62" s="1" t="str">
        <f>IFERROR(__xludf.DUMMYFUNCTION("""COMPUTED_VALUE"""),"29/04/2026 15:44:18")</f>
        <v>29/04/2026 15:44:18</v>
      </c>
      <c r="K62" s="1" t="str">
        <f>IFERROR(__xludf.DUMMYFUNCTION("""COMPUTED_VALUE"""),"AYLA SOFIA CORREIA DE LIMA")</f>
        <v>AYLA SOFIA CORREIA DE LIMA</v>
      </c>
      <c r="L62" s="5" t="str">
        <f>IFERROR(__xludf.DUMMYFUNCTION("""COMPUTED_VALUE"""),"006.122.294-16")</f>
        <v>006.122.294-16</v>
      </c>
      <c r="M62" s="5" t="str">
        <f>IFERROR(__xludf.DUMMYFUNCTION("""COMPUTED_VALUE"""),"06/05/2025")</f>
        <v>06/05/2025</v>
      </c>
      <c r="N62" s="1"/>
      <c r="O62" s="1" t="str">
        <f>IFERROR(__xludf.DUMMYFUNCTION("""COMPUTED_VALUE"""),"0")</f>
        <v>0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ht="15.75" customHeight="1">
      <c r="A63" s="1"/>
      <c r="B63" s="1" t="str">
        <f t="array" ref="B63">XLOOKUP(C63,Tabela_1[NOME ESCOLA PONTO ID],Tabela_1[REGIONAL],"NE",0)</f>
        <v>REGIONAL 7</v>
      </c>
      <c r="C63" s="3" t="str">
        <f>IFERROR(__xludf.DUMMYFUNCTION("""COMPUTED_VALUE"""),"CEMEI PROFESSORA CIBELE DE ANDRADE MENDES DE AZEVEDO")</f>
        <v>CEMEI PROFESSORA CIBELE DE ANDRADE MENDES DE AZEVEDO</v>
      </c>
      <c r="D63" s="1" t="str">
        <f>IFERROR(__xludf.DUMMYFUNCTION("""COMPUTED_VALUE"""),"26193078")</f>
        <v>26193078</v>
      </c>
      <c r="E63" s="1" t="str">
        <f>IFERROR(__xludf.DUMMYFUNCTION("""COMPUTED_VALUE"""),"INFANTIL 1")</f>
        <v>INFANTIL 1</v>
      </c>
      <c r="F63" s="1" t="str">
        <f>IFERROR(__xludf.DUMMYFUNCTION("""COMPUTED_VALUE"""),"Integral")</f>
        <v>Integral</v>
      </c>
      <c r="G63" s="1" t="str">
        <f>IFERROR(__xludf.DUMMYFUNCTION("""COMPUTED_VALUE"""),"Comum")</f>
        <v>Comum</v>
      </c>
      <c r="H63" s="1" t="str">
        <f>IFERROR(__xludf.DUMMYFUNCTION("""COMPUTED_VALUE"""),"12")</f>
        <v>12</v>
      </c>
      <c r="I63" s="6" t="str">
        <f>IFERROR(__xludf.DUMMYFUNCTION("""COMPUTED_VALUE"""),"26052821025")</f>
        <v>26052821025</v>
      </c>
      <c r="J63" s="1" t="str">
        <f>IFERROR(__xludf.DUMMYFUNCTION("""COMPUTED_VALUE"""),"19/05/2026 10:34:49")</f>
        <v>19/05/2026 10:34:49</v>
      </c>
      <c r="K63" s="1" t="str">
        <f>IFERROR(__xludf.DUMMYFUNCTION("""COMPUTED_VALUE"""),"HARIEL CRUZ CAMPOS")</f>
        <v>HARIEL CRUZ CAMPOS</v>
      </c>
      <c r="L63" s="5" t="str">
        <f>IFERROR(__xludf.DUMMYFUNCTION("""COMPUTED_VALUE"""),"017.444.294-72")</f>
        <v>017.444.294-72</v>
      </c>
      <c r="M63" s="5" t="str">
        <f>IFERROR(__xludf.DUMMYFUNCTION("""COMPUTED_VALUE"""),"25/10/2025")</f>
        <v>25/10/2025</v>
      </c>
      <c r="N63" s="1"/>
      <c r="O63" s="1" t="str">
        <f>IFERROR(__xludf.DUMMYFUNCTION("""COMPUTED_VALUE"""),"0")</f>
        <v>0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5.75" customHeight="1">
      <c r="A64" s="1"/>
      <c r="B64" s="1" t="str">
        <f t="array" ref="B64">XLOOKUP(C64,Tabela_1[NOME ESCOLA PONTO ID],Tabela_1[REGIONAL],"NE",0)</f>
        <v>REGIONAL 7</v>
      </c>
      <c r="C64" s="3" t="str">
        <f>IFERROR(__xludf.DUMMYFUNCTION("""COMPUTED_VALUE"""),"CEMEI PROFESSORA CIBELE DE ANDRADE MENDES DE AZEVEDO")</f>
        <v>CEMEI PROFESSORA CIBELE DE ANDRADE MENDES DE AZEVEDO</v>
      </c>
      <c r="D64" s="1" t="str">
        <f>IFERROR(__xludf.DUMMYFUNCTION("""COMPUTED_VALUE"""),"26193078")</f>
        <v>26193078</v>
      </c>
      <c r="E64" s="1" t="str">
        <f>IFERROR(__xludf.DUMMYFUNCTION("""COMPUTED_VALUE"""),"INFANTIL 1")</f>
        <v>INFANTIL 1</v>
      </c>
      <c r="F64" s="1" t="str">
        <f>IFERROR(__xludf.DUMMYFUNCTION("""COMPUTED_VALUE"""),"Integral")</f>
        <v>Integral</v>
      </c>
      <c r="G64" s="1" t="str">
        <f>IFERROR(__xludf.DUMMYFUNCTION("""COMPUTED_VALUE"""),"Comum")</f>
        <v>Comum</v>
      </c>
      <c r="H64" s="1" t="str">
        <f>IFERROR(__xludf.DUMMYFUNCTION("""COMPUTED_VALUE"""),"13")</f>
        <v>13</v>
      </c>
      <c r="I64" s="6" t="str">
        <f>IFERROR(__xludf.DUMMYFUNCTION("""COMPUTED_VALUE"""),"26052725257")</f>
        <v>26052725257</v>
      </c>
      <c r="J64" s="1" t="str">
        <f>IFERROR(__xludf.DUMMYFUNCTION("""COMPUTED_VALUE"""),"25/05/2026 18:01:52")</f>
        <v>25/05/2026 18:01:52</v>
      </c>
      <c r="K64" s="1" t="str">
        <f>IFERROR(__xludf.DUMMYFUNCTION("""COMPUTED_VALUE"""),"Naomi Uehara Alves da Silva")</f>
        <v>Naomi Uehara Alves da Silva</v>
      </c>
      <c r="L64" s="5" t="str">
        <f>IFERROR(__xludf.DUMMYFUNCTION("""COMPUTED_VALUE"""),"005.944.274-36")</f>
        <v>005.944.274-36</v>
      </c>
      <c r="M64" s="5" t="str">
        <f>IFERROR(__xludf.DUMMYFUNCTION("""COMPUTED_VALUE"""),"15/04/2025")</f>
        <v>15/04/2025</v>
      </c>
      <c r="N64" s="1"/>
      <c r="O64" s="1" t="str">
        <f>IFERROR(__xludf.DUMMYFUNCTION("""COMPUTED_VALUE"""),"0")</f>
        <v>0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5.75" customHeight="1">
      <c r="A65" s="1"/>
      <c r="B65" s="1" t="str">
        <f t="array" ref="B65">XLOOKUP(C65,Tabela_1[NOME ESCOLA PONTO ID],Tabela_1[REGIONAL],"NE",0)</f>
        <v>REGIONAL 7</v>
      </c>
      <c r="C65" s="3" t="str">
        <f>IFERROR(__xludf.DUMMYFUNCTION("""COMPUTED_VALUE"""),"CEMEI PROFESSORA CIBELE DE ANDRADE MENDES DE AZEVEDO")</f>
        <v>CEMEI PROFESSORA CIBELE DE ANDRADE MENDES DE AZEVEDO</v>
      </c>
      <c r="D65" s="1" t="str">
        <f>IFERROR(__xludf.DUMMYFUNCTION("""COMPUTED_VALUE"""),"26193078")</f>
        <v>26193078</v>
      </c>
      <c r="E65" s="1" t="str">
        <f>IFERROR(__xludf.DUMMYFUNCTION("""COMPUTED_VALUE"""),"INFANTIL 2")</f>
        <v>INFANTIL 2</v>
      </c>
      <c r="F65" s="1" t="str">
        <f>IFERROR(__xludf.DUMMYFUNCTION("""COMPUTED_VALUE"""),"Integral")</f>
        <v>Integral</v>
      </c>
      <c r="G65" s="1" t="str">
        <f>IFERROR(__xludf.DUMMYFUNCTION("""COMPUTED_VALUE"""),"Comum")</f>
        <v>Comum</v>
      </c>
      <c r="H65" s="1" t="str">
        <f>IFERROR(__xludf.DUMMYFUNCTION("""COMPUTED_VALUE"""),"1")</f>
        <v>1</v>
      </c>
      <c r="I65" s="6" t="str">
        <f>IFERROR(__xludf.DUMMYFUNCTION("""COMPUTED_VALUE"""),"26032506977")</f>
        <v>26032506977</v>
      </c>
      <c r="J65" s="1" t="str">
        <f>IFERROR(__xludf.DUMMYFUNCTION("""COMPUTED_VALUE"""),"10/03/2026 12:16:11")</f>
        <v>10/03/2026 12:16:11</v>
      </c>
      <c r="K65" s="1" t="str">
        <f>IFERROR(__xludf.DUMMYFUNCTION("""COMPUTED_VALUE"""),"MELISSA VITÓRIA CIPRIANO DE LIMA")</f>
        <v>MELISSA VITÓRIA CIPRIANO DE LIMA</v>
      </c>
      <c r="L65" s="5" t="str">
        <f>IFERROR(__xludf.DUMMYFUNCTION("""COMPUTED_VALUE"""),"001.770.654-86")</f>
        <v>001.770.654-86</v>
      </c>
      <c r="M65" s="5" t="str">
        <f>IFERROR(__xludf.DUMMYFUNCTION("""COMPUTED_VALUE"""),"17/01/2024")</f>
        <v>17/01/2024</v>
      </c>
      <c r="N65" s="1"/>
      <c r="O65" s="1" t="str">
        <f>IFERROR(__xludf.DUMMYFUNCTION("""COMPUTED_VALUE"""),"0")</f>
        <v>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5.75" customHeight="1">
      <c r="A66" s="1"/>
      <c r="B66" s="1" t="str">
        <f t="array" ref="B66">XLOOKUP(C66,Tabela_1[NOME ESCOLA PONTO ID],Tabela_1[REGIONAL],"NE",0)</f>
        <v>REGIONAL 7</v>
      </c>
      <c r="C66" s="3" t="str">
        <f>IFERROR(__xludf.DUMMYFUNCTION("""COMPUTED_VALUE"""),"CEMEI PROFESSORA CIBELE DE ANDRADE MENDES DE AZEVEDO")</f>
        <v>CEMEI PROFESSORA CIBELE DE ANDRADE MENDES DE AZEVEDO</v>
      </c>
      <c r="D66" s="1" t="str">
        <f>IFERROR(__xludf.DUMMYFUNCTION("""COMPUTED_VALUE"""),"26193078")</f>
        <v>26193078</v>
      </c>
      <c r="E66" s="1" t="str">
        <f>IFERROR(__xludf.DUMMYFUNCTION("""COMPUTED_VALUE"""),"INFANTIL 2")</f>
        <v>INFANTIL 2</v>
      </c>
      <c r="F66" s="1" t="str">
        <f>IFERROR(__xludf.DUMMYFUNCTION("""COMPUTED_VALUE"""),"Integral")</f>
        <v>Integral</v>
      </c>
      <c r="G66" s="1" t="str">
        <f>IFERROR(__xludf.DUMMYFUNCTION("""COMPUTED_VALUE"""),"Comum")</f>
        <v>Comum</v>
      </c>
      <c r="H66" s="1" t="str">
        <f>IFERROR(__xludf.DUMMYFUNCTION("""COMPUTED_VALUE"""),"2")</f>
        <v>2</v>
      </c>
      <c r="I66" s="6" t="str">
        <f>IFERROR(__xludf.DUMMYFUNCTION("""COMPUTED_VALUE"""),"26032563893")</f>
        <v>26032563893</v>
      </c>
      <c r="J66" s="1" t="str">
        <f>IFERROR(__xludf.DUMMYFUNCTION("""COMPUTED_VALUE"""),"17/03/2026 09:54:44")</f>
        <v>17/03/2026 09:54:44</v>
      </c>
      <c r="K66" s="1" t="str">
        <f>IFERROR(__xludf.DUMMYFUNCTION("""COMPUTED_VALUE"""),"ELOAH SOFIA SILVA DE SANTANA")</f>
        <v>ELOAH SOFIA SILVA DE SANTANA</v>
      </c>
      <c r="L66" s="5" t="str">
        <f>IFERROR(__xludf.DUMMYFUNCTION("""COMPUTED_VALUE"""),"001.380.254-28")</f>
        <v>001.380.254-28</v>
      </c>
      <c r="M66" s="5" t="str">
        <f>IFERROR(__xludf.DUMMYFUNCTION("""COMPUTED_VALUE"""),"03/01/2024")</f>
        <v>03/01/2024</v>
      </c>
      <c r="N66" s="1"/>
      <c r="O66" s="1" t="str">
        <f>IFERROR(__xludf.DUMMYFUNCTION("""COMPUTED_VALUE"""),"0")</f>
        <v>0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5.75" customHeight="1">
      <c r="A67" s="1"/>
      <c r="B67" s="1" t="str">
        <f t="array" ref="B67">XLOOKUP(C67,Tabela_1[NOME ESCOLA PONTO ID],Tabela_1[REGIONAL],"NE",0)</f>
        <v>REGIONAL 7</v>
      </c>
      <c r="C67" s="3" t="str">
        <f>IFERROR(__xludf.DUMMYFUNCTION("""COMPUTED_VALUE"""),"CEMEI PROFESSORA CIBELE DE ANDRADE MENDES DE AZEVEDO")</f>
        <v>CEMEI PROFESSORA CIBELE DE ANDRADE MENDES DE AZEVEDO</v>
      </c>
      <c r="D67" s="1" t="str">
        <f>IFERROR(__xludf.DUMMYFUNCTION("""COMPUTED_VALUE"""),"26193078")</f>
        <v>26193078</v>
      </c>
      <c r="E67" s="1" t="str">
        <f>IFERROR(__xludf.DUMMYFUNCTION("""COMPUTED_VALUE"""),"INFANTIL 2")</f>
        <v>INFANTIL 2</v>
      </c>
      <c r="F67" s="1" t="str">
        <f>IFERROR(__xludf.DUMMYFUNCTION("""COMPUTED_VALUE"""),"Integral")</f>
        <v>Integral</v>
      </c>
      <c r="G67" s="1" t="str">
        <f>IFERROR(__xludf.DUMMYFUNCTION("""COMPUTED_VALUE"""),"Comum")</f>
        <v>Comum</v>
      </c>
      <c r="H67" s="1" t="str">
        <f>IFERROR(__xludf.DUMMYFUNCTION("""COMPUTED_VALUE"""),"3")</f>
        <v>3</v>
      </c>
      <c r="I67" s="6" t="str">
        <f>IFERROR(__xludf.DUMMYFUNCTION("""COMPUTED_VALUE"""),"26052960117")</f>
        <v>26052960117</v>
      </c>
      <c r="J67" s="1" t="str">
        <f>IFERROR(__xludf.DUMMYFUNCTION("""COMPUTED_VALUE"""),"05/05/2026 11:36:38")</f>
        <v>05/05/2026 11:36:38</v>
      </c>
      <c r="K67" s="1" t="str">
        <f>IFERROR(__xludf.DUMMYFUNCTION("""COMPUTED_VALUE"""),"LUNA MARIA GOMES ALVES")</f>
        <v>LUNA MARIA GOMES ALVES</v>
      </c>
      <c r="L67" s="5" t="str">
        <f>IFERROR(__xludf.DUMMYFUNCTION("""COMPUTED_VALUE"""),"001.809.754-55")</f>
        <v>001.809.754-55</v>
      </c>
      <c r="M67" s="5" t="str">
        <f>IFERROR(__xludf.DUMMYFUNCTION("""COMPUTED_VALUE"""),"08/01/2024")</f>
        <v>08/01/2024</v>
      </c>
      <c r="N67" s="1"/>
      <c r="O67" s="1" t="str">
        <f>IFERROR(__xludf.DUMMYFUNCTION("""COMPUTED_VALUE"""),"0")</f>
        <v>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5.75" customHeight="1">
      <c r="A68" s="1"/>
      <c r="B68" s="1" t="str">
        <f t="array" ref="B68">XLOOKUP(C68,Tabela_1[NOME ESCOLA PONTO ID],Tabela_1[REGIONAL],"NE",0)</f>
        <v>REGIONAL 7</v>
      </c>
      <c r="C68" s="3" t="str">
        <f>IFERROR(__xludf.DUMMYFUNCTION("""COMPUTED_VALUE"""),"CEMEI PROFESSORA CIBELE DE ANDRADE MENDES DE AZEVEDO")</f>
        <v>CEMEI PROFESSORA CIBELE DE ANDRADE MENDES DE AZEVEDO</v>
      </c>
      <c r="D68" s="1" t="str">
        <f>IFERROR(__xludf.DUMMYFUNCTION("""COMPUTED_VALUE"""),"26193078")</f>
        <v>26193078</v>
      </c>
      <c r="E68" s="1" t="str">
        <f>IFERROR(__xludf.DUMMYFUNCTION("""COMPUTED_VALUE"""),"INFANTIL 2")</f>
        <v>INFANTIL 2</v>
      </c>
      <c r="F68" s="1" t="str">
        <f>IFERROR(__xludf.DUMMYFUNCTION("""COMPUTED_VALUE"""),"Integral")</f>
        <v>Integral</v>
      </c>
      <c r="G68" s="1" t="str">
        <f>IFERROR(__xludf.DUMMYFUNCTION("""COMPUTED_VALUE"""),"Comum")</f>
        <v>Comum</v>
      </c>
      <c r="H68" s="1" t="str">
        <f>IFERROR(__xludf.DUMMYFUNCTION("""COMPUTED_VALUE"""),"4")</f>
        <v>4</v>
      </c>
      <c r="I68" s="6" t="str">
        <f>IFERROR(__xludf.DUMMYFUNCTION("""COMPUTED_VALUE"""),"26052250558")</f>
        <v>26052250558</v>
      </c>
      <c r="J68" s="1" t="str">
        <f>IFERROR(__xludf.DUMMYFUNCTION("""COMPUTED_VALUE"""),"25/05/2026 18:09:35")</f>
        <v>25/05/2026 18:09:35</v>
      </c>
      <c r="K68" s="1" t="str">
        <f>IFERROR(__xludf.DUMMYFUNCTION("""COMPUTED_VALUE"""),"Anthony Gabriel Alves Teixeira da silva")</f>
        <v>Anthony Gabriel Alves Teixeira da silva</v>
      </c>
      <c r="L68" s="5" t="str">
        <f>IFERROR(__xludf.DUMMYFUNCTION("""COMPUTED_VALUE"""),"002.138.204-20")</f>
        <v>002.138.204-20</v>
      </c>
      <c r="M68" s="7" t="str">
        <f>IFERROR(__xludf.DUMMYFUNCTION("""COMPUTED_VALUE"""),"29/02/2024")</f>
        <v>29/02/2024</v>
      </c>
      <c r="N68" s="1"/>
      <c r="O68" s="1" t="str">
        <f>IFERROR(__xludf.DUMMYFUNCTION("""COMPUTED_VALUE"""),"0")</f>
        <v>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5.75" customHeight="1">
      <c r="A69" s="1"/>
      <c r="B69" s="1" t="str">
        <f t="array" ref="B69">XLOOKUP(C69,Tabela_1[NOME ESCOLA PONTO ID],Tabela_1[REGIONAL],"NE",0)</f>
        <v>REGIONAL 7</v>
      </c>
      <c r="C69" s="3" t="str">
        <f>IFERROR(__xludf.DUMMYFUNCTION("""COMPUTED_VALUE"""),"CEMEI PROFESSORA CIBELE DE ANDRADE MENDES DE AZEVEDO")</f>
        <v>CEMEI PROFESSORA CIBELE DE ANDRADE MENDES DE AZEVEDO</v>
      </c>
      <c r="D69" s="1" t="str">
        <f>IFERROR(__xludf.DUMMYFUNCTION("""COMPUTED_VALUE"""),"26193078")</f>
        <v>26193078</v>
      </c>
      <c r="E69" s="1" t="str">
        <f>IFERROR(__xludf.DUMMYFUNCTION("""COMPUTED_VALUE"""),"INFANTIL 3")</f>
        <v>INFANTIL 3</v>
      </c>
      <c r="F69" s="1" t="str">
        <f>IFERROR(__xludf.DUMMYFUNCTION("""COMPUTED_VALUE"""),"Integral")</f>
        <v>Integral</v>
      </c>
      <c r="G69" s="1" t="str">
        <f>IFERROR(__xludf.DUMMYFUNCTION("""COMPUTED_VALUE"""),"Comum")</f>
        <v>Comum</v>
      </c>
      <c r="H69" s="1" t="str">
        <f>IFERROR(__xludf.DUMMYFUNCTION("""COMPUTED_VALUE"""),"1")</f>
        <v>1</v>
      </c>
      <c r="I69" s="6" t="str">
        <f>IFERROR(__xludf.DUMMYFUNCTION("""COMPUTED_VALUE"""),"26032700341")</f>
        <v>26032700341</v>
      </c>
      <c r="J69" s="1" t="str">
        <f>IFERROR(__xludf.DUMMYFUNCTION("""COMPUTED_VALUE"""),"09/03/2026 13:36:35")</f>
        <v>09/03/2026 13:36:35</v>
      </c>
      <c r="K69" s="1" t="str">
        <f>IFERROR(__xludf.DUMMYFUNCTION("""COMPUTED_VALUE"""),"BRAYAN MENDES")</f>
        <v>BRAYAN MENDES</v>
      </c>
      <c r="L69" s="5" t="str">
        <f>IFERROR(__xludf.DUMMYFUNCTION("""COMPUTED_VALUE"""),"006.823.174-11")</f>
        <v>006.823.174-11</v>
      </c>
      <c r="M69" s="5" t="str">
        <f>IFERROR(__xludf.DUMMYFUNCTION("""COMPUTED_VALUE"""),"07/02/2023")</f>
        <v>07/02/2023</v>
      </c>
      <c r="N69" s="1"/>
      <c r="O69" s="1" t="str">
        <f>IFERROR(__xludf.DUMMYFUNCTION("""COMPUTED_VALUE"""),"0")</f>
        <v>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15.75" customHeight="1">
      <c r="A70" s="1"/>
      <c r="B70" s="1" t="str">
        <f t="array" ref="B70">XLOOKUP(C70,Tabela_1[NOME ESCOLA PONTO ID],Tabela_1[REGIONAL],"NE",0)</f>
        <v>REGIONAL 7</v>
      </c>
      <c r="C70" s="3" t="str">
        <f>IFERROR(__xludf.DUMMYFUNCTION("""COMPUTED_VALUE"""),"CEMEI PROFESSORA CIBELE DE ANDRADE MENDES DE AZEVEDO")</f>
        <v>CEMEI PROFESSORA CIBELE DE ANDRADE MENDES DE AZEVEDO</v>
      </c>
      <c r="D70" s="1" t="str">
        <f>IFERROR(__xludf.DUMMYFUNCTION("""COMPUTED_VALUE"""),"26193078")</f>
        <v>26193078</v>
      </c>
      <c r="E70" s="1" t="str">
        <f>IFERROR(__xludf.DUMMYFUNCTION("""COMPUTED_VALUE"""),"INFANTIL 3")</f>
        <v>INFANTIL 3</v>
      </c>
      <c r="F70" s="1" t="str">
        <f>IFERROR(__xludf.DUMMYFUNCTION("""COMPUTED_VALUE"""),"Integral")</f>
        <v>Integral</v>
      </c>
      <c r="G70" s="1" t="str">
        <f>IFERROR(__xludf.DUMMYFUNCTION("""COMPUTED_VALUE"""),"Comum")</f>
        <v>Comum</v>
      </c>
      <c r="H70" s="1" t="str">
        <f>IFERROR(__xludf.DUMMYFUNCTION("""COMPUTED_VALUE"""),"2")</f>
        <v>2</v>
      </c>
      <c r="I70" s="6" t="str">
        <f>IFERROR(__xludf.DUMMYFUNCTION("""COMPUTED_VALUE"""),"26032388868")</f>
        <v>26032388868</v>
      </c>
      <c r="J70" s="1" t="str">
        <f>IFERROR(__xludf.DUMMYFUNCTION("""COMPUTED_VALUE"""),"23/03/2026 18:55:05")</f>
        <v>23/03/2026 18:55:05</v>
      </c>
      <c r="K70" s="1" t="str">
        <f>IFERROR(__xludf.DUMMYFUNCTION("""COMPUTED_VALUE"""),"FRANK GAEL COSTA LOPES")</f>
        <v>FRANK GAEL COSTA LOPES</v>
      </c>
      <c r="L70" s="5" t="str">
        <f>IFERROR(__xludf.DUMMYFUNCTION("""COMPUTED_VALUE"""),"181.868.494-24")</f>
        <v>181.868.494-24</v>
      </c>
      <c r="M70" s="5" t="str">
        <f>IFERROR(__xludf.DUMMYFUNCTION("""COMPUTED_VALUE"""),"08/06/2022")</f>
        <v>08/06/2022</v>
      </c>
      <c r="N70" s="1"/>
      <c r="O70" s="1" t="str">
        <f>IFERROR(__xludf.DUMMYFUNCTION("""COMPUTED_VALUE"""),"0")</f>
        <v>0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5.75" customHeight="1">
      <c r="A71" s="1"/>
      <c r="B71" s="1" t="str">
        <f t="array" ref="B71">XLOOKUP(C71,Tabela_1[NOME ESCOLA PONTO ID],Tabela_1[REGIONAL],"NE",0)</f>
        <v>REGIONAL 7</v>
      </c>
      <c r="C71" s="3" t="str">
        <f>IFERROR(__xludf.DUMMYFUNCTION("""COMPUTED_VALUE"""),"CEMEI PROFESSORA CIBELE DE ANDRADE MENDES DE AZEVEDO")</f>
        <v>CEMEI PROFESSORA CIBELE DE ANDRADE MENDES DE AZEVEDO</v>
      </c>
      <c r="D71" s="1" t="str">
        <f>IFERROR(__xludf.DUMMYFUNCTION("""COMPUTED_VALUE"""),"26193078")</f>
        <v>26193078</v>
      </c>
      <c r="E71" s="1" t="str">
        <f>IFERROR(__xludf.DUMMYFUNCTION("""COMPUTED_VALUE"""),"INFANTIL 3")</f>
        <v>INFANTIL 3</v>
      </c>
      <c r="F71" s="1" t="str">
        <f>IFERROR(__xludf.DUMMYFUNCTION("""COMPUTED_VALUE"""),"Integral")</f>
        <v>Integral</v>
      </c>
      <c r="G71" s="1" t="str">
        <f>IFERROR(__xludf.DUMMYFUNCTION("""COMPUTED_VALUE"""),"Comum")</f>
        <v>Comum</v>
      </c>
      <c r="H71" s="1" t="str">
        <f>IFERROR(__xludf.DUMMYFUNCTION("""COMPUTED_VALUE"""),"3")</f>
        <v>3</v>
      </c>
      <c r="I71" s="6" t="str">
        <f>IFERROR(__xludf.DUMMYFUNCTION("""COMPUTED_VALUE"""),"26042322287")</f>
        <v>26042322287</v>
      </c>
      <c r="J71" s="1" t="str">
        <f>IFERROR(__xludf.DUMMYFUNCTION("""COMPUTED_VALUE"""),"22/04/2026 15:18:51")</f>
        <v>22/04/2026 15:18:51</v>
      </c>
      <c r="K71" s="1" t="str">
        <f>IFERROR(__xludf.DUMMYFUNCTION("""COMPUTED_VALUE"""),"AYLLA MOANA MAGALHÃES DA SILVA")</f>
        <v>AYLLA MOANA MAGALHÃES DA SILVA</v>
      </c>
      <c r="L71" s="5" t="str">
        <f>IFERROR(__xludf.DUMMYFUNCTION("""COMPUTED_VALUE"""),"184.259.274-20")</f>
        <v>184.259.274-20</v>
      </c>
      <c r="M71" s="5" t="str">
        <f>IFERROR(__xludf.DUMMYFUNCTION("""COMPUTED_VALUE"""),"05/01/2023")</f>
        <v>05/01/2023</v>
      </c>
      <c r="N71" s="1"/>
      <c r="O71" s="1" t="str">
        <f>IFERROR(__xludf.DUMMYFUNCTION("""COMPUTED_VALUE"""),"0")</f>
        <v>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5.75" customHeight="1">
      <c r="A72" s="1"/>
      <c r="B72" s="1" t="str">
        <f t="array" ref="B72">XLOOKUP(C72,Tabela_1[NOME ESCOLA PONTO ID],Tabela_1[REGIONAL],"NE",0)</f>
        <v>REGIONAL 7</v>
      </c>
      <c r="C72" s="3" t="str">
        <f>IFERROR(__xludf.DUMMYFUNCTION("""COMPUTED_VALUE"""),"CEMEI PROFESSORA CIBELE DE ANDRADE MENDES DE AZEVEDO")</f>
        <v>CEMEI PROFESSORA CIBELE DE ANDRADE MENDES DE AZEVEDO</v>
      </c>
      <c r="D72" s="1" t="str">
        <f>IFERROR(__xludf.DUMMYFUNCTION("""COMPUTED_VALUE"""),"26193078")</f>
        <v>26193078</v>
      </c>
      <c r="E72" s="1" t="str">
        <f>IFERROR(__xludf.DUMMYFUNCTION("""COMPUTED_VALUE"""),"INFANTIL 3")</f>
        <v>INFANTIL 3</v>
      </c>
      <c r="F72" s="1" t="str">
        <f>IFERROR(__xludf.DUMMYFUNCTION("""COMPUTED_VALUE"""),"Integral")</f>
        <v>Integral</v>
      </c>
      <c r="G72" s="1" t="str">
        <f>IFERROR(__xludf.DUMMYFUNCTION("""COMPUTED_VALUE"""),"Comum")</f>
        <v>Comum</v>
      </c>
      <c r="H72" s="1" t="str">
        <f>IFERROR(__xludf.DUMMYFUNCTION("""COMPUTED_VALUE"""),"4")</f>
        <v>4</v>
      </c>
      <c r="I72" s="6" t="str">
        <f>IFERROR(__xludf.DUMMYFUNCTION("""COMPUTED_VALUE"""),"26042541417")</f>
        <v>26042541417</v>
      </c>
      <c r="J72" s="1" t="str">
        <f>IFERROR(__xludf.DUMMYFUNCTION("""COMPUTED_VALUE"""),"23/04/2026 10:57:36")</f>
        <v>23/04/2026 10:57:36</v>
      </c>
      <c r="K72" s="1" t="str">
        <f>IFERROR(__xludf.DUMMYFUNCTION("""COMPUTED_VALUE"""),"AYLLA VALENTINA SOUZA DOS SANTOS")</f>
        <v>AYLLA VALENTINA SOUZA DOS SANTOS</v>
      </c>
      <c r="L72" s="5" t="str">
        <f>IFERROR(__xludf.DUMMYFUNCTION("""COMPUTED_VALUE"""),"183.494.434-13")</f>
        <v>183.494.434-13</v>
      </c>
      <c r="M72" s="7" t="str">
        <f>IFERROR(__xludf.DUMMYFUNCTION("""COMPUTED_VALUE"""),"18/11/2022")</f>
        <v>18/11/2022</v>
      </c>
      <c r="N72" s="1"/>
      <c r="O72" s="1" t="str">
        <f>IFERROR(__xludf.DUMMYFUNCTION("""COMPUTED_VALUE"""),"0")</f>
        <v>0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5.75" customHeight="1">
      <c r="A73" s="1"/>
      <c r="B73" s="1" t="str">
        <f t="array" ref="B73">XLOOKUP(C73,Tabela_1[NOME ESCOLA PONTO ID],Tabela_1[REGIONAL],"NE",0)</f>
        <v>REGIONAL 7</v>
      </c>
      <c r="C73" s="3" t="str">
        <f>IFERROR(__xludf.DUMMYFUNCTION("""COMPUTED_VALUE"""),"CEMEI PROFESSORA CIBELE DE ANDRADE MENDES DE AZEVEDO")</f>
        <v>CEMEI PROFESSORA CIBELE DE ANDRADE MENDES DE AZEVEDO</v>
      </c>
      <c r="D73" s="1" t="str">
        <f>IFERROR(__xludf.DUMMYFUNCTION("""COMPUTED_VALUE"""),"26193078")</f>
        <v>26193078</v>
      </c>
      <c r="E73" s="1" t="str">
        <f>IFERROR(__xludf.DUMMYFUNCTION("""COMPUTED_VALUE"""),"INFANTIL 3")</f>
        <v>INFANTIL 3</v>
      </c>
      <c r="F73" s="1" t="str">
        <f>IFERROR(__xludf.DUMMYFUNCTION("""COMPUTED_VALUE"""),"Integral")</f>
        <v>Integral</v>
      </c>
      <c r="G73" s="1" t="str">
        <f>IFERROR(__xludf.DUMMYFUNCTION("""COMPUTED_VALUE"""),"Comum")</f>
        <v>Comum</v>
      </c>
      <c r="H73" s="1" t="str">
        <f>IFERROR(__xludf.DUMMYFUNCTION("""COMPUTED_VALUE"""),"5")</f>
        <v>5</v>
      </c>
      <c r="I73" s="6" t="str">
        <f>IFERROR(__xludf.DUMMYFUNCTION("""COMPUTED_VALUE"""),"26052923727")</f>
        <v>26052923727</v>
      </c>
      <c r="J73" s="1" t="str">
        <f>IFERROR(__xludf.DUMMYFUNCTION("""COMPUTED_VALUE"""),"13/05/2026 10:59:27")</f>
        <v>13/05/2026 10:59:27</v>
      </c>
      <c r="K73" s="1" t="str">
        <f>IFERROR(__xludf.DUMMYFUNCTION("""COMPUTED_VALUE"""),"REBECA LUANA DA SILVA MILANEZ")</f>
        <v>REBECA LUANA DA SILVA MILANEZ</v>
      </c>
      <c r="L73" s="5" t="str">
        <f>IFERROR(__xludf.DUMMYFUNCTION("""COMPUTED_VALUE"""),"182.950.714-16")</f>
        <v>182.950.714-16</v>
      </c>
      <c r="M73" s="5" t="str">
        <f>IFERROR(__xludf.DUMMYFUNCTION("""COMPUTED_VALUE"""),"21/09/2022")</f>
        <v>21/09/2022</v>
      </c>
      <c r="N73" s="1"/>
      <c r="O73" s="1" t="str">
        <f>IFERROR(__xludf.DUMMYFUNCTION("""COMPUTED_VALUE"""),"0")</f>
        <v>0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5.75" customHeight="1">
      <c r="A74" s="1"/>
      <c r="B74" s="1" t="str">
        <f t="array" ref="B74">XLOOKUP(C74,Tabela_1[NOME ESCOLA PONTO ID],Tabela_1[REGIONAL],"NE",0)</f>
        <v>REGIONAL 7</v>
      </c>
      <c r="C74" s="3" t="str">
        <f>IFERROR(__xludf.DUMMYFUNCTION("""COMPUTED_VALUE"""),"CEMEI PROFESSORA CIBELE DE ANDRADE MENDES DE AZEVEDO")</f>
        <v>CEMEI PROFESSORA CIBELE DE ANDRADE MENDES DE AZEVEDO</v>
      </c>
      <c r="D74" s="1" t="str">
        <f>IFERROR(__xludf.DUMMYFUNCTION("""COMPUTED_VALUE"""),"26193078")</f>
        <v>26193078</v>
      </c>
      <c r="E74" s="1" t="str">
        <f>IFERROR(__xludf.DUMMYFUNCTION("""COMPUTED_VALUE"""),"INFANTIL 4")</f>
        <v>INFANTIL 4</v>
      </c>
      <c r="F74" s="1" t="str">
        <f>IFERROR(__xludf.DUMMYFUNCTION("""COMPUTED_VALUE"""),"Matutino/Manhã")</f>
        <v>Matutino/Manhã</v>
      </c>
      <c r="G74" s="1" t="str">
        <f>IFERROR(__xludf.DUMMYFUNCTION("""COMPUTED_VALUE"""),"Comum")</f>
        <v>Comum</v>
      </c>
      <c r="H74" s="1" t="str">
        <f>IFERROR(__xludf.DUMMYFUNCTION("""COMPUTED_VALUE"""),"1")</f>
        <v>1</v>
      </c>
      <c r="I74" s="6" t="str">
        <f>IFERROR(__xludf.DUMMYFUNCTION("""COMPUTED_VALUE"""),"26022649693")</f>
        <v>26022649693</v>
      </c>
      <c r="J74" s="1" t="str">
        <f>IFERROR(__xludf.DUMMYFUNCTION("""COMPUTED_VALUE"""),"10/02/2026 08:52:34")</f>
        <v>10/02/2026 08:52:34</v>
      </c>
      <c r="K74" s="1" t="str">
        <f>IFERROR(__xludf.DUMMYFUNCTION("""COMPUTED_VALUE"""),"CLARA LICKS DE ALMEIDA")</f>
        <v>CLARA LICKS DE ALMEIDA</v>
      </c>
      <c r="L74" s="5" t="str">
        <f>IFERROR(__xludf.DUMMYFUNCTION("""COMPUTED_VALUE"""),"181.097.294-95")</f>
        <v>181.097.294-95</v>
      </c>
      <c r="M74" s="5" t="str">
        <f>IFERROR(__xludf.DUMMYFUNCTION("""COMPUTED_VALUE"""),"31/03/2022")</f>
        <v>31/03/2022</v>
      </c>
      <c r="N74" s="1"/>
      <c r="O74" s="1" t="str">
        <f>IFERROR(__xludf.DUMMYFUNCTION("""COMPUTED_VALUE"""),"0")</f>
        <v>0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5.75" customHeight="1">
      <c r="A75" s="1"/>
      <c r="B75" s="1" t="str">
        <f t="array" ref="B75">XLOOKUP(C75,Tabela_1[NOME ESCOLA PONTO ID],Tabela_1[REGIONAL],"NE",0)</f>
        <v>REGIONAL 5</v>
      </c>
      <c r="C75" s="3" t="str">
        <f>IFERROR(__xludf.DUMMYFUNCTION("""COMPUTED_VALUE"""),"CEMEI PROFESSORA LINDOMAR DOMINGOS DA SILVA ANJOS")</f>
        <v>CEMEI PROFESSORA LINDOMAR DOMINGOS DA SILVA ANJOS</v>
      </c>
      <c r="D75" s="1" t="str">
        <f>IFERROR(__xludf.DUMMYFUNCTION("""COMPUTED_VALUE"""),"26191296")</f>
        <v>26191296</v>
      </c>
      <c r="E75" s="1" t="str">
        <f>IFERROR(__xludf.DUMMYFUNCTION("""COMPUTED_VALUE"""),"INFANTIL 1")</f>
        <v>INFANTIL 1</v>
      </c>
      <c r="F75" s="1" t="str">
        <f>IFERROR(__xludf.DUMMYFUNCTION("""COMPUTED_VALUE"""),"Integral")</f>
        <v>Integral</v>
      </c>
      <c r="G75" s="1" t="str">
        <f>IFERROR(__xludf.DUMMYFUNCTION("""COMPUTED_VALUE"""),"Comum")</f>
        <v>Comum</v>
      </c>
      <c r="H75" s="1" t="str">
        <f>IFERROR(__xludf.DUMMYFUNCTION("""COMPUTED_VALUE"""),"1")</f>
        <v>1</v>
      </c>
      <c r="I75" s="6" t="str">
        <f>IFERROR(__xludf.DUMMYFUNCTION("""COMPUTED_VALUE"""),"26012727825")</f>
        <v>26012727825</v>
      </c>
      <c r="J75" s="1" t="str">
        <f>IFERROR(__xludf.DUMMYFUNCTION("""COMPUTED_VALUE"""),"28/01/2026 08:08:23")</f>
        <v>28/01/2026 08:08:23</v>
      </c>
      <c r="K75" s="1" t="str">
        <f>IFERROR(__xludf.DUMMYFUNCTION("""COMPUTED_VALUE"""),"LUNNA SOPHIA DA SILVA ARAÚJO")</f>
        <v>LUNNA SOPHIA DA SILVA ARAÚJO</v>
      </c>
      <c r="L75" s="7" t="str">
        <f>IFERROR(__xludf.DUMMYFUNCTION("""COMPUTED_VALUE"""),"004.595.404-67")</f>
        <v>004.595.404-67</v>
      </c>
      <c r="M75" s="5" t="str">
        <f>IFERROR(__xludf.DUMMYFUNCTION("""COMPUTED_VALUE"""),"07/11/2024")</f>
        <v>07/11/2024</v>
      </c>
      <c r="N75" s="1"/>
      <c r="O75" s="1" t="str">
        <f>IFERROR(__xludf.DUMMYFUNCTION("""COMPUTED_VALUE"""),"0")</f>
        <v>0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5.75" customHeight="1">
      <c r="A76" s="1"/>
      <c r="B76" s="1" t="str">
        <f t="array" ref="B76">XLOOKUP(C76,Tabela_1[NOME ESCOLA PONTO ID],Tabela_1[REGIONAL],"NE",0)</f>
        <v>REGIONAL 5</v>
      </c>
      <c r="C76" s="3" t="str">
        <f>IFERROR(__xludf.DUMMYFUNCTION("""COMPUTED_VALUE"""),"CEMEI PROFESSORA LINDOMAR DOMINGOS DA SILVA ANJOS")</f>
        <v>CEMEI PROFESSORA LINDOMAR DOMINGOS DA SILVA ANJOS</v>
      </c>
      <c r="D76" s="1" t="str">
        <f>IFERROR(__xludf.DUMMYFUNCTION("""COMPUTED_VALUE"""),"26191296")</f>
        <v>26191296</v>
      </c>
      <c r="E76" s="1" t="str">
        <f>IFERROR(__xludf.DUMMYFUNCTION("""COMPUTED_VALUE"""),"INFANTIL 1")</f>
        <v>INFANTIL 1</v>
      </c>
      <c r="F76" s="1" t="str">
        <f>IFERROR(__xludf.DUMMYFUNCTION("""COMPUTED_VALUE"""),"Integral")</f>
        <v>Integral</v>
      </c>
      <c r="G76" s="1" t="str">
        <f>IFERROR(__xludf.DUMMYFUNCTION("""COMPUTED_VALUE"""),"Comum")</f>
        <v>Comum</v>
      </c>
      <c r="H76" s="1" t="str">
        <f>IFERROR(__xludf.DUMMYFUNCTION("""COMPUTED_VALUE"""),"2")</f>
        <v>2</v>
      </c>
      <c r="I76" s="6" t="str">
        <f>IFERROR(__xludf.DUMMYFUNCTION("""COMPUTED_VALUE"""),"26012074592")</f>
        <v>26012074592</v>
      </c>
      <c r="J76" s="1" t="str">
        <f>IFERROR(__xludf.DUMMYFUNCTION("""COMPUTED_VALUE"""),"28/01/2026 08:08:37")</f>
        <v>28/01/2026 08:08:37</v>
      </c>
      <c r="K76" s="1" t="str">
        <f>IFERROR(__xludf.DUMMYFUNCTION("""COMPUTED_VALUE"""),"BRYAN ARTHUR COSTA SILVA")</f>
        <v>BRYAN ARTHUR COSTA SILVA</v>
      </c>
      <c r="L76" s="7" t="str">
        <f>IFERROR(__xludf.DUMMYFUNCTION("""COMPUTED_VALUE"""),"004.069.734-74")</f>
        <v>004.069.734-74</v>
      </c>
      <c r="M76" s="5" t="str">
        <f>IFERROR(__xludf.DUMMYFUNCTION("""COMPUTED_VALUE"""),"13/09/2024")</f>
        <v>13/09/2024</v>
      </c>
      <c r="N76" s="1"/>
      <c r="O76" s="1" t="str">
        <f>IFERROR(__xludf.DUMMYFUNCTION("""COMPUTED_VALUE"""),"0")</f>
        <v>0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5.75" customHeight="1">
      <c r="A77" s="1"/>
      <c r="B77" s="1" t="str">
        <f t="array" ref="B77">XLOOKUP(C77,Tabela_1[NOME ESCOLA PONTO ID],Tabela_1[REGIONAL],"NE",0)</f>
        <v>REGIONAL 5</v>
      </c>
      <c r="C77" s="3" t="str">
        <f>IFERROR(__xludf.DUMMYFUNCTION("""COMPUTED_VALUE"""),"CEMEI PROFESSORA LINDOMAR DOMINGOS DA SILVA ANJOS")</f>
        <v>CEMEI PROFESSORA LINDOMAR DOMINGOS DA SILVA ANJOS</v>
      </c>
      <c r="D77" s="1" t="str">
        <f>IFERROR(__xludf.DUMMYFUNCTION("""COMPUTED_VALUE"""),"26191296")</f>
        <v>26191296</v>
      </c>
      <c r="E77" s="1" t="str">
        <f>IFERROR(__xludf.DUMMYFUNCTION("""COMPUTED_VALUE"""),"INFANTIL 1")</f>
        <v>INFANTIL 1</v>
      </c>
      <c r="F77" s="1" t="str">
        <f>IFERROR(__xludf.DUMMYFUNCTION("""COMPUTED_VALUE"""),"Integral")</f>
        <v>Integral</v>
      </c>
      <c r="G77" s="1" t="str">
        <f>IFERROR(__xludf.DUMMYFUNCTION("""COMPUTED_VALUE"""),"Comum")</f>
        <v>Comum</v>
      </c>
      <c r="H77" s="1" t="str">
        <f>IFERROR(__xludf.DUMMYFUNCTION("""COMPUTED_VALUE"""),"3")</f>
        <v>3</v>
      </c>
      <c r="I77" s="6" t="str">
        <f>IFERROR(__xludf.DUMMYFUNCTION("""COMPUTED_VALUE"""),"26012364070")</f>
        <v>26012364070</v>
      </c>
      <c r="J77" s="1" t="str">
        <f>IFERROR(__xludf.DUMMYFUNCTION("""COMPUTED_VALUE"""),"28/01/2026 08:11:25")</f>
        <v>28/01/2026 08:11:25</v>
      </c>
      <c r="K77" s="1" t="str">
        <f>IFERROR(__xludf.DUMMYFUNCTION("""COMPUTED_VALUE"""),"ANNA LIZ COSTA DA SILVA MOURA")</f>
        <v>ANNA LIZ COSTA DA SILVA MOURA</v>
      </c>
      <c r="L77" s="5" t="str">
        <f>IFERROR(__xludf.DUMMYFUNCTION("""COMPUTED_VALUE"""),"170.372.894-77")</f>
        <v>170.372.894-77</v>
      </c>
      <c r="M77" s="5" t="str">
        <f>IFERROR(__xludf.DUMMYFUNCTION("""COMPUTED_VALUE"""),"20/04/2024")</f>
        <v>20/04/2024</v>
      </c>
      <c r="N77" s="1"/>
      <c r="O77" s="1" t="str">
        <f>IFERROR(__xludf.DUMMYFUNCTION("""COMPUTED_VALUE"""),"0")</f>
        <v>0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ht="15.75" customHeight="1">
      <c r="A78" s="1"/>
      <c r="B78" s="1" t="str">
        <f t="array" ref="B78">XLOOKUP(C78,Tabela_1[NOME ESCOLA PONTO ID],Tabela_1[REGIONAL],"NE",0)</f>
        <v>REGIONAL 5</v>
      </c>
      <c r="C78" s="3" t="str">
        <f>IFERROR(__xludf.DUMMYFUNCTION("""COMPUTED_VALUE"""),"CEMEI PROFESSORA LINDOMAR DOMINGOS DA SILVA ANJOS")</f>
        <v>CEMEI PROFESSORA LINDOMAR DOMINGOS DA SILVA ANJOS</v>
      </c>
      <c r="D78" s="1" t="str">
        <f>IFERROR(__xludf.DUMMYFUNCTION("""COMPUTED_VALUE"""),"26191296")</f>
        <v>26191296</v>
      </c>
      <c r="E78" s="1" t="str">
        <f>IFERROR(__xludf.DUMMYFUNCTION("""COMPUTED_VALUE"""),"INFANTIL 1")</f>
        <v>INFANTIL 1</v>
      </c>
      <c r="F78" s="1" t="str">
        <f>IFERROR(__xludf.DUMMYFUNCTION("""COMPUTED_VALUE"""),"Integral")</f>
        <v>Integral</v>
      </c>
      <c r="G78" s="1" t="str">
        <f>IFERROR(__xludf.DUMMYFUNCTION("""COMPUTED_VALUE"""),"Comum")</f>
        <v>Comum</v>
      </c>
      <c r="H78" s="1" t="str">
        <f>IFERROR(__xludf.DUMMYFUNCTION("""COMPUTED_VALUE"""),"4")</f>
        <v>4</v>
      </c>
      <c r="I78" s="6" t="str">
        <f>IFERROR(__xludf.DUMMYFUNCTION("""COMPUTED_VALUE"""),"26012045456")</f>
        <v>26012045456</v>
      </c>
      <c r="J78" s="1" t="str">
        <f>IFERROR(__xludf.DUMMYFUNCTION("""COMPUTED_VALUE"""),"28/01/2026 08:13:45")</f>
        <v>28/01/2026 08:13:45</v>
      </c>
      <c r="K78" s="1" t="str">
        <f>IFERROR(__xludf.DUMMYFUNCTION("""COMPUTED_VALUE"""),"GEYSON LUCAS CABRAL DA SILVA")</f>
        <v>GEYSON LUCAS CABRAL DA SILVA</v>
      </c>
      <c r="L78" s="5" t="str">
        <f>IFERROR(__xludf.DUMMYFUNCTION("""COMPUTED_VALUE"""),"003.545.084-31")</f>
        <v>003.545.084-31</v>
      </c>
      <c r="M78" s="5" t="str">
        <f>IFERROR(__xludf.DUMMYFUNCTION("""COMPUTED_VALUE"""),"18/07/2024")</f>
        <v>18/07/2024</v>
      </c>
      <c r="N78" s="1"/>
      <c r="O78" s="1" t="str">
        <f>IFERROR(__xludf.DUMMYFUNCTION("""COMPUTED_VALUE"""),"0")</f>
        <v>0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5.75" customHeight="1">
      <c r="A79" s="1"/>
      <c r="B79" s="1" t="str">
        <f t="array" ref="B79">XLOOKUP(C79,Tabela_1[NOME ESCOLA PONTO ID],Tabela_1[REGIONAL],"NE",0)</f>
        <v>REGIONAL 5</v>
      </c>
      <c r="C79" s="3" t="str">
        <f>IFERROR(__xludf.DUMMYFUNCTION("""COMPUTED_VALUE"""),"CEMEI PROFESSORA LINDOMAR DOMINGOS DA SILVA ANJOS")</f>
        <v>CEMEI PROFESSORA LINDOMAR DOMINGOS DA SILVA ANJOS</v>
      </c>
      <c r="D79" s="1" t="str">
        <f>IFERROR(__xludf.DUMMYFUNCTION("""COMPUTED_VALUE"""),"26191296")</f>
        <v>26191296</v>
      </c>
      <c r="E79" s="1" t="str">
        <f>IFERROR(__xludf.DUMMYFUNCTION("""COMPUTED_VALUE"""),"INFANTIL 1")</f>
        <v>INFANTIL 1</v>
      </c>
      <c r="F79" s="1" t="str">
        <f>IFERROR(__xludf.DUMMYFUNCTION("""COMPUTED_VALUE"""),"Integral")</f>
        <v>Integral</v>
      </c>
      <c r="G79" s="1" t="str">
        <f>IFERROR(__xludf.DUMMYFUNCTION("""COMPUTED_VALUE"""),"Comum")</f>
        <v>Comum</v>
      </c>
      <c r="H79" s="1" t="str">
        <f>IFERROR(__xludf.DUMMYFUNCTION("""COMPUTED_VALUE"""),"5")</f>
        <v>5</v>
      </c>
      <c r="I79" s="6" t="str">
        <f>IFERROR(__xludf.DUMMYFUNCTION("""COMPUTED_VALUE"""),"26012639313")</f>
        <v>26012639313</v>
      </c>
      <c r="J79" s="1" t="str">
        <f>IFERROR(__xludf.DUMMYFUNCTION("""COMPUTED_VALUE"""),"28/01/2026 08:25:22")</f>
        <v>28/01/2026 08:25:22</v>
      </c>
      <c r="K79" s="1" t="str">
        <f>IFERROR(__xludf.DUMMYFUNCTION("""COMPUTED_VALUE"""),"HELENA MAITÊ BARRETO DA SILVA")</f>
        <v>HELENA MAITÊ BARRETO DA SILVA</v>
      </c>
      <c r="L79" s="5" t="str">
        <f>IFERROR(__xludf.DUMMYFUNCTION("""COMPUTED_VALUE"""),"004.709.854-61")</f>
        <v>004.709.854-61</v>
      </c>
      <c r="M79" s="5" t="str">
        <f>IFERROR(__xludf.DUMMYFUNCTION("""COMPUTED_VALUE"""),"02/11/2024")</f>
        <v>02/11/2024</v>
      </c>
      <c r="N79" s="1"/>
      <c r="O79" s="1" t="str">
        <f>IFERROR(__xludf.DUMMYFUNCTION("""COMPUTED_VALUE"""),"0")</f>
        <v>0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5.75" customHeight="1">
      <c r="A80" s="1"/>
      <c r="B80" s="1" t="str">
        <f t="array" ref="B80">XLOOKUP(C80,Tabela_1[NOME ESCOLA PONTO ID],Tabela_1[REGIONAL],"NE",0)</f>
        <v>REGIONAL 5</v>
      </c>
      <c r="C80" s="3" t="str">
        <f>IFERROR(__xludf.DUMMYFUNCTION("""COMPUTED_VALUE"""),"CEMEI PROFESSORA LINDOMAR DOMINGOS DA SILVA ANJOS")</f>
        <v>CEMEI PROFESSORA LINDOMAR DOMINGOS DA SILVA ANJOS</v>
      </c>
      <c r="D80" s="1" t="str">
        <f>IFERROR(__xludf.DUMMYFUNCTION("""COMPUTED_VALUE"""),"26191296")</f>
        <v>26191296</v>
      </c>
      <c r="E80" s="1" t="str">
        <f>IFERROR(__xludf.DUMMYFUNCTION("""COMPUTED_VALUE"""),"INFANTIL 1")</f>
        <v>INFANTIL 1</v>
      </c>
      <c r="F80" s="1" t="str">
        <f>IFERROR(__xludf.DUMMYFUNCTION("""COMPUTED_VALUE"""),"Integral")</f>
        <v>Integral</v>
      </c>
      <c r="G80" s="1" t="str">
        <f>IFERROR(__xludf.DUMMYFUNCTION("""COMPUTED_VALUE"""),"Comum")</f>
        <v>Comum</v>
      </c>
      <c r="H80" s="1" t="str">
        <f>IFERROR(__xludf.DUMMYFUNCTION("""COMPUTED_VALUE"""),"6")</f>
        <v>6</v>
      </c>
      <c r="I80" s="6" t="str">
        <f>IFERROR(__xludf.DUMMYFUNCTION("""COMPUTED_VALUE"""),"26012366685")</f>
        <v>26012366685</v>
      </c>
      <c r="J80" s="1" t="str">
        <f>IFERROR(__xludf.DUMMYFUNCTION("""COMPUTED_VALUE"""),"28/01/2026 09:18:21")</f>
        <v>28/01/2026 09:18:21</v>
      </c>
      <c r="K80" s="1" t="str">
        <f>IFERROR(__xludf.DUMMYFUNCTION("""COMPUTED_VALUE"""),"HELOISA FERREIRA MIRANDA DA SILVA")</f>
        <v>HELOISA FERREIRA MIRANDA DA SILVA</v>
      </c>
      <c r="L80" s="5" t="str">
        <f>IFERROR(__xludf.DUMMYFUNCTION("""COMPUTED_VALUE"""),"005.241.694-11")</f>
        <v>005.241.694-11</v>
      </c>
      <c r="M80" s="5" t="str">
        <f>IFERROR(__xludf.DUMMYFUNCTION("""COMPUTED_VALUE"""),"15/01/2025")</f>
        <v>15/01/2025</v>
      </c>
      <c r="N80" s="1"/>
      <c r="O80" s="1" t="str">
        <f>IFERROR(__xludf.DUMMYFUNCTION("""COMPUTED_VALUE"""),"0")</f>
        <v>0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5.75" customHeight="1">
      <c r="A81" s="1"/>
      <c r="B81" s="1" t="str">
        <f t="array" ref="B81">XLOOKUP(C81,Tabela_1[NOME ESCOLA PONTO ID],Tabela_1[REGIONAL],"NE",0)</f>
        <v>REGIONAL 5</v>
      </c>
      <c r="C81" s="3" t="str">
        <f>IFERROR(__xludf.DUMMYFUNCTION("""COMPUTED_VALUE"""),"CEMEI PROFESSORA LINDOMAR DOMINGOS DA SILVA ANJOS")</f>
        <v>CEMEI PROFESSORA LINDOMAR DOMINGOS DA SILVA ANJOS</v>
      </c>
      <c r="D81" s="1" t="str">
        <f>IFERROR(__xludf.DUMMYFUNCTION("""COMPUTED_VALUE"""),"26191296")</f>
        <v>26191296</v>
      </c>
      <c r="E81" s="1" t="str">
        <f>IFERROR(__xludf.DUMMYFUNCTION("""COMPUTED_VALUE"""),"INFANTIL 1")</f>
        <v>INFANTIL 1</v>
      </c>
      <c r="F81" s="1" t="str">
        <f>IFERROR(__xludf.DUMMYFUNCTION("""COMPUTED_VALUE"""),"Integral")</f>
        <v>Integral</v>
      </c>
      <c r="G81" s="1" t="str">
        <f>IFERROR(__xludf.DUMMYFUNCTION("""COMPUTED_VALUE"""),"Comum")</f>
        <v>Comum</v>
      </c>
      <c r="H81" s="1" t="str">
        <f>IFERROR(__xludf.DUMMYFUNCTION("""COMPUTED_VALUE"""),"7")</f>
        <v>7</v>
      </c>
      <c r="I81" s="6" t="str">
        <f>IFERROR(__xludf.DUMMYFUNCTION("""COMPUTED_VALUE"""),"26012430062")</f>
        <v>26012430062</v>
      </c>
      <c r="J81" s="1" t="str">
        <f>IFERROR(__xludf.DUMMYFUNCTION("""COMPUTED_VALUE"""),"28/01/2026 09:33:11")</f>
        <v>28/01/2026 09:33:11</v>
      </c>
      <c r="K81" s="1" t="str">
        <f>IFERROR(__xludf.DUMMYFUNCTION("""COMPUTED_VALUE"""),"JASMYNE ELOISE DOS SANTOS")</f>
        <v>JASMYNE ELOISE DOS SANTOS</v>
      </c>
      <c r="L81" s="5" t="str">
        <f>IFERROR(__xludf.DUMMYFUNCTION("""COMPUTED_VALUE"""),"004.726.704-68")</f>
        <v>004.726.704-68</v>
      </c>
      <c r="M81" s="5" t="str">
        <f>IFERROR(__xludf.DUMMYFUNCTION("""COMPUTED_VALUE"""),"23/06/2024")</f>
        <v>23/06/2024</v>
      </c>
      <c r="N81" s="1"/>
      <c r="O81" s="1" t="str">
        <f>IFERROR(__xludf.DUMMYFUNCTION("""COMPUTED_VALUE"""),"0")</f>
        <v>0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5.75" customHeight="1">
      <c r="A82" s="1"/>
      <c r="B82" s="1" t="str">
        <f t="array" ref="B82">XLOOKUP(C82,Tabela_1[NOME ESCOLA PONTO ID],Tabela_1[REGIONAL],"NE",0)</f>
        <v>REGIONAL 5</v>
      </c>
      <c r="C82" s="3" t="str">
        <f>IFERROR(__xludf.DUMMYFUNCTION("""COMPUTED_VALUE"""),"CEMEI PROFESSORA LINDOMAR DOMINGOS DA SILVA ANJOS")</f>
        <v>CEMEI PROFESSORA LINDOMAR DOMINGOS DA SILVA ANJOS</v>
      </c>
      <c r="D82" s="1" t="str">
        <f>IFERROR(__xludf.DUMMYFUNCTION("""COMPUTED_VALUE"""),"26191296")</f>
        <v>26191296</v>
      </c>
      <c r="E82" s="1" t="str">
        <f>IFERROR(__xludf.DUMMYFUNCTION("""COMPUTED_VALUE"""),"INFANTIL 1")</f>
        <v>INFANTIL 1</v>
      </c>
      <c r="F82" s="1" t="str">
        <f>IFERROR(__xludf.DUMMYFUNCTION("""COMPUTED_VALUE"""),"Integral")</f>
        <v>Integral</v>
      </c>
      <c r="G82" s="1" t="str">
        <f>IFERROR(__xludf.DUMMYFUNCTION("""COMPUTED_VALUE"""),"Comum")</f>
        <v>Comum</v>
      </c>
      <c r="H82" s="1" t="str">
        <f>IFERROR(__xludf.DUMMYFUNCTION("""COMPUTED_VALUE"""),"8")</f>
        <v>8</v>
      </c>
      <c r="I82" s="6" t="str">
        <f>IFERROR(__xludf.DUMMYFUNCTION("""COMPUTED_VALUE"""),"26012259894")</f>
        <v>26012259894</v>
      </c>
      <c r="J82" s="1" t="str">
        <f>IFERROR(__xludf.DUMMYFUNCTION("""COMPUTED_VALUE"""),"28/01/2026 09:38:34")</f>
        <v>28/01/2026 09:38:34</v>
      </c>
      <c r="K82" s="1" t="str">
        <f>IFERROR(__xludf.DUMMYFUNCTION("""COMPUTED_VALUE"""),"ALEF GABRIEL FERREIRA SALES")</f>
        <v>ALEF GABRIEL FERREIRA SALES</v>
      </c>
      <c r="L82" s="7" t="str">
        <f>IFERROR(__xludf.DUMMYFUNCTION("""COMPUTED_VALUE"""),"003.127.374-24")</f>
        <v>003.127.374-24</v>
      </c>
      <c r="M82" s="7" t="str">
        <f>IFERROR(__xludf.DUMMYFUNCTION("""COMPUTED_VALUE"""),"31/05/2024")</f>
        <v>31/05/2024</v>
      </c>
      <c r="N82" s="1"/>
      <c r="O82" s="1" t="str">
        <f>IFERROR(__xludf.DUMMYFUNCTION("""COMPUTED_VALUE"""),"0")</f>
        <v>0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15.75" customHeight="1">
      <c r="A83" s="1"/>
      <c r="B83" s="1" t="str">
        <f t="array" ref="B83">XLOOKUP(C83,Tabela_1[NOME ESCOLA PONTO ID],Tabela_1[REGIONAL],"NE",0)</f>
        <v>REGIONAL 5</v>
      </c>
      <c r="C83" s="3" t="str">
        <f>IFERROR(__xludf.DUMMYFUNCTION("""COMPUTED_VALUE"""),"CEMEI PROFESSORA LINDOMAR DOMINGOS DA SILVA ANJOS")</f>
        <v>CEMEI PROFESSORA LINDOMAR DOMINGOS DA SILVA ANJOS</v>
      </c>
      <c r="D83" s="1" t="str">
        <f>IFERROR(__xludf.DUMMYFUNCTION("""COMPUTED_VALUE"""),"26191296")</f>
        <v>26191296</v>
      </c>
      <c r="E83" s="1" t="str">
        <f>IFERROR(__xludf.DUMMYFUNCTION("""COMPUTED_VALUE"""),"INFANTIL 1")</f>
        <v>INFANTIL 1</v>
      </c>
      <c r="F83" s="1" t="str">
        <f>IFERROR(__xludf.DUMMYFUNCTION("""COMPUTED_VALUE"""),"Integral")</f>
        <v>Integral</v>
      </c>
      <c r="G83" s="1" t="str">
        <f>IFERROR(__xludf.DUMMYFUNCTION("""COMPUTED_VALUE"""),"Comum")</f>
        <v>Comum</v>
      </c>
      <c r="H83" s="1" t="str">
        <f>IFERROR(__xludf.DUMMYFUNCTION("""COMPUTED_VALUE"""),"9")</f>
        <v>9</v>
      </c>
      <c r="I83" s="4" t="str">
        <f>IFERROR(__xludf.DUMMYFUNCTION("""COMPUTED_VALUE"""),"26012275379")</f>
        <v>26012275379</v>
      </c>
      <c r="J83" s="1" t="str">
        <f>IFERROR(__xludf.DUMMYFUNCTION("""COMPUTED_VALUE"""),"28/01/2026 10:45:36")</f>
        <v>28/01/2026 10:45:36</v>
      </c>
      <c r="K83" s="1" t="str">
        <f>IFERROR(__xludf.DUMMYFUNCTION("""COMPUTED_VALUE"""),"THEO MENDES DA SILVA")</f>
        <v>THEO MENDES DA SILVA</v>
      </c>
      <c r="L83" s="5" t="str">
        <f>IFERROR(__xludf.DUMMYFUNCTION("""COMPUTED_VALUE"""),"004.687.804-16")</f>
        <v>004.687.804-16</v>
      </c>
      <c r="M83" s="5" t="str">
        <f>IFERROR(__xludf.DUMMYFUNCTION("""COMPUTED_VALUE"""),"25/11/2024")</f>
        <v>25/11/2024</v>
      </c>
      <c r="N83" s="1"/>
      <c r="O83" s="1" t="str">
        <f>IFERROR(__xludf.DUMMYFUNCTION("""COMPUTED_VALUE"""),"0")</f>
        <v>0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5.75" customHeight="1">
      <c r="A84" s="1"/>
      <c r="B84" s="1" t="str">
        <f t="array" ref="B84">XLOOKUP(C84,Tabela_1[NOME ESCOLA PONTO ID],Tabela_1[REGIONAL],"NE",0)</f>
        <v>REGIONAL 5</v>
      </c>
      <c r="C84" s="3" t="str">
        <f>IFERROR(__xludf.DUMMYFUNCTION("""COMPUTED_VALUE"""),"CEMEI PROFESSORA LINDOMAR DOMINGOS DA SILVA ANJOS")</f>
        <v>CEMEI PROFESSORA LINDOMAR DOMINGOS DA SILVA ANJOS</v>
      </c>
      <c r="D84" s="1" t="str">
        <f>IFERROR(__xludf.DUMMYFUNCTION("""COMPUTED_VALUE"""),"26191296")</f>
        <v>26191296</v>
      </c>
      <c r="E84" s="1" t="str">
        <f>IFERROR(__xludf.DUMMYFUNCTION("""COMPUTED_VALUE"""),"INFANTIL 1")</f>
        <v>INFANTIL 1</v>
      </c>
      <c r="F84" s="1" t="str">
        <f>IFERROR(__xludf.DUMMYFUNCTION("""COMPUTED_VALUE"""),"Integral")</f>
        <v>Integral</v>
      </c>
      <c r="G84" s="1" t="str">
        <f>IFERROR(__xludf.DUMMYFUNCTION("""COMPUTED_VALUE"""),"Comum")</f>
        <v>Comum</v>
      </c>
      <c r="H84" s="1" t="str">
        <f>IFERROR(__xludf.DUMMYFUNCTION("""COMPUTED_VALUE"""),"10")</f>
        <v>10</v>
      </c>
      <c r="I84" s="4" t="str">
        <f>IFERROR(__xludf.DUMMYFUNCTION("""COMPUTED_VALUE"""),"26012592427")</f>
        <v>26012592427</v>
      </c>
      <c r="J84" s="1" t="str">
        <f>IFERROR(__xludf.DUMMYFUNCTION("""COMPUTED_VALUE"""),"28/01/2026 12:49:55")</f>
        <v>28/01/2026 12:49:55</v>
      </c>
      <c r="K84" s="1" t="str">
        <f>IFERROR(__xludf.DUMMYFUNCTION("""COMPUTED_VALUE"""),"KAYLLANY CECÍLIA FEITOZA SANTOS DA SILVA")</f>
        <v>KAYLLANY CECÍLIA FEITOZA SANTOS DA SILVA</v>
      </c>
      <c r="L84" s="5" t="str">
        <f>IFERROR(__xludf.DUMMYFUNCTION("""COMPUTED_VALUE"""),"004.046.764-30")</f>
        <v>004.046.764-30</v>
      </c>
      <c r="M84" s="5" t="str">
        <f>IFERROR(__xludf.DUMMYFUNCTION("""COMPUTED_VALUE"""),"10/09/2024")</f>
        <v>10/09/2024</v>
      </c>
      <c r="N84" s="1"/>
      <c r="O84" s="1" t="str">
        <f>IFERROR(__xludf.DUMMYFUNCTION("""COMPUTED_VALUE"""),"0")</f>
        <v>0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5.75" customHeight="1">
      <c r="A85" s="1"/>
      <c r="B85" s="1" t="str">
        <f t="array" ref="B85">XLOOKUP(C85,Tabela_1[NOME ESCOLA PONTO ID],Tabela_1[REGIONAL],"NE",0)</f>
        <v>REGIONAL 5</v>
      </c>
      <c r="C85" s="3" t="str">
        <f>IFERROR(__xludf.DUMMYFUNCTION("""COMPUTED_VALUE"""),"CEMEI PROFESSORA LINDOMAR DOMINGOS DA SILVA ANJOS")</f>
        <v>CEMEI PROFESSORA LINDOMAR DOMINGOS DA SILVA ANJOS</v>
      </c>
      <c r="D85" s="1" t="str">
        <f>IFERROR(__xludf.DUMMYFUNCTION("""COMPUTED_VALUE"""),"26191296")</f>
        <v>26191296</v>
      </c>
      <c r="E85" s="1" t="str">
        <f>IFERROR(__xludf.DUMMYFUNCTION("""COMPUTED_VALUE"""),"INFANTIL 1")</f>
        <v>INFANTIL 1</v>
      </c>
      <c r="F85" s="1" t="str">
        <f>IFERROR(__xludf.DUMMYFUNCTION("""COMPUTED_VALUE"""),"Integral")</f>
        <v>Integral</v>
      </c>
      <c r="G85" s="1" t="str">
        <f>IFERROR(__xludf.DUMMYFUNCTION("""COMPUTED_VALUE"""),"Comum")</f>
        <v>Comum</v>
      </c>
      <c r="H85" s="1" t="str">
        <f>IFERROR(__xludf.DUMMYFUNCTION("""COMPUTED_VALUE"""),"11")</f>
        <v>11</v>
      </c>
      <c r="I85" s="4" t="str">
        <f>IFERROR(__xludf.DUMMYFUNCTION("""COMPUTED_VALUE"""),"26012985200")</f>
        <v>26012985200</v>
      </c>
      <c r="J85" s="1" t="str">
        <f>IFERROR(__xludf.DUMMYFUNCTION("""COMPUTED_VALUE"""),"28/01/2026 20:34:21")</f>
        <v>28/01/2026 20:34:21</v>
      </c>
      <c r="K85" s="1" t="str">
        <f>IFERROR(__xludf.DUMMYFUNCTION("""COMPUTED_VALUE"""),"LUNNA HÊLOA PINHEIRO DOS SANTOS")</f>
        <v>LUNNA HÊLOA PINHEIRO DOS SANTOS</v>
      </c>
      <c r="L85" s="5" t="str">
        <f>IFERROR(__xludf.DUMMYFUNCTION("""COMPUTED_VALUE"""),"002.535.554-69")</f>
        <v>002.535.554-69</v>
      </c>
      <c r="M85" s="5" t="str">
        <f>IFERROR(__xludf.DUMMYFUNCTION("""COMPUTED_VALUE"""),"01/04/2024")</f>
        <v>01/04/2024</v>
      </c>
      <c r="N85" s="1"/>
      <c r="O85" s="1" t="str">
        <f>IFERROR(__xludf.DUMMYFUNCTION("""COMPUTED_VALUE"""),"0")</f>
        <v>0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5.75" customHeight="1">
      <c r="A86" s="1"/>
      <c r="B86" s="1" t="str">
        <f t="array" ref="B86">XLOOKUP(C86,Tabela_1[NOME ESCOLA PONTO ID],Tabela_1[REGIONAL],"NE",0)</f>
        <v>REGIONAL 5</v>
      </c>
      <c r="C86" s="3" t="str">
        <f>IFERROR(__xludf.DUMMYFUNCTION("""COMPUTED_VALUE"""),"CEMEI PROFESSORA LINDOMAR DOMINGOS DA SILVA ANJOS")</f>
        <v>CEMEI PROFESSORA LINDOMAR DOMINGOS DA SILVA ANJOS</v>
      </c>
      <c r="D86" s="1" t="str">
        <f>IFERROR(__xludf.DUMMYFUNCTION("""COMPUTED_VALUE"""),"26191296")</f>
        <v>26191296</v>
      </c>
      <c r="E86" s="1" t="str">
        <f>IFERROR(__xludf.DUMMYFUNCTION("""COMPUTED_VALUE"""),"INFANTIL 1")</f>
        <v>INFANTIL 1</v>
      </c>
      <c r="F86" s="1" t="str">
        <f>IFERROR(__xludf.DUMMYFUNCTION("""COMPUTED_VALUE"""),"Integral")</f>
        <v>Integral</v>
      </c>
      <c r="G86" s="1" t="str">
        <f>IFERROR(__xludf.DUMMYFUNCTION("""COMPUTED_VALUE"""),"Comum")</f>
        <v>Comum</v>
      </c>
      <c r="H86" s="1" t="str">
        <f>IFERROR(__xludf.DUMMYFUNCTION("""COMPUTED_VALUE"""),"12")</f>
        <v>12</v>
      </c>
      <c r="I86" s="4" t="str">
        <f>IFERROR(__xludf.DUMMYFUNCTION("""COMPUTED_VALUE"""),"26022123883")</f>
        <v>26022123883</v>
      </c>
      <c r="J86" s="1" t="str">
        <f>IFERROR(__xludf.DUMMYFUNCTION("""COMPUTED_VALUE"""),"06/02/2026 14:12:06")</f>
        <v>06/02/2026 14:12:06</v>
      </c>
      <c r="K86" s="1" t="str">
        <f>IFERROR(__xludf.DUMMYFUNCTION("""COMPUTED_VALUE"""),"VIVIANE MARIA DE SANTANA FERREIRA")</f>
        <v>VIVIANE MARIA DE SANTANA FERREIRA</v>
      </c>
      <c r="L86" s="5" t="str">
        <f>IFERROR(__xludf.DUMMYFUNCTION("""COMPUTED_VALUE"""),"003.219.974-09")</f>
        <v>003.219.974-09</v>
      </c>
      <c r="M86" s="5" t="str">
        <f>IFERROR(__xludf.DUMMYFUNCTION("""COMPUTED_VALUE"""),"16/04/2024")</f>
        <v>16/04/2024</v>
      </c>
      <c r="N86" s="1"/>
      <c r="O86" s="1" t="str">
        <f>IFERROR(__xludf.DUMMYFUNCTION("""COMPUTED_VALUE"""),"0")</f>
        <v>0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5.75" customHeight="1">
      <c r="A87" s="1"/>
      <c r="B87" s="1" t="str">
        <f t="array" ref="B87">XLOOKUP(C87,Tabela_1[NOME ESCOLA PONTO ID],Tabela_1[REGIONAL],"NE",0)</f>
        <v>REGIONAL 5</v>
      </c>
      <c r="C87" s="3" t="str">
        <f>IFERROR(__xludf.DUMMYFUNCTION("""COMPUTED_VALUE"""),"CEMEI PROFESSORA LINDOMAR DOMINGOS DA SILVA ANJOS")</f>
        <v>CEMEI PROFESSORA LINDOMAR DOMINGOS DA SILVA ANJOS</v>
      </c>
      <c r="D87" s="1" t="str">
        <f>IFERROR(__xludf.DUMMYFUNCTION("""COMPUTED_VALUE"""),"26191296")</f>
        <v>26191296</v>
      </c>
      <c r="E87" s="1" t="str">
        <f>IFERROR(__xludf.DUMMYFUNCTION("""COMPUTED_VALUE"""),"INFANTIL 1")</f>
        <v>INFANTIL 1</v>
      </c>
      <c r="F87" s="1" t="str">
        <f>IFERROR(__xludf.DUMMYFUNCTION("""COMPUTED_VALUE"""),"Integral")</f>
        <v>Integral</v>
      </c>
      <c r="G87" s="1" t="str">
        <f>IFERROR(__xludf.DUMMYFUNCTION("""COMPUTED_VALUE"""),"Comum")</f>
        <v>Comum</v>
      </c>
      <c r="H87" s="1" t="str">
        <f>IFERROR(__xludf.DUMMYFUNCTION("""COMPUTED_VALUE"""),"13")</f>
        <v>13</v>
      </c>
      <c r="I87" s="4" t="str">
        <f>IFERROR(__xludf.DUMMYFUNCTION("""COMPUTED_VALUE"""),"26022140859")</f>
        <v>26022140859</v>
      </c>
      <c r="J87" s="1" t="str">
        <f>IFERROR(__xludf.DUMMYFUNCTION("""COMPUTED_VALUE"""),"11/02/2026 09:26:12")</f>
        <v>11/02/2026 09:26:12</v>
      </c>
      <c r="K87" s="1" t="str">
        <f>IFERROR(__xludf.DUMMYFUNCTION("""COMPUTED_VALUE"""),"KAUANY ISABELLE DA SILVA SANTOS")</f>
        <v>KAUANY ISABELLE DA SILVA SANTOS</v>
      </c>
      <c r="L87" s="5" t="str">
        <f>IFERROR(__xludf.DUMMYFUNCTION("""COMPUTED_VALUE"""),"004.058.404-62")</f>
        <v>004.058.404-62</v>
      </c>
      <c r="M87" s="5" t="str">
        <f>IFERROR(__xludf.DUMMYFUNCTION("""COMPUTED_VALUE"""),"13/09/2024")</f>
        <v>13/09/2024</v>
      </c>
      <c r="N87" s="1"/>
      <c r="O87" s="1" t="str">
        <f>IFERROR(__xludf.DUMMYFUNCTION("""COMPUTED_VALUE"""),"0")</f>
        <v>0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5.75" customHeight="1">
      <c r="A88" s="1"/>
      <c r="B88" s="1" t="str">
        <f t="array" ref="B88">XLOOKUP(C88,Tabela_1[NOME ESCOLA PONTO ID],Tabela_1[REGIONAL],"NE",0)</f>
        <v>REGIONAL 5</v>
      </c>
      <c r="C88" s="3" t="str">
        <f>IFERROR(__xludf.DUMMYFUNCTION("""COMPUTED_VALUE"""),"CEMEI PROFESSORA LINDOMAR DOMINGOS DA SILVA ANJOS")</f>
        <v>CEMEI PROFESSORA LINDOMAR DOMINGOS DA SILVA ANJOS</v>
      </c>
      <c r="D88" s="1" t="str">
        <f>IFERROR(__xludf.DUMMYFUNCTION("""COMPUTED_VALUE"""),"26191296")</f>
        <v>26191296</v>
      </c>
      <c r="E88" s="1" t="str">
        <f>IFERROR(__xludf.DUMMYFUNCTION("""COMPUTED_VALUE"""),"INFANTIL 1")</f>
        <v>INFANTIL 1</v>
      </c>
      <c r="F88" s="1" t="str">
        <f>IFERROR(__xludf.DUMMYFUNCTION("""COMPUTED_VALUE"""),"Integral")</f>
        <v>Integral</v>
      </c>
      <c r="G88" s="1" t="str">
        <f>IFERROR(__xludf.DUMMYFUNCTION("""COMPUTED_VALUE"""),"Comum")</f>
        <v>Comum</v>
      </c>
      <c r="H88" s="1" t="str">
        <f>IFERROR(__xludf.DUMMYFUNCTION("""COMPUTED_VALUE"""),"14")</f>
        <v>14</v>
      </c>
      <c r="I88" s="4" t="str">
        <f>IFERROR(__xludf.DUMMYFUNCTION("""COMPUTED_VALUE"""),"26022959951")</f>
        <v>26022959951</v>
      </c>
      <c r="J88" s="1" t="str">
        <f>IFERROR(__xludf.DUMMYFUNCTION("""COMPUTED_VALUE"""),"26/02/2026 23:54:06")</f>
        <v>26/02/2026 23:54:06</v>
      </c>
      <c r="K88" s="1" t="str">
        <f>IFERROR(__xludf.DUMMYFUNCTION("""COMPUTED_VALUE"""),"ARTHUR MIGUEL DOS SANTOS ROCHA")</f>
        <v>ARTHUR MIGUEL DOS SANTOS ROCHA</v>
      </c>
      <c r="L88" s="5" t="str">
        <f>IFERROR(__xludf.DUMMYFUNCTION("""COMPUTED_VALUE"""),"005.161.924-50")</f>
        <v>005.161.924-50</v>
      </c>
      <c r="M88" s="7" t="str">
        <f>IFERROR(__xludf.DUMMYFUNCTION("""COMPUTED_VALUE"""),"21/01/2025")</f>
        <v>21/01/2025</v>
      </c>
      <c r="N88" s="1"/>
      <c r="O88" s="1" t="str">
        <f>IFERROR(__xludf.DUMMYFUNCTION("""COMPUTED_VALUE"""),"0")</f>
        <v>0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5.75" customHeight="1">
      <c r="A89" s="1"/>
      <c r="B89" s="1" t="str">
        <f t="array" ref="B89">XLOOKUP(C89,Tabela_1[NOME ESCOLA PONTO ID],Tabela_1[REGIONAL],"NE",0)</f>
        <v>REGIONAL 5</v>
      </c>
      <c r="C89" s="3" t="str">
        <f>IFERROR(__xludf.DUMMYFUNCTION("""COMPUTED_VALUE"""),"CEMEI PROFESSORA LINDOMAR DOMINGOS DA SILVA ANJOS")</f>
        <v>CEMEI PROFESSORA LINDOMAR DOMINGOS DA SILVA ANJOS</v>
      </c>
      <c r="D89" s="1" t="str">
        <f>IFERROR(__xludf.DUMMYFUNCTION("""COMPUTED_VALUE"""),"26191296")</f>
        <v>26191296</v>
      </c>
      <c r="E89" s="1" t="str">
        <f>IFERROR(__xludf.DUMMYFUNCTION("""COMPUTED_VALUE"""),"INFANTIL 1")</f>
        <v>INFANTIL 1</v>
      </c>
      <c r="F89" s="1" t="str">
        <f>IFERROR(__xludf.DUMMYFUNCTION("""COMPUTED_VALUE"""),"Integral")</f>
        <v>Integral</v>
      </c>
      <c r="G89" s="1" t="str">
        <f>IFERROR(__xludf.DUMMYFUNCTION("""COMPUTED_VALUE"""),"Comum")</f>
        <v>Comum</v>
      </c>
      <c r="H89" s="1" t="str">
        <f>IFERROR(__xludf.DUMMYFUNCTION("""COMPUTED_VALUE"""),"15")</f>
        <v>15</v>
      </c>
      <c r="I89" s="4" t="str">
        <f>IFERROR(__xludf.DUMMYFUNCTION("""COMPUTED_VALUE"""),"26032017118")</f>
        <v>26032017118</v>
      </c>
      <c r="J89" s="1" t="str">
        <f>IFERROR(__xludf.DUMMYFUNCTION("""COMPUTED_VALUE"""),"03/03/2026 13:59:55")</f>
        <v>03/03/2026 13:59:55</v>
      </c>
      <c r="K89" s="1" t="str">
        <f>IFERROR(__xludf.DUMMYFUNCTION("""COMPUTED_VALUE"""),"GAEL ANTÔNIO DEODATO DE MEDEIROS")</f>
        <v>GAEL ANTÔNIO DEODATO DE MEDEIROS</v>
      </c>
      <c r="L89" s="7" t="str">
        <f>IFERROR(__xludf.DUMMYFUNCTION("""COMPUTED_VALUE"""),"005.879.454-94")</f>
        <v>005.879.454-94</v>
      </c>
      <c r="M89" s="5" t="str">
        <f>IFERROR(__xludf.DUMMYFUNCTION("""COMPUTED_VALUE"""),"05/04/2025")</f>
        <v>05/04/2025</v>
      </c>
      <c r="N89" s="1"/>
      <c r="O89" s="1" t="str">
        <f>IFERROR(__xludf.DUMMYFUNCTION("""COMPUTED_VALUE"""),"0")</f>
        <v>0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5.75" customHeight="1">
      <c r="A90" s="1"/>
      <c r="B90" s="1" t="str">
        <f t="array" ref="B90">XLOOKUP(C90,Tabela_1[NOME ESCOLA PONTO ID],Tabela_1[REGIONAL],"NE",0)</f>
        <v>REGIONAL 5</v>
      </c>
      <c r="C90" s="3" t="str">
        <f>IFERROR(__xludf.DUMMYFUNCTION("""COMPUTED_VALUE"""),"CEMEI PROFESSORA LINDOMAR DOMINGOS DA SILVA ANJOS")</f>
        <v>CEMEI PROFESSORA LINDOMAR DOMINGOS DA SILVA ANJOS</v>
      </c>
      <c r="D90" s="1" t="str">
        <f>IFERROR(__xludf.DUMMYFUNCTION("""COMPUTED_VALUE"""),"26191296")</f>
        <v>26191296</v>
      </c>
      <c r="E90" s="1" t="str">
        <f>IFERROR(__xludf.DUMMYFUNCTION("""COMPUTED_VALUE"""),"INFANTIL 1")</f>
        <v>INFANTIL 1</v>
      </c>
      <c r="F90" s="1" t="str">
        <f>IFERROR(__xludf.DUMMYFUNCTION("""COMPUTED_VALUE"""),"Integral")</f>
        <v>Integral</v>
      </c>
      <c r="G90" s="1" t="str">
        <f>IFERROR(__xludf.DUMMYFUNCTION("""COMPUTED_VALUE"""),"Comum")</f>
        <v>Comum</v>
      </c>
      <c r="H90" s="1" t="str">
        <f>IFERROR(__xludf.DUMMYFUNCTION("""COMPUTED_VALUE"""),"16")</f>
        <v>16</v>
      </c>
      <c r="I90" s="4" t="str">
        <f>IFERROR(__xludf.DUMMYFUNCTION("""COMPUTED_VALUE"""),"26032086833")</f>
        <v>26032086833</v>
      </c>
      <c r="J90" s="1" t="str">
        <f>IFERROR(__xludf.DUMMYFUNCTION("""COMPUTED_VALUE"""),"04/03/2026 10:32:01")</f>
        <v>04/03/2026 10:32:01</v>
      </c>
      <c r="K90" s="1" t="str">
        <f>IFERROR(__xludf.DUMMYFUNCTION("""COMPUTED_VALUE"""),"NOAH DANIEL MEDEIROS DA SILVA")</f>
        <v>NOAH DANIEL MEDEIROS DA SILVA</v>
      </c>
      <c r="L90" s="5" t="str">
        <f>IFERROR(__xludf.DUMMYFUNCTION("""COMPUTED_VALUE"""),"006.309.024-45")</f>
        <v>006.309.024-45</v>
      </c>
      <c r="M90" s="5" t="str">
        <f>IFERROR(__xludf.DUMMYFUNCTION("""COMPUTED_VALUE"""),"21/05/2025")</f>
        <v>21/05/2025</v>
      </c>
      <c r="N90" s="1"/>
      <c r="O90" s="1" t="str">
        <f>IFERROR(__xludf.DUMMYFUNCTION("""COMPUTED_VALUE"""),"0")</f>
        <v>0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5.75" customHeight="1">
      <c r="A91" s="1"/>
      <c r="B91" s="1" t="str">
        <f t="array" ref="B91">XLOOKUP(C91,Tabela_1[NOME ESCOLA PONTO ID],Tabela_1[REGIONAL],"NE",0)</f>
        <v>REGIONAL 5</v>
      </c>
      <c r="C91" s="3" t="str">
        <f>IFERROR(__xludf.DUMMYFUNCTION("""COMPUTED_VALUE"""),"CEMEI PROFESSORA LINDOMAR DOMINGOS DA SILVA ANJOS")</f>
        <v>CEMEI PROFESSORA LINDOMAR DOMINGOS DA SILVA ANJOS</v>
      </c>
      <c r="D91" s="1" t="str">
        <f>IFERROR(__xludf.DUMMYFUNCTION("""COMPUTED_VALUE"""),"26191296")</f>
        <v>26191296</v>
      </c>
      <c r="E91" s="1" t="str">
        <f>IFERROR(__xludf.DUMMYFUNCTION("""COMPUTED_VALUE"""),"INFANTIL 1")</f>
        <v>INFANTIL 1</v>
      </c>
      <c r="F91" s="1" t="str">
        <f>IFERROR(__xludf.DUMMYFUNCTION("""COMPUTED_VALUE"""),"Integral")</f>
        <v>Integral</v>
      </c>
      <c r="G91" s="1" t="str">
        <f>IFERROR(__xludf.DUMMYFUNCTION("""COMPUTED_VALUE"""),"Comum")</f>
        <v>Comum</v>
      </c>
      <c r="H91" s="1" t="str">
        <f>IFERROR(__xludf.DUMMYFUNCTION("""COMPUTED_VALUE"""),"17")</f>
        <v>17</v>
      </c>
      <c r="I91" s="4" t="str">
        <f>IFERROR(__xludf.DUMMYFUNCTION("""COMPUTED_VALUE"""),"26032205282")</f>
        <v>26032205282</v>
      </c>
      <c r="J91" s="1" t="str">
        <f>IFERROR(__xludf.DUMMYFUNCTION("""COMPUTED_VALUE"""),"23/03/2026 12:35:29")</f>
        <v>23/03/2026 12:35:29</v>
      </c>
      <c r="K91" s="1" t="str">
        <f>IFERROR(__xludf.DUMMYFUNCTION("""COMPUTED_VALUE"""),"RAVI GABRIEL DA ROCHA PRAEIRO")</f>
        <v>RAVI GABRIEL DA ROCHA PRAEIRO</v>
      </c>
      <c r="L91" s="5" t="str">
        <f>IFERROR(__xludf.DUMMYFUNCTION("""COMPUTED_VALUE"""),"022.291.614-15")</f>
        <v>022.291.614-15</v>
      </c>
      <c r="M91" s="5" t="str">
        <f>IFERROR(__xludf.DUMMYFUNCTION("""COMPUTED_VALUE"""),"07/11/2025")</f>
        <v>07/11/2025</v>
      </c>
      <c r="N91" s="1"/>
      <c r="O91" s="1" t="str">
        <f>IFERROR(__xludf.DUMMYFUNCTION("""COMPUTED_VALUE"""),"0")</f>
        <v>0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5.75" customHeight="1">
      <c r="A92" s="1"/>
      <c r="B92" s="1" t="str">
        <f t="array" ref="B92">XLOOKUP(C92,Tabela_1[NOME ESCOLA PONTO ID],Tabela_1[REGIONAL],"NE",0)</f>
        <v>REGIONAL 5</v>
      </c>
      <c r="C92" s="3" t="str">
        <f>IFERROR(__xludf.DUMMYFUNCTION("""COMPUTED_VALUE"""),"CEMEI PROFESSORA LINDOMAR DOMINGOS DA SILVA ANJOS")</f>
        <v>CEMEI PROFESSORA LINDOMAR DOMINGOS DA SILVA ANJOS</v>
      </c>
      <c r="D92" s="1" t="str">
        <f>IFERROR(__xludf.DUMMYFUNCTION("""COMPUTED_VALUE"""),"26191296")</f>
        <v>26191296</v>
      </c>
      <c r="E92" s="1" t="str">
        <f>IFERROR(__xludf.DUMMYFUNCTION("""COMPUTED_VALUE"""),"INFANTIL 1")</f>
        <v>INFANTIL 1</v>
      </c>
      <c r="F92" s="1" t="str">
        <f>IFERROR(__xludf.DUMMYFUNCTION("""COMPUTED_VALUE"""),"Integral")</f>
        <v>Integral</v>
      </c>
      <c r="G92" s="1" t="str">
        <f>IFERROR(__xludf.DUMMYFUNCTION("""COMPUTED_VALUE"""),"Comum")</f>
        <v>Comum</v>
      </c>
      <c r="H92" s="1" t="str">
        <f>IFERROR(__xludf.DUMMYFUNCTION("""COMPUTED_VALUE"""),"18")</f>
        <v>18</v>
      </c>
      <c r="I92" s="4" t="str">
        <f>IFERROR(__xludf.DUMMYFUNCTION("""COMPUTED_VALUE"""),"26032492374")</f>
        <v>26032492374</v>
      </c>
      <c r="J92" s="1" t="str">
        <f>IFERROR(__xludf.DUMMYFUNCTION("""COMPUTED_VALUE"""),"30/03/2026 09:26:51")</f>
        <v>30/03/2026 09:26:51</v>
      </c>
      <c r="K92" s="1" t="str">
        <f>IFERROR(__xludf.DUMMYFUNCTION("""COMPUTED_VALUE"""),"FRANCISCO CAVALCANTI MAGALHÃES")</f>
        <v>FRANCISCO CAVALCANTI MAGALHÃES</v>
      </c>
      <c r="L92" s="5" t="str">
        <f>IFERROR(__xludf.DUMMYFUNCTION("""COMPUTED_VALUE"""),"027.792.694-72")</f>
        <v>027.792.694-72</v>
      </c>
      <c r="M92" s="5" t="str">
        <f>IFERROR(__xludf.DUMMYFUNCTION("""COMPUTED_VALUE"""),"26/11/2025")</f>
        <v>26/11/2025</v>
      </c>
      <c r="N92" s="1"/>
      <c r="O92" s="1" t="str">
        <f>IFERROR(__xludf.DUMMYFUNCTION("""COMPUTED_VALUE"""),"0")</f>
        <v>0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5.75" customHeight="1">
      <c r="A93" s="1"/>
      <c r="B93" s="1" t="str">
        <f t="array" ref="B93">XLOOKUP(C93,Tabela_1[NOME ESCOLA PONTO ID],Tabela_1[REGIONAL],"NE",0)</f>
        <v>REGIONAL 5</v>
      </c>
      <c r="C93" s="3" t="str">
        <f>IFERROR(__xludf.DUMMYFUNCTION("""COMPUTED_VALUE"""),"CEMEI PROFESSORA LINDOMAR DOMINGOS DA SILVA ANJOS")</f>
        <v>CEMEI PROFESSORA LINDOMAR DOMINGOS DA SILVA ANJOS</v>
      </c>
      <c r="D93" s="1" t="str">
        <f>IFERROR(__xludf.DUMMYFUNCTION("""COMPUTED_VALUE"""),"26191296")</f>
        <v>26191296</v>
      </c>
      <c r="E93" s="1" t="str">
        <f>IFERROR(__xludf.DUMMYFUNCTION("""COMPUTED_VALUE"""),"INFANTIL 1")</f>
        <v>INFANTIL 1</v>
      </c>
      <c r="F93" s="1" t="str">
        <f>IFERROR(__xludf.DUMMYFUNCTION("""COMPUTED_VALUE"""),"Integral")</f>
        <v>Integral</v>
      </c>
      <c r="G93" s="1" t="str">
        <f>IFERROR(__xludf.DUMMYFUNCTION("""COMPUTED_VALUE"""),"Comum")</f>
        <v>Comum</v>
      </c>
      <c r="H93" s="1" t="str">
        <f>IFERROR(__xludf.DUMMYFUNCTION("""COMPUTED_VALUE"""),"19")</f>
        <v>19</v>
      </c>
      <c r="I93" s="4" t="str">
        <f>IFERROR(__xludf.DUMMYFUNCTION("""COMPUTED_VALUE"""),"26042496733")</f>
        <v>26042496733</v>
      </c>
      <c r="J93" s="1" t="str">
        <f>IFERROR(__xludf.DUMMYFUNCTION("""COMPUTED_VALUE"""),"01/04/2026 11:07:18")</f>
        <v>01/04/2026 11:07:18</v>
      </c>
      <c r="K93" s="1" t="str">
        <f>IFERROR(__xludf.DUMMYFUNCTION("""COMPUTED_VALUE"""),"MARIA ISADORA SANTOS SEVERO")</f>
        <v>MARIA ISADORA SANTOS SEVERO</v>
      </c>
      <c r="L93" s="5" t="str">
        <f>IFERROR(__xludf.DUMMYFUNCTION("""COMPUTED_VALUE"""),"054.059.888-71")</f>
        <v>054.059.888-71</v>
      </c>
      <c r="M93" s="5" t="str">
        <f>IFERROR(__xludf.DUMMYFUNCTION("""COMPUTED_VALUE"""),"03/09/2024")</f>
        <v>03/09/2024</v>
      </c>
      <c r="N93" s="1"/>
      <c r="O93" s="1" t="str">
        <f>IFERROR(__xludf.DUMMYFUNCTION("""COMPUTED_VALUE"""),"0")</f>
        <v>0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5.75" customHeight="1">
      <c r="A94" s="1"/>
      <c r="B94" s="1" t="str">
        <f t="array" ref="B94">XLOOKUP(C94,Tabela_1[NOME ESCOLA PONTO ID],Tabela_1[REGIONAL],"NE",0)</f>
        <v>REGIONAL 5</v>
      </c>
      <c r="C94" s="3" t="str">
        <f>IFERROR(__xludf.DUMMYFUNCTION("""COMPUTED_VALUE"""),"CEMEI PROFESSORA LINDOMAR DOMINGOS DA SILVA ANJOS")</f>
        <v>CEMEI PROFESSORA LINDOMAR DOMINGOS DA SILVA ANJOS</v>
      </c>
      <c r="D94" s="1" t="str">
        <f>IFERROR(__xludf.DUMMYFUNCTION("""COMPUTED_VALUE"""),"26191296")</f>
        <v>26191296</v>
      </c>
      <c r="E94" s="1" t="str">
        <f>IFERROR(__xludf.DUMMYFUNCTION("""COMPUTED_VALUE"""),"INFANTIL 1")</f>
        <v>INFANTIL 1</v>
      </c>
      <c r="F94" s="1" t="str">
        <f>IFERROR(__xludf.DUMMYFUNCTION("""COMPUTED_VALUE"""),"Integral")</f>
        <v>Integral</v>
      </c>
      <c r="G94" s="1" t="str">
        <f>IFERROR(__xludf.DUMMYFUNCTION("""COMPUTED_VALUE"""),"Comum")</f>
        <v>Comum</v>
      </c>
      <c r="H94" s="1" t="str">
        <f>IFERROR(__xludf.DUMMYFUNCTION("""COMPUTED_VALUE"""),"20")</f>
        <v>20</v>
      </c>
      <c r="I94" s="4" t="str">
        <f>IFERROR(__xludf.DUMMYFUNCTION("""COMPUTED_VALUE"""),"26042315280")</f>
        <v>26042315280</v>
      </c>
      <c r="J94" s="1" t="str">
        <f>IFERROR(__xludf.DUMMYFUNCTION("""COMPUTED_VALUE"""),"08/04/2026 16:32:34")</f>
        <v>08/04/2026 16:32:34</v>
      </c>
      <c r="K94" s="1" t="str">
        <f>IFERROR(__xludf.DUMMYFUNCTION("""COMPUTED_VALUE"""),"MATTEO BERNARDO MONTEIRO ARAÚJO")</f>
        <v>MATTEO BERNARDO MONTEIRO ARAÚJO</v>
      </c>
      <c r="L94" s="7" t="str">
        <f>IFERROR(__xludf.DUMMYFUNCTION("""COMPUTED_VALUE"""),"005.825.614-85")</f>
        <v>005.825.614-85</v>
      </c>
      <c r="M94" s="5" t="str">
        <f>IFERROR(__xludf.DUMMYFUNCTION("""COMPUTED_VALUE"""),"01/04/2025")</f>
        <v>01/04/2025</v>
      </c>
      <c r="N94" s="1"/>
      <c r="O94" s="1" t="str">
        <f>IFERROR(__xludf.DUMMYFUNCTION("""COMPUTED_VALUE"""),"0")</f>
        <v>0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5.75" customHeight="1">
      <c r="A95" s="1"/>
      <c r="B95" s="1" t="str">
        <f t="array" ref="B95">XLOOKUP(C95,Tabela_1[NOME ESCOLA PONTO ID],Tabela_1[REGIONAL],"NE",0)</f>
        <v>REGIONAL 5</v>
      </c>
      <c r="C95" s="3" t="str">
        <f>IFERROR(__xludf.DUMMYFUNCTION("""COMPUTED_VALUE"""),"CEMEI PROFESSORA LINDOMAR DOMINGOS DA SILVA ANJOS")</f>
        <v>CEMEI PROFESSORA LINDOMAR DOMINGOS DA SILVA ANJOS</v>
      </c>
      <c r="D95" s="1" t="str">
        <f>IFERROR(__xludf.DUMMYFUNCTION("""COMPUTED_VALUE"""),"26191296")</f>
        <v>26191296</v>
      </c>
      <c r="E95" s="1" t="str">
        <f>IFERROR(__xludf.DUMMYFUNCTION("""COMPUTED_VALUE"""),"INFANTIL 1")</f>
        <v>INFANTIL 1</v>
      </c>
      <c r="F95" s="1" t="str">
        <f>IFERROR(__xludf.DUMMYFUNCTION("""COMPUTED_VALUE"""),"Integral")</f>
        <v>Integral</v>
      </c>
      <c r="G95" s="1" t="str">
        <f>IFERROR(__xludf.DUMMYFUNCTION("""COMPUTED_VALUE"""),"Comum")</f>
        <v>Comum</v>
      </c>
      <c r="H95" s="1" t="str">
        <f>IFERROR(__xludf.DUMMYFUNCTION("""COMPUTED_VALUE"""),"21")</f>
        <v>21</v>
      </c>
      <c r="I95" s="4" t="str">
        <f>IFERROR(__xludf.DUMMYFUNCTION("""COMPUTED_VALUE"""),"26042811161")</f>
        <v>26042811161</v>
      </c>
      <c r="J95" s="1" t="str">
        <f>IFERROR(__xludf.DUMMYFUNCTION("""COMPUTED_VALUE"""),"15/04/2026 13:07:53")</f>
        <v>15/04/2026 13:07:53</v>
      </c>
      <c r="K95" s="1" t="str">
        <f>IFERROR(__xludf.DUMMYFUNCTION("""COMPUTED_VALUE"""),"HADASSA ROSA MACIEL")</f>
        <v>HADASSA ROSA MACIEL</v>
      </c>
      <c r="L95" s="5" t="str">
        <f>IFERROR(__xludf.DUMMYFUNCTION("""COMPUTED_VALUE"""),"007.185.654-44")</f>
        <v>007.185.654-44</v>
      </c>
      <c r="M95" s="5" t="str">
        <f>IFERROR(__xludf.DUMMYFUNCTION("""COMPUTED_VALUE"""),"30/08/2025")</f>
        <v>30/08/2025</v>
      </c>
      <c r="N95" s="1"/>
      <c r="O95" s="1" t="str">
        <f>IFERROR(__xludf.DUMMYFUNCTION("""COMPUTED_VALUE"""),"0")</f>
        <v>0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15.75" customHeight="1">
      <c r="A96" s="1"/>
      <c r="B96" s="1" t="str">
        <f t="array" ref="B96">XLOOKUP(C96,Tabela_1[NOME ESCOLA PONTO ID],Tabela_1[REGIONAL],"NE",0)</f>
        <v>REGIONAL 5</v>
      </c>
      <c r="C96" s="3" t="str">
        <f>IFERROR(__xludf.DUMMYFUNCTION("""COMPUTED_VALUE"""),"CEMEI PROFESSORA LINDOMAR DOMINGOS DA SILVA ANJOS")</f>
        <v>CEMEI PROFESSORA LINDOMAR DOMINGOS DA SILVA ANJOS</v>
      </c>
      <c r="D96" s="1" t="str">
        <f>IFERROR(__xludf.DUMMYFUNCTION("""COMPUTED_VALUE"""),"26191296")</f>
        <v>26191296</v>
      </c>
      <c r="E96" s="1" t="str">
        <f>IFERROR(__xludf.DUMMYFUNCTION("""COMPUTED_VALUE"""),"INFANTIL 1")</f>
        <v>INFANTIL 1</v>
      </c>
      <c r="F96" s="1" t="str">
        <f>IFERROR(__xludf.DUMMYFUNCTION("""COMPUTED_VALUE"""),"Integral")</f>
        <v>Integral</v>
      </c>
      <c r="G96" s="1" t="str">
        <f>IFERROR(__xludf.DUMMYFUNCTION("""COMPUTED_VALUE"""),"Comum")</f>
        <v>Comum</v>
      </c>
      <c r="H96" s="1" t="str">
        <f>IFERROR(__xludf.DUMMYFUNCTION("""COMPUTED_VALUE"""),"22")</f>
        <v>22</v>
      </c>
      <c r="I96" s="4" t="str">
        <f>IFERROR(__xludf.DUMMYFUNCTION("""COMPUTED_VALUE"""),"26052053717")</f>
        <v>26052053717</v>
      </c>
      <c r="J96" s="1" t="str">
        <f>IFERROR(__xludf.DUMMYFUNCTION("""COMPUTED_VALUE"""),"04/05/2026 10:11:49")</f>
        <v>04/05/2026 10:11:49</v>
      </c>
      <c r="K96" s="1" t="str">
        <f>IFERROR(__xludf.DUMMYFUNCTION("""COMPUTED_VALUE"""),"MATTEO ALEJANDRO DE ARAÚJO ESCOBAR")</f>
        <v>MATTEO ALEJANDRO DE ARAÚJO ESCOBAR</v>
      </c>
      <c r="L96" s="5" t="str">
        <f>IFERROR(__xludf.DUMMYFUNCTION("""COMPUTED_VALUE"""),"005.682.884-59")</f>
        <v>005.682.884-59</v>
      </c>
      <c r="M96" s="5" t="str">
        <f>IFERROR(__xludf.DUMMYFUNCTION("""COMPUTED_VALUE"""),"11/03/2025")</f>
        <v>11/03/2025</v>
      </c>
      <c r="N96" s="1"/>
      <c r="O96" s="1" t="str">
        <f>IFERROR(__xludf.DUMMYFUNCTION("""COMPUTED_VALUE"""),"0")</f>
        <v>0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5.75" customHeight="1">
      <c r="A97" s="1"/>
      <c r="B97" s="1" t="str">
        <f t="array" ref="B97">XLOOKUP(C97,Tabela_1[NOME ESCOLA PONTO ID],Tabela_1[REGIONAL],"NE",0)</f>
        <v>REGIONAL 5</v>
      </c>
      <c r="C97" s="3" t="str">
        <f>IFERROR(__xludf.DUMMYFUNCTION("""COMPUTED_VALUE"""),"CEMEI PROFESSORA LINDOMAR DOMINGOS DA SILVA ANJOS")</f>
        <v>CEMEI PROFESSORA LINDOMAR DOMINGOS DA SILVA ANJOS</v>
      </c>
      <c r="D97" s="1" t="str">
        <f>IFERROR(__xludf.DUMMYFUNCTION("""COMPUTED_VALUE"""),"26191296")</f>
        <v>26191296</v>
      </c>
      <c r="E97" s="1" t="str">
        <f>IFERROR(__xludf.DUMMYFUNCTION("""COMPUTED_VALUE"""),"INFANTIL 1")</f>
        <v>INFANTIL 1</v>
      </c>
      <c r="F97" s="1" t="str">
        <f>IFERROR(__xludf.DUMMYFUNCTION("""COMPUTED_VALUE"""),"Integral")</f>
        <v>Integral</v>
      </c>
      <c r="G97" s="1" t="str">
        <f>IFERROR(__xludf.DUMMYFUNCTION("""COMPUTED_VALUE"""),"Comum")</f>
        <v>Comum</v>
      </c>
      <c r="H97" s="1" t="str">
        <f>IFERROR(__xludf.DUMMYFUNCTION("""COMPUTED_VALUE"""),"23")</f>
        <v>23</v>
      </c>
      <c r="I97" s="4" t="str">
        <f>IFERROR(__xludf.DUMMYFUNCTION("""COMPUTED_VALUE"""),"26052501651")</f>
        <v>26052501651</v>
      </c>
      <c r="J97" s="1" t="str">
        <f>IFERROR(__xludf.DUMMYFUNCTION("""COMPUTED_VALUE"""),"15/05/2026 11:54:29")</f>
        <v>15/05/2026 11:54:29</v>
      </c>
      <c r="K97" s="1" t="str">
        <f>IFERROR(__xludf.DUMMYFUNCTION("""COMPUTED_VALUE"""),"ARTHUR MIGUEL SOUZA DA SILVA")</f>
        <v>ARTHUR MIGUEL SOUZA DA SILVA</v>
      </c>
      <c r="L97" s="7" t="str">
        <f>IFERROR(__xludf.DUMMYFUNCTION("""COMPUTED_VALUE"""),"004.089.984-58")</f>
        <v>004.089.984-58</v>
      </c>
      <c r="M97" s="5" t="str">
        <f>IFERROR(__xludf.DUMMYFUNCTION("""COMPUTED_VALUE"""),"10/09/2024")</f>
        <v>10/09/2024</v>
      </c>
      <c r="N97" s="1"/>
      <c r="O97" s="1" t="str">
        <f>IFERROR(__xludf.DUMMYFUNCTION("""COMPUTED_VALUE"""),"0")</f>
        <v>0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5.75" customHeight="1">
      <c r="A98" s="1"/>
      <c r="B98" s="1" t="str">
        <f t="array" ref="B98">XLOOKUP(C98,Tabela_1[NOME ESCOLA PONTO ID],Tabela_1[REGIONAL],"NE",0)</f>
        <v>REGIONAL 5</v>
      </c>
      <c r="C98" s="3" t="str">
        <f>IFERROR(__xludf.DUMMYFUNCTION("""COMPUTED_VALUE"""),"CEMEI PROFESSORA LINDOMAR DOMINGOS DA SILVA ANJOS")</f>
        <v>CEMEI PROFESSORA LINDOMAR DOMINGOS DA SILVA ANJOS</v>
      </c>
      <c r="D98" s="1" t="str">
        <f>IFERROR(__xludf.DUMMYFUNCTION("""COMPUTED_VALUE"""),"26191296")</f>
        <v>26191296</v>
      </c>
      <c r="E98" s="1" t="str">
        <f>IFERROR(__xludf.DUMMYFUNCTION("""COMPUTED_VALUE"""),"INFANTIL 1")</f>
        <v>INFANTIL 1</v>
      </c>
      <c r="F98" s="1" t="str">
        <f>IFERROR(__xludf.DUMMYFUNCTION("""COMPUTED_VALUE"""),"Integral")</f>
        <v>Integral</v>
      </c>
      <c r="G98" s="1" t="str">
        <f>IFERROR(__xludf.DUMMYFUNCTION("""COMPUTED_VALUE"""),"Comum")</f>
        <v>Comum</v>
      </c>
      <c r="H98" s="1" t="str">
        <f>IFERROR(__xludf.DUMMYFUNCTION("""COMPUTED_VALUE"""),"24")</f>
        <v>24</v>
      </c>
      <c r="I98" s="4" t="str">
        <f>IFERROR(__xludf.DUMMYFUNCTION("""COMPUTED_VALUE"""),"26052658949")</f>
        <v>26052658949</v>
      </c>
      <c r="J98" s="1" t="str">
        <f>IFERROR(__xludf.DUMMYFUNCTION("""COMPUTED_VALUE"""),"15/05/2026 12:03:27")</f>
        <v>15/05/2026 12:03:27</v>
      </c>
      <c r="K98" s="1" t="str">
        <f>IFERROR(__xludf.DUMMYFUNCTION("""COMPUTED_VALUE"""),"AYLLA KAROLINE SOUZA DA SILVA")</f>
        <v>AYLLA KAROLINE SOUZA DA SILVA</v>
      </c>
      <c r="L98" s="5" t="str">
        <f>IFERROR(__xludf.DUMMYFUNCTION("""COMPUTED_VALUE"""),"004.089.794-02")</f>
        <v>004.089.794-02</v>
      </c>
      <c r="M98" s="5" t="str">
        <f>IFERROR(__xludf.DUMMYFUNCTION("""COMPUTED_VALUE"""),"10/09/2024")</f>
        <v>10/09/2024</v>
      </c>
      <c r="N98" s="1"/>
      <c r="O98" s="1" t="str">
        <f>IFERROR(__xludf.DUMMYFUNCTION("""COMPUTED_VALUE"""),"0")</f>
        <v>0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5.75" customHeight="1">
      <c r="A99" s="1"/>
      <c r="B99" s="1" t="str">
        <f t="array" ref="B99">XLOOKUP(C99,Tabela_1[NOME ESCOLA PONTO ID],Tabela_1[REGIONAL],"NE",0)</f>
        <v>REGIONAL 5</v>
      </c>
      <c r="C99" s="3" t="str">
        <f>IFERROR(__xludf.DUMMYFUNCTION("""COMPUTED_VALUE"""),"CEMEI PROFESSORA LINDOMAR DOMINGOS DA SILVA ANJOS")</f>
        <v>CEMEI PROFESSORA LINDOMAR DOMINGOS DA SILVA ANJOS</v>
      </c>
      <c r="D99" s="1" t="str">
        <f>IFERROR(__xludf.DUMMYFUNCTION("""COMPUTED_VALUE"""),"26191296")</f>
        <v>26191296</v>
      </c>
      <c r="E99" s="1" t="str">
        <f>IFERROR(__xludf.DUMMYFUNCTION("""COMPUTED_VALUE"""),"INFANTIL 1")</f>
        <v>INFANTIL 1</v>
      </c>
      <c r="F99" s="1" t="str">
        <f>IFERROR(__xludf.DUMMYFUNCTION("""COMPUTED_VALUE"""),"Integral")</f>
        <v>Integral</v>
      </c>
      <c r="G99" s="1" t="str">
        <f>IFERROR(__xludf.DUMMYFUNCTION("""COMPUTED_VALUE"""),"Comum")</f>
        <v>Comum</v>
      </c>
      <c r="H99" s="1" t="str">
        <f>IFERROR(__xludf.DUMMYFUNCTION("""COMPUTED_VALUE"""),"25")</f>
        <v>25</v>
      </c>
      <c r="I99" s="4" t="str">
        <f>IFERROR(__xludf.DUMMYFUNCTION("""COMPUTED_VALUE"""),"26052476145")</f>
        <v>26052476145</v>
      </c>
      <c r="J99" s="1" t="str">
        <f>IFERROR(__xludf.DUMMYFUNCTION("""COMPUTED_VALUE"""),"30/05/2026 11:24:31")</f>
        <v>30/05/2026 11:24:31</v>
      </c>
      <c r="K99" s="1" t="str">
        <f>IFERROR(__xludf.DUMMYFUNCTION("""COMPUTED_VALUE"""),"Natanael Ryan Felix de Santana")</f>
        <v>Natanael Ryan Felix de Santana</v>
      </c>
      <c r="L99" s="5" t="str">
        <f>IFERROR(__xludf.DUMMYFUNCTION("""COMPUTED_VALUE"""),"004.409.374-85")</f>
        <v>004.409.374-85</v>
      </c>
      <c r="M99" s="7" t="str">
        <f>IFERROR(__xludf.DUMMYFUNCTION("""COMPUTED_VALUE"""),"10/10/2024")</f>
        <v>10/10/2024</v>
      </c>
      <c r="N99" s="1"/>
      <c r="O99" s="1" t="str">
        <f>IFERROR(__xludf.DUMMYFUNCTION("""COMPUTED_VALUE"""),"0")</f>
        <v>0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5.75" customHeight="1">
      <c r="A100" s="1"/>
      <c r="B100" s="1" t="str">
        <f t="array" ref="B100">XLOOKUP(C100,Tabela_1[NOME ESCOLA PONTO ID],Tabela_1[REGIONAL],"NE",0)</f>
        <v>REGIONAL 5</v>
      </c>
      <c r="C100" s="3" t="str">
        <f>IFERROR(__xludf.DUMMYFUNCTION("""COMPUTED_VALUE"""),"CEMEI PROFESSORA LINDOMAR DOMINGOS DA SILVA ANJOS")</f>
        <v>CEMEI PROFESSORA LINDOMAR DOMINGOS DA SILVA ANJOS</v>
      </c>
      <c r="D100" s="1" t="str">
        <f>IFERROR(__xludf.DUMMYFUNCTION("""COMPUTED_VALUE"""),"26191296")</f>
        <v>26191296</v>
      </c>
      <c r="E100" s="1" t="str">
        <f>IFERROR(__xludf.DUMMYFUNCTION("""COMPUTED_VALUE"""),"INFANTIL 1")</f>
        <v>INFANTIL 1</v>
      </c>
      <c r="F100" s="1" t="str">
        <f>IFERROR(__xludf.DUMMYFUNCTION("""COMPUTED_VALUE"""),"Integral")</f>
        <v>Integral</v>
      </c>
      <c r="G100" s="1" t="str">
        <f>IFERROR(__xludf.DUMMYFUNCTION("""COMPUTED_VALUE"""),"Comum")</f>
        <v>Comum</v>
      </c>
      <c r="H100" s="1" t="str">
        <f>IFERROR(__xludf.DUMMYFUNCTION("""COMPUTED_VALUE"""),"26")</f>
        <v>26</v>
      </c>
      <c r="I100" s="6" t="str">
        <f>IFERROR(__xludf.DUMMYFUNCTION("""COMPUTED_VALUE"""),"26062843175")</f>
        <v>26062843175</v>
      </c>
      <c r="J100" s="1" t="str">
        <f>IFERROR(__xludf.DUMMYFUNCTION("""COMPUTED_VALUE"""),"01/06/2026 13:25:04")</f>
        <v>01/06/2026 13:25:04</v>
      </c>
      <c r="K100" s="1" t="str">
        <f>IFERROR(__xludf.DUMMYFUNCTION("""COMPUTED_VALUE"""),"Ana liz Ferreira luz")</f>
        <v>Ana liz Ferreira luz</v>
      </c>
      <c r="L100" s="5" t="str">
        <f>IFERROR(__xludf.DUMMYFUNCTION("""COMPUTED_VALUE"""),"004.029.294-03")</f>
        <v>004.029.294-03</v>
      </c>
      <c r="M100" s="5" t="str">
        <f>IFERROR(__xludf.DUMMYFUNCTION("""COMPUTED_VALUE"""),"02/09/2024")</f>
        <v>02/09/2024</v>
      </c>
      <c r="N100" s="1"/>
      <c r="O100" s="1" t="str">
        <f>IFERROR(__xludf.DUMMYFUNCTION("""COMPUTED_VALUE"""),"0")</f>
        <v>0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5.75" customHeight="1">
      <c r="A101" s="1"/>
      <c r="B101" s="1" t="str">
        <f t="array" ref="B101">XLOOKUP(C101,Tabela_1[NOME ESCOLA PONTO ID],Tabela_1[REGIONAL],"NE",0)</f>
        <v>REGIONAL 5</v>
      </c>
      <c r="C101" s="3" t="str">
        <f>IFERROR(__xludf.DUMMYFUNCTION("""COMPUTED_VALUE"""),"CEMEI PROFESSORA LINDOMAR DOMINGOS DA SILVA ANJOS")</f>
        <v>CEMEI PROFESSORA LINDOMAR DOMINGOS DA SILVA ANJOS</v>
      </c>
      <c r="D101" s="1" t="str">
        <f>IFERROR(__xludf.DUMMYFUNCTION("""COMPUTED_VALUE"""),"26191296")</f>
        <v>26191296</v>
      </c>
      <c r="E101" s="1" t="str">
        <f>IFERROR(__xludf.DUMMYFUNCTION("""COMPUTED_VALUE"""),"INFANTIL 1")</f>
        <v>INFANTIL 1</v>
      </c>
      <c r="F101" s="1" t="str">
        <f>IFERROR(__xludf.DUMMYFUNCTION("""COMPUTED_VALUE"""),"Integral")</f>
        <v>Integral</v>
      </c>
      <c r="G101" s="1" t="str">
        <f>IFERROR(__xludf.DUMMYFUNCTION("""COMPUTED_VALUE"""),"Comum")</f>
        <v>Comum</v>
      </c>
      <c r="H101" s="1" t="str">
        <f>IFERROR(__xludf.DUMMYFUNCTION("""COMPUTED_VALUE"""),"27")</f>
        <v>27</v>
      </c>
      <c r="I101" s="6" t="str">
        <f>IFERROR(__xludf.DUMMYFUNCTION("""COMPUTED_VALUE"""),"26062063431")</f>
        <v>26062063431</v>
      </c>
      <c r="J101" s="1" t="str">
        <f>IFERROR(__xludf.DUMMYFUNCTION("""COMPUTED_VALUE"""),"04/06/2026 10:58:04")</f>
        <v>04/06/2026 10:58:04</v>
      </c>
      <c r="K101" s="1" t="str">
        <f>IFERROR(__xludf.DUMMYFUNCTION("""COMPUTED_VALUE"""),"Théo José Cruz Martins de Santana")</f>
        <v>Théo José Cruz Martins de Santana</v>
      </c>
      <c r="L101" s="5" t="str">
        <f>IFERROR(__xludf.DUMMYFUNCTION("""COMPUTED_VALUE"""),"002.750.404-29")</f>
        <v>002.750.404-29</v>
      </c>
      <c r="M101" s="7" t="str">
        <f>IFERROR(__xludf.DUMMYFUNCTION("""COMPUTED_VALUE"""),"28/04/2024")</f>
        <v>28/04/2024</v>
      </c>
      <c r="N101" s="1"/>
      <c r="O101" s="1" t="str">
        <f>IFERROR(__xludf.DUMMYFUNCTION("""COMPUTED_VALUE"""),"0")</f>
        <v>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5.75" customHeight="1">
      <c r="A102" s="1"/>
      <c r="B102" s="1" t="str">
        <f t="array" ref="B102">XLOOKUP(C102,Tabela_1[NOME ESCOLA PONTO ID],Tabela_1[REGIONAL],"NE",0)</f>
        <v>REGIONAL 5</v>
      </c>
      <c r="C102" s="3" t="str">
        <f>IFERROR(__xludf.DUMMYFUNCTION("""COMPUTED_VALUE"""),"CEMEI PROFESSORA LINDOMAR DOMINGOS DA SILVA ANJOS")</f>
        <v>CEMEI PROFESSORA LINDOMAR DOMINGOS DA SILVA ANJOS</v>
      </c>
      <c r="D102" s="1" t="str">
        <f>IFERROR(__xludf.DUMMYFUNCTION("""COMPUTED_VALUE"""),"26191296")</f>
        <v>26191296</v>
      </c>
      <c r="E102" s="1" t="str">
        <f>IFERROR(__xludf.DUMMYFUNCTION("""COMPUTED_VALUE"""),"INFANTIL 1")</f>
        <v>INFANTIL 1</v>
      </c>
      <c r="F102" s="1" t="str">
        <f>IFERROR(__xludf.DUMMYFUNCTION("""COMPUTED_VALUE"""),"Integral")</f>
        <v>Integral</v>
      </c>
      <c r="G102" s="1" t="str">
        <f>IFERROR(__xludf.DUMMYFUNCTION("""COMPUTED_VALUE"""),"Comum")</f>
        <v>Comum</v>
      </c>
      <c r="H102" s="1" t="str">
        <f>IFERROR(__xludf.DUMMYFUNCTION("""COMPUTED_VALUE"""),"28")</f>
        <v>28</v>
      </c>
      <c r="I102" s="6" t="str">
        <f>IFERROR(__xludf.DUMMYFUNCTION("""COMPUTED_VALUE"""),"26062814450")</f>
        <v>26062814450</v>
      </c>
      <c r="J102" s="1" t="str">
        <f>IFERROR(__xludf.DUMMYFUNCTION("""COMPUTED_VALUE"""),"10/06/2026 09:48:38")</f>
        <v>10/06/2026 09:48:38</v>
      </c>
      <c r="K102" s="1" t="str">
        <f>IFERROR(__xludf.DUMMYFUNCTION("""COMPUTED_VALUE"""),"Théo Gabriel Vicente Da Silva")</f>
        <v>Théo Gabriel Vicente Da Silva</v>
      </c>
      <c r="L102" s="5" t="str">
        <f>IFERROR(__xludf.DUMMYFUNCTION("""COMPUTED_VALUE"""),"005.155.414-35")</f>
        <v>005.155.414-35</v>
      </c>
      <c r="M102" s="5" t="str">
        <f>IFERROR(__xludf.DUMMYFUNCTION("""COMPUTED_VALUE"""),"22/01/2025")</f>
        <v>22/01/2025</v>
      </c>
      <c r="N102" s="1"/>
      <c r="O102" s="1" t="str">
        <f>IFERROR(__xludf.DUMMYFUNCTION("""COMPUTED_VALUE"""),"0")</f>
        <v>0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5.75" customHeight="1">
      <c r="A103" s="1"/>
      <c r="B103" s="1" t="str">
        <f t="array" ref="B103">XLOOKUP(C103,Tabela_1[NOME ESCOLA PONTO ID],Tabela_1[REGIONAL],"NE",0)</f>
        <v>REGIONAL 5</v>
      </c>
      <c r="C103" s="3" t="str">
        <f>IFERROR(__xludf.DUMMYFUNCTION("""COMPUTED_VALUE"""),"CEMEI PROFESSORA LINDOMAR DOMINGOS DA SILVA ANJOS")</f>
        <v>CEMEI PROFESSORA LINDOMAR DOMINGOS DA SILVA ANJOS</v>
      </c>
      <c r="D103" s="1" t="str">
        <f>IFERROR(__xludf.DUMMYFUNCTION("""COMPUTED_VALUE"""),"26191296")</f>
        <v>26191296</v>
      </c>
      <c r="E103" s="1" t="str">
        <f>IFERROR(__xludf.DUMMYFUNCTION("""COMPUTED_VALUE"""),"INFANTIL 2")</f>
        <v>INFANTIL 2</v>
      </c>
      <c r="F103" s="1" t="str">
        <f>IFERROR(__xludf.DUMMYFUNCTION("""COMPUTED_VALUE"""),"Integral")</f>
        <v>Integral</v>
      </c>
      <c r="G103" s="1" t="str">
        <f>IFERROR(__xludf.DUMMYFUNCTION("""COMPUTED_VALUE"""),"Comum")</f>
        <v>Comum</v>
      </c>
      <c r="H103" s="1" t="str">
        <f>IFERROR(__xludf.DUMMYFUNCTION("""COMPUTED_VALUE"""),"1")</f>
        <v>1</v>
      </c>
      <c r="I103" s="6" t="str">
        <f>IFERROR(__xludf.DUMMYFUNCTION("""COMPUTED_VALUE"""),"26012113244")</f>
        <v>26012113244</v>
      </c>
      <c r="J103" s="1" t="str">
        <f>IFERROR(__xludf.DUMMYFUNCTION("""COMPUTED_VALUE"""),"28/01/2026 08:06:54")</f>
        <v>28/01/2026 08:06:54</v>
      </c>
      <c r="K103" s="1" t="str">
        <f>IFERROR(__xludf.DUMMYFUNCTION("""COMPUTED_VALUE"""),"ALYCIA MARIA FERREIRA LOPES")</f>
        <v>ALYCIA MARIA FERREIRA LOPES</v>
      </c>
      <c r="L103" s="5" t="str">
        <f>IFERROR(__xludf.DUMMYFUNCTION("""COMPUTED_VALUE"""),"185.002.054-07")</f>
        <v>185.002.054-07</v>
      </c>
      <c r="M103" s="5" t="str">
        <f>IFERROR(__xludf.DUMMYFUNCTION("""COMPUTED_VALUE"""),"06/04/2023")</f>
        <v>06/04/2023</v>
      </c>
      <c r="N103" s="1"/>
      <c r="O103" s="1" t="str">
        <f>IFERROR(__xludf.DUMMYFUNCTION("""COMPUTED_VALUE"""),"0")</f>
        <v>0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5.75" customHeight="1">
      <c r="A104" s="1"/>
      <c r="B104" s="1" t="str">
        <f t="array" ref="B104">XLOOKUP(C104,Tabela_1[NOME ESCOLA PONTO ID],Tabela_1[REGIONAL],"NE",0)</f>
        <v>REGIONAL 5</v>
      </c>
      <c r="C104" s="3" t="str">
        <f>IFERROR(__xludf.DUMMYFUNCTION("""COMPUTED_VALUE"""),"CEMEI PROFESSORA LINDOMAR DOMINGOS DA SILVA ANJOS")</f>
        <v>CEMEI PROFESSORA LINDOMAR DOMINGOS DA SILVA ANJOS</v>
      </c>
      <c r="D104" s="1" t="str">
        <f>IFERROR(__xludf.DUMMYFUNCTION("""COMPUTED_VALUE"""),"26191296")</f>
        <v>26191296</v>
      </c>
      <c r="E104" s="1" t="str">
        <f>IFERROR(__xludf.DUMMYFUNCTION("""COMPUTED_VALUE"""),"INFANTIL 2")</f>
        <v>INFANTIL 2</v>
      </c>
      <c r="F104" s="1" t="str">
        <f>IFERROR(__xludf.DUMMYFUNCTION("""COMPUTED_VALUE"""),"Integral")</f>
        <v>Integral</v>
      </c>
      <c r="G104" s="1" t="str">
        <f>IFERROR(__xludf.DUMMYFUNCTION("""COMPUTED_VALUE"""),"Comum")</f>
        <v>Comum</v>
      </c>
      <c r="H104" s="1" t="str">
        <f>IFERROR(__xludf.DUMMYFUNCTION("""COMPUTED_VALUE"""),"2")</f>
        <v>2</v>
      </c>
      <c r="I104" s="6" t="str">
        <f>IFERROR(__xludf.DUMMYFUNCTION("""COMPUTED_VALUE"""),"26012668599")</f>
        <v>26012668599</v>
      </c>
      <c r="J104" s="1" t="str">
        <f>IFERROR(__xludf.DUMMYFUNCTION("""COMPUTED_VALUE"""),"28/01/2026 08:08:24")</f>
        <v>28/01/2026 08:08:24</v>
      </c>
      <c r="K104" s="1" t="str">
        <f>IFERROR(__xludf.DUMMYFUNCTION("""COMPUTED_VALUE"""),"MIKAEL OLIVEIRA FERREIRA CAVALCANTE")</f>
        <v>MIKAEL OLIVEIRA FERREIRA CAVALCANTE</v>
      </c>
      <c r="L104" s="5" t="str">
        <f>IFERROR(__xludf.DUMMYFUNCTION("""COMPUTED_VALUE"""),"186.109.834-04")</f>
        <v>186.109.834-04</v>
      </c>
      <c r="M104" s="5" t="str">
        <f>IFERROR(__xludf.DUMMYFUNCTION("""COMPUTED_VALUE"""),"23/07/2023")</f>
        <v>23/07/2023</v>
      </c>
      <c r="N104" s="1"/>
      <c r="O104" s="1" t="str">
        <f>IFERROR(__xludf.DUMMYFUNCTION("""COMPUTED_VALUE"""),"0")</f>
        <v>0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5.75" customHeight="1">
      <c r="A105" s="1"/>
      <c r="B105" s="1" t="str">
        <f t="array" ref="B105">XLOOKUP(C105,Tabela_1[NOME ESCOLA PONTO ID],Tabela_1[REGIONAL],"NE",0)</f>
        <v>REGIONAL 5</v>
      </c>
      <c r="C105" s="3" t="str">
        <f>IFERROR(__xludf.DUMMYFUNCTION("""COMPUTED_VALUE"""),"CEMEI PROFESSORA LINDOMAR DOMINGOS DA SILVA ANJOS")</f>
        <v>CEMEI PROFESSORA LINDOMAR DOMINGOS DA SILVA ANJOS</v>
      </c>
      <c r="D105" s="1" t="str">
        <f>IFERROR(__xludf.DUMMYFUNCTION("""COMPUTED_VALUE"""),"26191296")</f>
        <v>26191296</v>
      </c>
      <c r="E105" s="1" t="str">
        <f>IFERROR(__xludf.DUMMYFUNCTION("""COMPUTED_VALUE"""),"INFANTIL 2")</f>
        <v>INFANTIL 2</v>
      </c>
      <c r="F105" s="1" t="str">
        <f>IFERROR(__xludf.DUMMYFUNCTION("""COMPUTED_VALUE"""),"Integral")</f>
        <v>Integral</v>
      </c>
      <c r="G105" s="1" t="str">
        <f>IFERROR(__xludf.DUMMYFUNCTION("""COMPUTED_VALUE"""),"Comum")</f>
        <v>Comum</v>
      </c>
      <c r="H105" s="1" t="str">
        <f>IFERROR(__xludf.DUMMYFUNCTION("""COMPUTED_VALUE"""),"3")</f>
        <v>3</v>
      </c>
      <c r="I105" s="6" t="str">
        <f>IFERROR(__xludf.DUMMYFUNCTION("""COMPUTED_VALUE"""),"26012794977")</f>
        <v>26012794977</v>
      </c>
      <c r="J105" s="1" t="str">
        <f>IFERROR(__xludf.DUMMYFUNCTION("""COMPUTED_VALUE"""),"28/01/2026 08:14:44")</f>
        <v>28/01/2026 08:14:44</v>
      </c>
      <c r="K105" s="1" t="str">
        <f>IFERROR(__xludf.DUMMYFUNCTION("""COMPUTED_VALUE"""),"SARAH BEATRIZ CORREIA RODRIGUES DA SILVA")</f>
        <v>SARAH BEATRIZ CORREIA RODRIGUES DA SILVA</v>
      </c>
      <c r="L105" s="5" t="str">
        <f>IFERROR(__xludf.DUMMYFUNCTION("""COMPUTED_VALUE"""),"185.680.884-06")</f>
        <v>185.680.884-06</v>
      </c>
      <c r="M105" s="5" t="str">
        <f>IFERROR(__xludf.DUMMYFUNCTION("""COMPUTED_VALUE"""),"07/06/2023")</f>
        <v>07/06/2023</v>
      </c>
      <c r="N105" s="1"/>
      <c r="O105" s="1" t="str">
        <f>IFERROR(__xludf.DUMMYFUNCTION("""COMPUTED_VALUE"""),"0")</f>
        <v>0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5.75" customHeight="1">
      <c r="A106" s="1"/>
      <c r="B106" s="1" t="str">
        <f t="array" ref="B106">XLOOKUP(C106,Tabela_1[NOME ESCOLA PONTO ID],Tabela_1[REGIONAL],"NE",0)</f>
        <v>REGIONAL 5</v>
      </c>
      <c r="C106" s="3" t="str">
        <f>IFERROR(__xludf.DUMMYFUNCTION("""COMPUTED_VALUE"""),"CEMEI PROFESSORA LINDOMAR DOMINGOS DA SILVA ANJOS")</f>
        <v>CEMEI PROFESSORA LINDOMAR DOMINGOS DA SILVA ANJOS</v>
      </c>
      <c r="D106" s="1" t="str">
        <f>IFERROR(__xludf.DUMMYFUNCTION("""COMPUTED_VALUE"""),"26191296")</f>
        <v>26191296</v>
      </c>
      <c r="E106" s="1" t="str">
        <f>IFERROR(__xludf.DUMMYFUNCTION("""COMPUTED_VALUE"""),"INFANTIL 2")</f>
        <v>INFANTIL 2</v>
      </c>
      <c r="F106" s="1" t="str">
        <f>IFERROR(__xludf.DUMMYFUNCTION("""COMPUTED_VALUE"""),"Integral")</f>
        <v>Integral</v>
      </c>
      <c r="G106" s="1" t="str">
        <f>IFERROR(__xludf.DUMMYFUNCTION("""COMPUTED_VALUE"""),"Comum")</f>
        <v>Comum</v>
      </c>
      <c r="H106" s="1" t="str">
        <f>IFERROR(__xludf.DUMMYFUNCTION("""COMPUTED_VALUE"""),"4")</f>
        <v>4</v>
      </c>
      <c r="I106" s="6" t="str">
        <f>IFERROR(__xludf.DUMMYFUNCTION("""COMPUTED_VALUE"""),"26012623194")</f>
        <v>26012623194</v>
      </c>
      <c r="J106" s="1" t="str">
        <f>IFERROR(__xludf.DUMMYFUNCTION("""COMPUTED_VALUE"""),"28/01/2026 08:17:19")</f>
        <v>28/01/2026 08:17:19</v>
      </c>
      <c r="K106" s="1" t="str">
        <f>IFERROR(__xludf.DUMMYFUNCTION("""COMPUTED_VALUE"""),"LAURA MARIAH TEIXEIRA SILVA")</f>
        <v>LAURA MARIAH TEIXEIRA SILVA</v>
      </c>
      <c r="L106" s="5" t="str">
        <f>IFERROR(__xludf.DUMMYFUNCTION("""COMPUTED_VALUE"""),"002.969.484-11")</f>
        <v>002.969.484-11</v>
      </c>
      <c r="M106" s="7" t="str">
        <f>IFERROR(__xludf.DUMMYFUNCTION("""COMPUTED_VALUE"""),"18/02/2024")</f>
        <v>18/02/2024</v>
      </c>
      <c r="N106" s="1"/>
      <c r="O106" s="1" t="str">
        <f>IFERROR(__xludf.DUMMYFUNCTION("""COMPUTED_VALUE"""),"0")</f>
        <v>0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5.75" customHeight="1">
      <c r="A107" s="1"/>
      <c r="B107" s="1" t="str">
        <f t="array" ref="B107">XLOOKUP(C107,Tabela_1[NOME ESCOLA PONTO ID],Tabela_1[REGIONAL],"NE",0)</f>
        <v>REGIONAL 5</v>
      </c>
      <c r="C107" s="3" t="str">
        <f>IFERROR(__xludf.DUMMYFUNCTION("""COMPUTED_VALUE"""),"CEMEI PROFESSORA LINDOMAR DOMINGOS DA SILVA ANJOS")</f>
        <v>CEMEI PROFESSORA LINDOMAR DOMINGOS DA SILVA ANJOS</v>
      </c>
      <c r="D107" s="1" t="str">
        <f>IFERROR(__xludf.DUMMYFUNCTION("""COMPUTED_VALUE"""),"26191296")</f>
        <v>26191296</v>
      </c>
      <c r="E107" s="1" t="str">
        <f>IFERROR(__xludf.DUMMYFUNCTION("""COMPUTED_VALUE"""),"INFANTIL 2")</f>
        <v>INFANTIL 2</v>
      </c>
      <c r="F107" s="1" t="str">
        <f>IFERROR(__xludf.DUMMYFUNCTION("""COMPUTED_VALUE"""),"Integral")</f>
        <v>Integral</v>
      </c>
      <c r="G107" s="1" t="str">
        <f>IFERROR(__xludf.DUMMYFUNCTION("""COMPUTED_VALUE"""),"Comum")</f>
        <v>Comum</v>
      </c>
      <c r="H107" s="1" t="str">
        <f>IFERROR(__xludf.DUMMYFUNCTION("""COMPUTED_VALUE"""),"5")</f>
        <v>5</v>
      </c>
      <c r="I107" s="6" t="str">
        <f>IFERROR(__xludf.DUMMYFUNCTION("""COMPUTED_VALUE"""),"26012261808")</f>
        <v>26012261808</v>
      </c>
      <c r="J107" s="1" t="str">
        <f>IFERROR(__xludf.DUMMYFUNCTION("""COMPUTED_VALUE"""),"28/01/2026 08:25:56")</f>
        <v>28/01/2026 08:25:56</v>
      </c>
      <c r="K107" s="1" t="str">
        <f>IFERROR(__xludf.DUMMYFUNCTION("""COMPUTED_VALUE"""),"MARIA GABRIELA DA SILVA PORFIRIO ALVES")</f>
        <v>MARIA GABRIELA DA SILVA PORFIRIO ALVES</v>
      </c>
      <c r="L107" s="5" t="str">
        <f>IFERROR(__xludf.DUMMYFUNCTION("""COMPUTED_VALUE"""),"185.992.474-33")</f>
        <v>185.992.474-33</v>
      </c>
      <c r="M107" s="5" t="str">
        <f>IFERROR(__xludf.DUMMYFUNCTION("""COMPUTED_VALUE"""),"15/05/2023")</f>
        <v>15/05/2023</v>
      </c>
      <c r="N107" s="1"/>
      <c r="O107" s="1" t="str">
        <f>IFERROR(__xludf.DUMMYFUNCTION("""COMPUTED_VALUE"""),"0")</f>
        <v>0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5.75" customHeight="1">
      <c r="A108" s="1"/>
      <c r="B108" s="1" t="str">
        <f t="array" ref="B108">XLOOKUP(C108,Tabela_1[NOME ESCOLA PONTO ID],Tabela_1[REGIONAL],"NE",0)</f>
        <v>REGIONAL 5</v>
      </c>
      <c r="C108" s="3" t="str">
        <f>IFERROR(__xludf.DUMMYFUNCTION("""COMPUTED_VALUE"""),"CEMEI PROFESSORA LINDOMAR DOMINGOS DA SILVA ANJOS")</f>
        <v>CEMEI PROFESSORA LINDOMAR DOMINGOS DA SILVA ANJOS</v>
      </c>
      <c r="D108" s="1" t="str">
        <f>IFERROR(__xludf.DUMMYFUNCTION("""COMPUTED_VALUE"""),"26191296")</f>
        <v>26191296</v>
      </c>
      <c r="E108" s="1" t="str">
        <f>IFERROR(__xludf.DUMMYFUNCTION("""COMPUTED_VALUE"""),"INFANTIL 2")</f>
        <v>INFANTIL 2</v>
      </c>
      <c r="F108" s="1" t="str">
        <f>IFERROR(__xludf.DUMMYFUNCTION("""COMPUTED_VALUE"""),"Integral")</f>
        <v>Integral</v>
      </c>
      <c r="G108" s="1" t="str">
        <f>IFERROR(__xludf.DUMMYFUNCTION("""COMPUTED_VALUE"""),"Comum")</f>
        <v>Comum</v>
      </c>
      <c r="H108" s="1" t="str">
        <f>IFERROR(__xludf.DUMMYFUNCTION("""COMPUTED_VALUE"""),"6")</f>
        <v>6</v>
      </c>
      <c r="I108" s="6" t="str">
        <f>IFERROR(__xludf.DUMMYFUNCTION("""COMPUTED_VALUE"""),"26012739667")</f>
        <v>26012739667</v>
      </c>
      <c r="J108" s="1" t="str">
        <f>IFERROR(__xludf.DUMMYFUNCTION("""COMPUTED_VALUE"""),"28/01/2026 08:25:59")</f>
        <v>28/01/2026 08:25:59</v>
      </c>
      <c r="K108" s="1" t="str">
        <f>IFERROR(__xludf.DUMMYFUNCTION("""COMPUTED_VALUE"""),"EMILLY BEATRIZ SANTOS")</f>
        <v>EMILLY BEATRIZ SANTOS</v>
      </c>
      <c r="L108" s="5" t="str">
        <f>IFERROR(__xludf.DUMMYFUNCTION("""COMPUTED_VALUE"""),"002.613.284-25")</f>
        <v>002.613.284-25</v>
      </c>
      <c r="M108" s="5" t="str">
        <f>IFERROR(__xludf.DUMMYFUNCTION("""COMPUTED_VALUE"""),"12/12/2023")</f>
        <v>12/12/2023</v>
      </c>
      <c r="N108" s="1"/>
      <c r="O108" s="1" t="str">
        <f>IFERROR(__xludf.DUMMYFUNCTION("""COMPUTED_VALUE"""),"0")</f>
        <v>0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5.75" customHeight="1">
      <c r="A109" s="1"/>
      <c r="B109" s="1" t="str">
        <f t="array" ref="B109">XLOOKUP(C109,Tabela_1[NOME ESCOLA PONTO ID],Tabela_1[REGIONAL],"NE",0)</f>
        <v>REGIONAL 5</v>
      </c>
      <c r="C109" s="3" t="str">
        <f>IFERROR(__xludf.DUMMYFUNCTION("""COMPUTED_VALUE"""),"CEMEI PROFESSORA LINDOMAR DOMINGOS DA SILVA ANJOS")</f>
        <v>CEMEI PROFESSORA LINDOMAR DOMINGOS DA SILVA ANJOS</v>
      </c>
      <c r="D109" s="1" t="str">
        <f>IFERROR(__xludf.DUMMYFUNCTION("""COMPUTED_VALUE"""),"26191296")</f>
        <v>26191296</v>
      </c>
      <c r="E109" s="1" t="str">
        <f>IFERROR(__xludf.DUMMYFUNCTION("""COMPUTED_VALUE"""),"INFANTIL 2")</f>
        <v>INFANTIL 2</v>
      </c>
      <c r="F109" s="1" t="str">
        <f>IFERROR(__xludf.DUMMYFUNCTION("""COMPUTED_VALUE"""),"Integral")</f>
        <v>Integral</v>
      </c>
      <c r="G109" s="1" t="str">
        <f>IFERROR(__xludf.DUMMYFUNCTION("""COMPUTED_VALUE"""),"Comum")</f>
        <v>Comum</v>
      </c>
      <c r="H109" s="1" t="str">
        <f>IFERROR(__xludf.DUMMYFUNCTION("""COMPUTED_VALUE"""),"7")</f>
        <v>7</v>
      </c>
      <c r="I109" s="6" t="str">
        <f>IFERROR(__xludf.DUMMYFUNCTION("""COMPUTED_VALUE"""),"26012222881")</f>
        <v>26012222881</v>
      </c>
      <c r="J109" s="1" t="str">
        <f>IFERROR(__xludf.DUMMYFUNCTION("""COMPUTED_VALUE"""),"28/01/2026 08:31:41")</f>
        <v>28/01/2026 08:31:41</v>
      </c>
      <c r="K109" s="1" t="str">
        <f>IFERROR(__xludf.DUMMYFUNCTION("""COMPUTED_VALUE"""),"LEVY MATHEUS SANTOS LINS")</f>
        <v>LEVY MATHEUS SANTOS LINS</v>
      </c>
      <c r="L109" s="5" t="str">
        <f>IFERROR(__xludf.DUMMYFUNCTION("""COMPUTED_VALUE"""),"001.763.444-03")</f>
        <v>001.763.444-03</v>
      </c>
      <c r="M109" s="5" t="str">
        <f>IFERROR(__xludf.DUMMYFUNCTION("""COMPUTED_VALUE"""),"25/01/2024")</f>
        <v>25/01/2024</v>
      </c>
      <c r="N109" s="1"/>
      <c r="O109" s="1" t="str">
        <f>IFERROR(__xludf.DUMMYFUNCTION("""COMPUTED_VALUE"""),"0")</f>
        <v>0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5.75" customHeight="1">
      <c r="A110" s="1"/>
      <c r="B110" s="1" t="str">
        <f t="array" ref="B110">XLOOKUP(C110,Tabela_1[NOME ESCOLA PONTO ID],Tabela_1[REGIONAL],"NE",0)</f>
        <v>REGIONAL 5</v>
      </c>
      <c r="C110" s="3" t="str">
        <f>IFERROR(__xludf.DUMMYFUNCTION("""COMPUTED_VALUE"""),"CEMEI PROFESSORA LINDOMAR DOMINGOS DA SILVA ANJOS")</f>
        <v>CEMEI PROFESSORA LINDOMAR DOMINGOS DA SILVA ANJOS</v>
      </c>
      <c r="D110" s="1" t="str">
        <f>IFERROR(__xludf.DUMMYFUNCTION("""COMPUTED_VALUE"""),"26191296")</f>
        <v>26191296</v>
      </c>
      <c r="E110" s="1" t="str">
        <f>IFERROR(__xludf.DUMMYFUNCTION("""COMPUTED_VALUE"""),"INFANTIL 2")</f>
        <v>INFANTIL 2</v>
      </c>
      <c r="F110" s="1" t="str">
        <f>IFERROR(__xludf.DUMMYFUNCTION("""COMPUTED_VALUE"""),"Integral")</f>
        <v>Integral</v>
      </c>
      <c r="G110" s="1" t="str">
        <f>IFERROR(__xludf.DUMMYFUNCTION("""COMPUTED_VALUE"""),"Comum")</f>
        <v>Comum</v>
      </c>
      <c r="H110" s="1" t="str">
        <f>IFERROR(__xludf.DUMMYFUNCTION("""COMPUTED_VALUE"""),"8")</f>
        <v>8</v>
      </c>
      <c r="I110" s="6" t="str">
        <f>IFERROR(__xludf.DUMMYFUNCTION("""COMPUTED_VALUE"""),"26012659283")</f>
        <v>26012659283</v>
      </c>
      <c r="J110" s="1" t="str">
        <f>IFERROR(__xludf.DUMMYFUNCTION("""COMPUTED_VALUE"""),"28/01/2026 09:00:15")</f>
        <v>28/01/2026 09:00:15</v>
      </c>
      <c r="K110" s="1" t="str">
        <f>IFERROR(__xludf.DUMMYFUNCTION("""COMPUTED_VALUE"""),"HELLOYSA MARIA CAVALCANTE DE LEMOS")</f>
        <v>HELLOYSA MARIA CAVALCANTE DE LEMOS</v>
      </c>
      <c r="L110" s="5" t="str">
        <f>IFERROR(__xludf.DUMMYFUNCTION("""COMPUTED_VALUE"""),"001.593.854-90")</f>
        <v>001.593.854-90</v>
      </c>
      <c r="M110" s="5" t="str">
        <f>IFERROR(__xludf.DUMMYFUNCTION("""COMPUTED_VALUE"""),"21/12/2023")</f>
        <v>21/12/2023</v>
      </c>
      <c r="N110" s="1"/>
      <c r="O110" s="1" t="str">
        <f>IFERROR(__xludf.DUMMYFUNCTION("""COMPUTED_VALUE"""),"0")</f>
        <v>0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5.75" customHeight="1">
      <c r="A111" s="1"/>
      <c r="B111" s="1" t="str">
        <f t="array" ref="B111">XLOOKUP(C111,Tabela_1[NOME ESCOLA PONTO ID],Tabela_1[REGIONAL],"NE",0)</f>
        <v>REGIONAL 5</v>
      </c>
      <c r="C111" s="3" t="str">
        <f>IFERROR(__xludf.DUMMYFUNCTION("""COMPUTED_VALUE"""),"CEMEI PROFESSORA LINDOMAR DOMINGOS DA SILVA ANJOS")</f>
        <v>CEMEI PROFESSORA LINDOMAR DOMINGOS DA SILVA ANJOS</v>
      </c>
      <c r="D111" s="1" t="str">
        <f>IFERROR(__xludf.DUMMYFUNCTION("""COMPUTED_VALUE"""),"26191296")</f>
        <v>26191296</v>
      </c>
      <c r="E111" s="1" t="str">
        <f>IFERROR(__xludf.DUMMYFUNCTION("""COMPUTED_VALUE"""),"INFANTIL 2")</f>
        <v>INFANTIL 2</v>
      </c>
      <c r="F111" s="1" t="str">
        <f>IFERROR(__xludf.DUMMYFUNCTION("""COMPUTED_VALUE"""),"Integral")</f>
        <v>Integral</v>
      </c>
      <c r="G111" s="1" t="str">
        <f>IFERROR(__xludf.DUMMYFUNCTION("""COMPUTED_VALUE"""),"Comum")</f>
        <v>Comum</v>
      </c>
      <c r="H111" s="1" t="str">
        <f>IFERROR(__xludf.DUMMYFUNCTION("""COMPUTED_VALUE"""),"9")</f>
        <v>9</v>
      </c>
      <c r="I111" s="6" t="str">
        <f>IFERROR(__xludf.DUMMYFUNCTION("""COMPUTED_VALUE"""),"26012696665")</f>
        <v>26012696665</v>
      </c>
      <c r="J111" s="1" t="str">
        <f>IFERROR(__xludf.DUMMYFUNCTION("""COMPUTED_VALUE"""),"28/01/2026 09:08:41")</f>
        <v>28/01/2026 09:08:41</v>
      </c>
      <c r="K111" s="1" t="str">
        <f>IFERROR(__xludf.DUMMYFUNCTION("""COMPUTED_VALUE"""),"THÉO VINÍCIUS DA SILVA FERNANDES")</f>
        <v>THÉO VINÍCIUS DA SILVA FERNANDES</v>
      </c>
      <c r="L111" s="5" t="str">
        <f>IFERROR(__xludf.DUMMYFUNCTION("""COMPUTED_VALUE"""),"186.161.124-21")</f>
        <v>186.161.124-21</v>
      </c>
      <c r="M111" s="7" t="str">
        <f>IFERROR(__xludf.DUMMYFUNCTION("""COMPUTED_VALUE"""),"04/08/2023")</f>
        <v>04/08/2023</v>
      </c>
      <c r="N111" s="1"/>
      <c r="O111" s="1" t="str">
        <f>IFERROR(__xludf.DUMMYFUNCTION("""COMPUTED_VALUE"""),"0")</f>
        <v>0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5.75" customHeight="1">
      <c r="A112" s="1"/>
      <c r="B112" s="1" t="str">
        <f t="array" ref="B112">XLOOKUP(C112,Tabela_1[NOME ESCOLA PONTO ID],Tabela_1[REGIONAL],"NE",0)</f>
        <v>REGIONAL 5</v>
      </c>
      <c r="C112" s="3" t="str">
        <f>IFERROR(__xludf.DUMMYFUNCTION("""COMPUTED_VALUE"""),"CEMEI PROFESSORA LINDOMAR DOMINGOS DA SILVA ANJOS")</f>
        <v>CEMEI PROFESSORA LINDOMAR DOMINGOS DA SILVA ANJOS</v>
      </c>
      <c r="D112" s="1" t="str">
        <f>IFERROR(__xludf.DUMMYFUNCTION("""COMPUTED_VALUE"""),"26191296")</f>
        <v>26191296</v>
      </c>
      <c r="E112" s="1" t="str">
        <f>IFERROR(__xludf.DUMMYFUNCTION("""COMPUTED_VALUE"""),"INFANTIL 2")</f>
        <v>INFANTIL 2</v>
      </c>
      <c r="F112" s="1" t="str">
        <f>IFERROR(__xludf.DUMMYFUNCTION("""COMPUTED_VALUE"""),"Integral")</f>
        <v>Integral</v>
      </c>
      <c r="G112" s="1" t="str">
        <f>IFERROR(__xludf.DUMMYFUNCTION("""COMPUTED_VALUE"""),"Comum")</f>
        <v>Comum</v>
      </c>
      <c r="H112" s="1" t="str">
        <f>IFERROR(__xludf.DUMMYFUNCTION("""COMPUTED_VALUE"""),"10")</f>
        <v>10</v>
      </c>
      <c r="I112" s="6" t="str">
        <f>IFERROR(__xludf.DUMMYFUNCTION("""COMPUTED_VALUE"""),"26012984567")</f>
        <v>26012984567</v>
      </c>
      <c r="J112" s="1" t="str">
        <f>IFERROR(__xludf.DUMMYFUNCTION("""COMPUTED_VALUE"""),"28/01/2026 09:29:37")</f>
        <v>28/01/2026 09:29:37</v>
      </c>
      <c r="K112" s="1" t="str">
        <f>IFERROR(__xludf.DUMMYFUNCTION("""COMPUTED_VALUE"""),"MAITÊ FERNANDA DA SILVA")</f>
        <v>MAITÊ FERNANDA DA SILVA</v>
      </c>
      <c r="L112" s="5" t="str">
        <f>IFERROR(__xludf.DUMMYFUNCTION("""COMPUTED_VALUE"""),"001.588.084-28")</f>
        <v>001.588.084-28</v>
      </c>
      <c r="M112" s="7" t="str">
        <f>IFERROR(__xludf.DUMMYFUNCTION("""COMPUTED_VALUE"""),"30/12/2023")</f>
        <v>30/12/2023</v>
      </c>
      <c r="N112" s="1"/>
      <c r="O112" s="1" t="str">
        <f>IFERROR(__xludf.DUMMYFUNCTION("""COMPUTED_VALUE"""),"0")</f>
        <v>0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5.75" customHeight="1">
      <c r="A113" s="1"/>
      <c r="B113" s="1" t="str">
        <f t="array" ref="B113">XLOOKUP(C113,Tabela_1[NOME ESCOLA PONTO ID],Tabela_1[REGIONAL],"NE",0)</f>
        <v>REGIONAL 5</v>
      </c>
      <c r="C113" s="3" t="str">
        <f>IFERROR(__xludf.DUMMYFUNCTION("""COMPUTED_VALUE"""),"CEMEI PROFESSORA LINDOMAR DOMINGOS DA SILVA ANJOS")</f>
        <v>CEMEI PROFESSORA LINDOMAR DOMINGOS DA SILVA ANJOS</v>
      </c>
      <c r="D113" s="1" t="str">
        <f>IFERROR(__xludf.DUMMYFUNCTION("""COMPUTED_VALUE"""),"26191296")</f>
        <v>26191296</v>
      </c>
      <c r="E113" s="1" t="str">
        <f>IFERROR(__xludf.DUMMYFUNCTION("""COMPUTED_VALUE"""),"INFANTIL 2")</f>
        <v>INFANTIL 2</v>
      </c>
      <c r="F113" s="1" t="str">
        <f>IFERROR(__xludf.DUMMYFUNCTION("""COMPUTED_VALUE"""),"Integral")</f>
        <v>Integral</v>
      </c>
      <c r="G113" s="1" t="str">
        <f>IFERROR(__xludf.DUMMYFUNCTION("""COMPUTED_VALUE"""),"Comum")</f>
        <v>Comum</v>
      </c>
      <c r="H113" s="1" t="str">
        <f>IFERROR(__xludf.DUMMYFUNCTION("""COMPUTED_VALUE"""),"11")</f>
        <v>11</v>
      </c>
      <c r="I113" s="6" t="str">
        <f>IFERROR(__xludf.DUMMYFUNCTION("""COMPUTED_VALUE"""),"26012623723")</f>
        <v>26012623723</v>
      </c>
      <c r="J113" s="1" t="str">
        <f>IFERROR(__xludf.DUMMYFUNCTION("""COMPUTED_VALUE"""),"28/01/2026 10:56:41")</f>
        <v>28/01/2026 10:56:41</v>
      </c>
      <c r="K113" s="1" t="str">
        <f>IFERROR(__xludf.DUMMYFUNCTION("""COMPUTED_VALUE"""),"YSIS SILVA RAMOS")</f>
        <v>YSIS SILVA RAMOS</v>
      </c>
      <c r="L113" s="5" t="str">
        <f>IFERROR(__xludf.DUMMYFUNCTION("""COMPUTED_VALUE"""),"000.422.384-55")</f>
        <v>000.422.384-55</v>
      </c>
      <c r="M113" s="5" t="str">
        <f>IFERROR(__xludf.DUMMYFUNCTION("""COMPUTED_VALUE"""),"11/10/2023")</f>
        <v>11/10/2023</v>
      </c>
      <c r="N113" s="1"/>
      <c r="O113" s="1" t="str">
        <f>IFERROR(__xludf.DUMMYFUNCTION("""COMPUTED_VALUE"""),"0")</f>
        <v>0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5.75" customHeight="1">
      <c r="A114" s="1"/>
      <c r="B114" s="1" t="str">
        <f t="array" ref="B114">XLOOKUP(C114,Tabela_1[NOME ESCOLA PONTO ID],Tabela_1[REGIONAL],"NE",0)</f>
        <v>REGIONAL 5</v>
      </c>
      <c r="C114" s="3" t="str">
        <f>IFERROR(__xludf.DUMMYFUNCTION("""COMPUTED_VALUE"""),"CEMEI PROFESSORA LINDOMAR DOMINGOS DA SILVA ANJOS")</f>
        <v>CEMEI PROFESSORA LINDOMAR DOMINGOS DA SILVA ANJOS</v>
      </c>
      <c r="D114" s="1" t="str">
        <f>IFERROR(__xludf.DUMMYFUNCTION("""COMPUTED_VALUE"""),"26191296")</f>
        <v>26191296</v>
      </c>
      <c r="E114" s="1" t="str">
        <f>IFERROR(__xludf.DUMMYFUNCTION("""COMPUTED_VALUE"""),"INFANTIL 2")</f>
        <v>INFANTIL 2</v>
      </c>
      <c r="F114" s="1" t="str">
        <f>IFERROR(__xludf.DUMMYFUNCTION("""COMPUTED_VALUE"""),"Integral")</f>
        <v>Integral</v>
      </c>
      <c r="G114" s="1" t="str">
        <f>IFERROR(__xludf.DUMMYFUNCTION("""COMPUTED_VALUE"""),"Comum")</f>
        <v>Comum</v>
      </c>
      <c r="H114" s="1" t="str">
        <f>IFERROR(__xludf.DUMMYFUNCTION("""COMPUTED_VALUE"""),"12")</f>
        <v>12</v>
      </c>
      <c r="I114" s="6" t="str">
        <f>IFERROR(__xludf.DUMMYFUNCTION("""COMPUTED_VALUE"""),"26012574322")</f>
        <v>26012574322</v>
      </c>
      <c r="J114" s="1" t="str">
        <f>IFERROR(__xludf.DUMMYFUNCTION("""COMPUTED_VALUE"""),"28/01/2026 11:08:50")</f>
        <v>28/01/2026 11:08:50</v>
      </c>
      <c r="K114" s="1" t="str">
        <f>IFERROR(__xludf.DUMMYFUNCTION("""COMPUTED_VALUE"""),"AINOANA VITÓRIA")</f>
        <v>AINOANA VITÓRIA</v>
      </c>
      <c r="L114" s="5" t="str">
        <f>IFERROR(__xludf.DUMMYFUNCTION("""COMPUTED_VALUE"""),"157.026.924-62")</f>
        <v>157.026.924-62</v>
      </c>
      <c r="M114" s="5" t="str">
        <f>IFERROR(__xludf.DUMMYFUNCTION("""COMPUTED_VALUE"""),"28/07/2023")</f>
        <v>28/07/2023</v>
      </c>
      <c r="N114" s="1"/>
      <c r="O114" s="1" t="str">
        <f>IFERROR(__xludf.DUMMYFUNCTION("""COMPUTED_VALUE"""),"0")</f>
        <v>0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5.75" customHeight="1">
      <c r="A115" s="1"/>
      <c r="B115" s="1" t="str">
        <f t="array" ref="B115">XLOOKUP(C115,Tabela_1[NOME ESCOLA PONTO ID],Tabela_1[REGIONAL],"NE",0)</f>
        <v>REGIONAL 5</v>
      </c>
      <c r="C115" s="3" t="str">
        <f>IFERROR(__xludf.DUMMYFUNCTION("""COMPUTED_VALUE"""),"CEMEI PROFESSORA LINDOMAR DOMINGOS DA SILVA ANJOS")</f>
        <v>CEMEI PROFESSORA LINDOMAR DOMINGOS DA SILVA ANJOS</v>
      </c>
      <c r="D115" s="1" t="str">
        <f>IFERROR(__xludf.DUMMYFUNCTION("""COMPUTED_VALUE"""),"26191296")</f>
        <v>26191296</v>
      </c>
      <c r="E115" s="1" t="str">
        <f>IFERROR(__xludf.DUMMYFUNCTION("""COMPUTED_VALUE"""),"INFANTIL 2")</f>
        <v>INFANTIL 2</v>
      </c>
      <c r="F115" s="1" t="str">
        <f>IFERROR(__xludf.DUMMYFUNCTION("""COMPUTED_VALUE"""),"Integral")</f>
        <v>Integral</v>
      </c>
      <c r="G115" s="1" t="str">
        <f>IFERROR(__xludf.DUMMYFUNCTION("""COMPUTED_VALUE"""),"Comum")</f>
        <v>Comum</v>
      </c>
      <c r="H115" s="1" t="str">
        <f>IFERROR(__xludf.DUMMYFUNCTION("""COMPUTED_VALUE"""),"13")</f>
        <v>13</v>
      </c>
      <c r="I115" s="6" t="str">
        <f>IFERROR(__xludf.DUMMYFUNCTION("""COMPUTED_VALUE"""),"26012536461")</f>
        <v>26012536461</v>
      </c>
      <c r="J115" s="1" t="str">
        <f>IFERROR(__xludf.DUMMYFUNCTION("""COMPUTED_VALUE"""),"28/01/2026 12:27:56")</f>
        <v>28/01/2026 12:27:56</v>
      </c>
      <c r="K115" s="1" t="str">
        <f>IFERROR(__xludf.DUMMYFUNCTION("""COMPUTED_VALUE"""),"MANASSÉS MESSIAS DOS SANTOS COSTA")</f>
        <v>MANASSÉS MESSIAS DOS SANTOS COSTA</v>
      </c>
      <c r="L115" s="5" t="str">
        <f>IFERROR(__xludf.DUMMYFUNCTION("""COMPUTED_VALUE"""),"185.866.824-70")</f>
        <v>185.866.824-70</v>
      </c>
      <c r="M115" s="5" t="str">
        <f>IFERROR(__xludf.DUMMYFUNCTION("""COMPUTED_VALUE"""),"10/06/2023")</f>
        <v>10/06/2023</v>
      </c>
      <c r="N115" s="1"/>
      <c r="O115" s="1" t="str">
        <f>IFERROR(__xludf.DUMMYFUNCTION("""COMPUTED_VALUE"""),"0")</f>
        <v>0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5.75" customHeight="1">
      <c r="A116" s="1"/>
      <c r="B116" s="1" t="str">
        <f t="array" ref="B116">XLOOKUP(C116,Tabela_1[NOME ESCOLA PONTO ID],Tabela_1[REGIONAL],"NE",0)</f>
        <v>REGIONAL 5</v>
      </c>
      <c r="C116" s="3" t="str">
        <f>IFERROR(__xludf.DUMMYFUNCTION("""COMPUTED_VALUE"""),"CEMEI PROFESSORA LINDOMAR DOMINGOS DA SILVA ANJOS")</f>
        <v>CEMEI PROFESSORA LINDOMAR DOMINGOS DA SILVA ANJOS</v>
      </c>
      <c r="D116" s="1" t="str">
        <f>IFERROR(__xludf.DUMMYFUNCTION("""COMPUTED_VALUE"""),"26191296")</f>
        <v>26191296</v>
      </c>
      <c r="E116" s="1" t="str">
        <f>IFERROR(__xludf.DUMMYFUNCTION("""COMPUTED_VALUE"""),"INFANTIL 2")</f>
        <v>INFANTIL 2</v>
      </c>
      <c r="F116" s="1" t="str">
        <f>IFERROR(__xludf.DUMMYFUNCTION("""COMPUTED_VALUE"""),"Integral")</f>
        <v>Integral</v>
      </c>
      <c r="G116" s="1" t="str">
        <f>IFERROR(__xludf.DUMMYFUNCTION("""COMPUTED_VALUE"""),"Comum")</f>
        <v>Comum</v>
      </c>
      <c r="H116" s="1" t="str">
        <f>IFERROR(__xludf.DUMMYFUNCTION("""COMPUTED_VALUE"""),"14")</f>
        <v>14</v>
      </c>
      <c r="I116" s="6" t="str">
        <f>IFERROR(__xludf.DUMMYFUNCTION("""COMPUTED_VALUE"""),"26012862691")</f>
        <v>26012862691</v>
      </c>
      <c r="J116" s="1" t="str">
        <f>IFERROR(__xludf.DUMMYFUNCTION("""COMPUTED_VALUE"""),"29/01/2026 09:34:00")</f>
        <v>29/01/2026 09:34:00</v>
      </c>
      <c r="K116" s="1" t="str">
        <f>IFERROR(__xludf.DUMMYFUNCTION("""COMPUTED_VALUE"""),"LARA SOPHIA OLIVEIRA DE ALMEIDA")</f>
        <v>LARA SOPHIA OLIVEIRA DE ALMEIDA</v>
      </c>
      <c r="L116" s="5" t="str">
        <f>IFERROR(__xludf.DUMMYFUNCTION("""COMPUTED_VALUE"""),"002.991.064-11")</f>
        <v>002.991.064-11</v>
      </c>
      <c r="M116" s="5" t="str">
        <f>IFERROR(__xludf.DUMMYFUNCTION("""COMPUTED_VALUE"""),"13/12/2023")</f>
        <v>13/12/2023</v>
      </c>
      <c r="N116" s="1"/>
      <c r="O116" s="1" t="str">
        <f>IFERROR(__xludf.DUMMYFUNCTION("""COMPUTED_VALUE"""),"0")</f>
        <v>0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5.75" customHeight="1">
      <c r="A117" s="1"/>
      <c r="B117" s="1" t="str">
        <f t="array" ref="B117">XLOOKUP(C117,Tabela_1[NOME ESCOLA PONTO ID],Tabela_1[REGIONAL],"NE",0)</f>
        <v>REGIONAL 5</v>
      </c>
      <c r="C117" s="3" t="str">
        <f>IFERROR(__xludf.DUMMYFUNCTION("""COMPUTED_VALUE"""),"CEMEI PROFESSORA LINDOMAR DOMINGOS DA SILVA ANJOS")</f>
        <v>CEMEI PROFESSORA LINDOMAR DOMINGOS DA SILVA ANJOS</v>
      </c>
      <c r="D117" s="1" t="str">
        <f>IFERROR(__xludf.DUMMYFUNCTION("""COMPUTED_VALUE"""),"26191296")</f>
        <v>26191296</v>
      </c>
      <c r="E117" s="1" t="str">
        <f>IFERROR(__xludf.DUMMYFUNCTION("""COMPUTED_VALUE"""),"INFANTIL 2")</f>
        <v>INFANTIL 2</v>
      </c>
      <c r="F117" s="1" t="str">
        <f>IFERROR(__xludf.DUMMYFUNCTION("""COMPUTED_VALUE"""),"Integral")</f>
        <v>Integral</v>
      </c>
      <c r="G117" s="1" t="str">
        <f>IFERROR(__xludf.DUMMYFUNCTION("""COMPUTED_VALUE"""),"Comum")</f>
        <v>Comum</v>
      </c>
      <c r="H117" s="1" t="str">
        <f>IFERROR(__xludf.DUMMYFUNCTION("""COMPUTED_VALUE"""),"15")</f>
        <v>15</v>
      </c>
      <c r="I117" s="6" t="str">
        <f>IFERROR(__xludf.DUMMYFUNCTION("""COMPUTED_VALUE"""),"26012210494")</f>
        <v>26012210494</v>
      </c>
      <c r="J117" s="1" t="str">
        <f>IFERROR(__xludf.DUMMYFUNCTION("""COMPUTED_VALUE"""),"29/01/2026 19:07:33")</f>
        <v>29/01/2026 19:07:33</v>
      </c>
      <c r="K117" s="1" t="str">
        <f>IFERROR(__xludf.DUMMYFUNCTION("""COMPUTED_VALUE"""),"JOÃO PEDRO AIRES DE SOUZA")</f>
        <v>JOÃO PEDRO AIRES DE SOUZA</v>
      </c>
      <c r="L117" s="5" t="str">
        <f>IFERROR(__xludf.DUMMYFUNCTION("""COMPUTED_VALUE"""),"185.347.964-08")</f>
        <v>185.347.964-08</v>
      </c>
      <c r="M117" s="5" t="str">
        <f>IFERROR(__xludf.DUMMYFUNCTION("""COMPUTED_VALUE"""),"13/05/2023")</f>
        <v>13/05/2023</v>
      </c>
      <c r="N117" s="1"/>
      <c r="O117" s="1" t="str">
        <f>IFERROR(__xludf.DUMMYFUNCTION("""COMPUTED_VALUE"""),"0")</f>
        <v>0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5.75" customHeight="1">
      <c r="A118" s="1"/>
      <c r="B118" s="1" t="str">
        <f t="array" ref="B118">XLOOKUP(C118,Tabela_1[NOME ESCOLA PONTO ID],Tabela_1[REGIONAL],"NE",0)</f>
        <v>REGIONAL 5</v>
      </c>
      <c r="C118" s="3" t="str">
        <f>IFERROR(__xludf.DUMMYFUNCTION("""COMPUTED_VALUE"""),"CEMEI PROFESSORA LINDOMAR DOMINGOS DA SILVA ANJOS")</f>
        <v>CEMEI PROFESSORA LINDOMAR DOMINGOS DA SILVA ANJOS</v>
      </c>
      <c r="D118" s="1" t="str">
        <f>IFERROR(__xludf.DUMMYFUNCTION("""COMPUTED_VALUE"""),"26191296")</f>
        <v>26191296</v>
      </c>
      <c r="E118" s="1" t="str">
        <f>IFERROR(__xludf.DUMMYFUNCTION("""COMPUTED_VALUE"""),"INFANTIL 2")</f>
        <v>INFANTIL 2</v>
      </c>
      <c r="F118" s="1" t="str">
        <f>IFERROR(__xludf.DUMMYFUNCTION("""COMPUTED_VALUE"""),"Integral")</f>
        <v>Integral</v>
      </c>
      <c r="G118" s="1" t="str">
        <f>IFERROR(__xludf.DUMMYFUNCTION("""COMPUTED_VALUE"""),"Comum")</f>
        <v>Comum</v>
      </c>
      <c r="H118" s="1" t="str">
        <f>IFERROR(__xludf.DUMMYFUNCTION("""COMPUTED_VALUE"""),"16")</f>
        <v>16</v>
      </c>
      <c r="I118" s="6" t="str">
        <f>IFERROR(__xludf.DUMMYFUNCTION("""COMPUTED_VALUE"""),"26022181466")</f>
        <v>26022181466</v>
      </c>
      <c r="J118" s="1" t="str">
        <f>IFERROR(__xludf.DUMMYFUNCTION("""COMPUTED_VALUE"""),"03/02/2026 12:10:55")</f>
        <v>03/02/2026 12:10:55</v>
      </c>
      <c r="K118" s="1" t="str">
        <f>IFERROR(__xludf.DUMMYFUNCTION("""COMPUTED_VALUE"""),"ELIAS BENJAMIN MIGUEL FERREIRA NACIMENTO")</f>
        <v>ELIAS BENJAMIN MIGUEL FERREIRA NACIMENTO</v>
      </c>
      <c r="L118" s="7" t="str">
        <f>IFERROR(__xludf.DUMMYFUNCTION("""COMPUTED_VALUE"""),"001.108.114-70")</f>
        <v>001.108.114-70</v>
      </c>
      <c r="M118" s="7" t="str">
        <f>IFERROR(__xludf.DUMMYFUNCTION("""COMPUTED_VALUE"""),"11/11/2023")</f>
        <v>11/11/2023</v>
      </c>
      <c r="N118" s="1"/>
      <c r="O118" s="1" t="str">
        <f>IFERROR(__xludf.DUMMYFUNCTION("""COMPUTED_VALUE"""),"0")</f>
        <v>0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5.75" customHeight="1">
      <c r="A119" s="1"/>
      <c r="B119" s="1" t="str">
        <f t="array" ref="B119">XLOOKUP(C119,Tabela_1[NOME ESCOLA PONTO ID],Tabela_1[REGIONAL],"NE",0)</f>
        <v>REGIONAL 5</v>
      </c>
      <c r="C119" s="3" t="str">
        <f>IFERROR(__xludf.DUMMYFUNCTION("""COMPUTED_VALUE"""),"CEMEI PROFESSORA LINDOMAR DOMINGOS DA SILVA ANJOS")</f>
        <v>CEMEI PROFESSORA LINDOMAR DOMINGOS DA SILVA ANJOS</v>
      </c>
      <c r="D119" s="1" t="str">
        <f>IFERROR(__xludf.DUMMYFUNCTION("""COMPUTED_VALUE"""),"26191296")</f>
        <v>26191296</v>
      </c>
      <c r="E119" s="1" t="str">
        <f>IFERROR(__xludf.DUMMYFUNCTION("""COMPUTED_VALUE"""),"INFANTIL 2")</f>
        <v>INFANTIL 2</v>
      </c>
      <c r="F119" s="1" t="str">
        <f>IFERROR(__xludf.DUMMYFUNCTION("""COMPUTED_VALUE"""),"Integral")</f>
        <v>Integral</v>
      </c>
      <c r="G119" s="1" t="str">
        <f>IFERROR(__xludf.DUMMYFUNCTION("""COMPUTED_VALUE"""),"Comum")</f>
        <v>Comum</v>
      </c>
      <c r="H119" s="1" t="str">
        <f>IFERROR(__xludf.DUMMYFUNCTION("""COMPUTED_VALUE"""),"17")</f>
        <v>17</v>
      </c>
      <c r="I119" s="6" t="str">
        <f>IFERROR(__xludf.DUMMYFUNCTION("""COMPUTED_VALUE"""),"26022483885")</f>
        <v>26022483885</v>
      </c>
      <c r="J119" s="1" t="str">
        <f>IFERROR(__xludf.DUMMYFUNCTION("""COMPUTED_VALUE"""),"03/02/2026 19:19:03")</f>
        <v>03/02/2026 19:19:03</v>
      </c>
      <c r="K119" s="1" t="str">
        <f>IFERROR(__xludf.DUMMYFUNCTION("""COMPUTED_VALUE"""),"AYLLA ELOÁ VITÓRIA DA SILVA")</f>
        <v>AYLLA ELOÁ VITÓRIA DA SILVA</v>
      </c>
      <c r="L119" s="5" t="str">
        <f>IFERROR(__xludf.DUMMYFUNCTION("""COMPUTED_VALUE"""),"185.751.114-00")</f>
        <v>185.751.114-00</v>
      </c>
      <c r="M119" s="5" t="str">
        <f>IFERROR(__xludf.DUMMYFUNCTION("""COMPUTED_VALUE"""),"22/06/2023")</f>
        <v>22/06/2023</v>
      </c>
      <c r="N119" s="1"/>
      <c r="O119" s="1" t="str">
        <f>IFERROR(__xludf.DUMMYFUNCTION("""COMPUTED_VALUE"""),"0")</f>
        <v>0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5.75" customHeight="1">
      <c r="A120" s="1"/>
      <c r="B120" s="1" t="str">
        <f t="array" ref="B120">XLOOKUP(C120,Tabela_1[NOME ESCOLA PONTO ID],Tabela_1[REGIONAL],"NE",0)</f>
        <v>REGIONAL 5</v>
      </c>
      <c r="C120" s="3" t="str">
        <f>IFERROR(__xludf.DUMMYFUNCTION("""COMPUTED_VALUE"""),"CEMEI PROFESSORA LINDOMAR DOMINGOS DA SILVA ANJOS")</f>
        <v>CEMEI PROFESSORA LINDOMAR DOMINGOS DA SILVA ANJOS</v>
      </c>
      <c r="D120" s="1" t="str">
        <f>IFERROR(__xludf.DUMMYFUNCTION("""COMPUTED_VALUE"""),"26191296")</f>
        <v>26191296</v>
      </c>
      <c r="E120" s="1" t="str">
        <f>IFERROR(__xludf.DUMMYFUNCTION("""COMPUTED_VALUE"""),"INFANTIL 2")</f>
        <v>INFANTIL 2</v>
      </c>
      <c r="F120" s="1" t="str">
        <f>IFERROR(__xludf.DUMMYFUNCTION("""COMPUTED_VALUE"""),"Integral")</f>
        <v>Integral</v>
      </c>
      <c r="G120" s="1" t="str">
        <f>IFERROR(__xludf.DUMMYFUNCTION("""COMPUTED_VALUE"""),"Comum")</f>
        <v>Comum</v>
      </c>
      <c r="H120" s="1" t="str">
        <f>IFERROR(__xludf.DUMMYFUNCTION("""COMPUTED_VALUE"""),"18")</f>
        <v>18</v>
      </c>
      <c r="I120" s="4" t="str">
        <f>IFERROR(__xludf.DUMMYFUNCTION("""COMPUTED_VALUE"""),"26022375442")</f>
        <v>26022375442</v>
      </c>
      <c r="J120" s="1" t="str">
        <f>IFERROR(__xludf.DUMMYFUNCTION("""COMPUTED_VALUE"""),"04/02/2026 09:54:58")</f>
        <v>04/02/2026 09:54:58</v>
      </c>
      <c r="K120" s="1" t="str">
        <f>IFERROR(__xludf.DUMMYFUNCTION("""COMPUTED_VALUE"""),"ANTHONY MIGUEL MEDEIROS DE LIMA")</f>
        <v>ANTHONY MIGUEL MEDEIROS DE LIMA</v>
      </c>
      <c r="L120" s="5" t="str">
        <f>IFERROR(__xludf.DUMMYFUNCTION("""COMPUTED_VALUE"""),"186.252.964-75")</f>
        <v>186.252.964-75</v>
      </c>
      <c r="M120" s="5" t="str">
        <f>IFERROR(__xludf.DUMMYFUNCTION("""COMPUTED_VALUE"""),"11/07/2023")</f>
        <v>11/07/2023</v>
      </c>
      <c r="N120" s="1"/>
      <c r="O120" s="1" t="str">
        <f>IFERROR(__xludf.DUMMYFUNCTION("""COMPUTED_VALUE"""),"0")</f>
        <v>0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5.75" customHeight="1">
      <c r="A121" s="1"/>
      <c r="B121" s="1" t="str">
        <f t="array" ref="B121">XLOOKUP(C121,Tabela_1[NOME ESCOLA PONTO ID],Tabela_1[REGIONAL],"NE",0)</f>
        <v>REGIONAL 5</v>
      </c>
      <c r="C121" s="3" t="str">
        <f>IFERROR(__xludf.DUMMYFUNCTION("""COMPUTED_VALUE"""),"CEMEI PROFESSORA LINDOMAR DOMINGOS DA SILVA ANJOS")</f>
        <v>CEMEI PROFESSORA LINDOMAR DOMINGOS DA SILVA ANJOS</v>
      </c>
      <c r="D121" s="1" t="str">
        <f>IFERROR(__xludf.DUMMYFUNCTION("""COMPUTED_VALUE"""),"26191296")</f>
        <v>26191296</v>
      </c>
      <c r="E121" s="1" t="str">
        <f>IFERROR(__xludf.DUMMYFUNCTION("""COMPUTED_VALUE"""),"INFANTIL 2")</f>
        <v>INFANTIL 2</v>
      </c>
      <c r="F121" s="1" t="str">
        <f>IFERROR(__xludf.DUMMYFUNCTION("""COMPUTED_VALUE"""),"Integral")</f>
        <v>Integral</v>
      </c>
      <c r="G121" s="1" t="str">
        <f>IFERROR(__xludf.DUMMYFUNCTION("""COMPUTED_VALUE"""),"Comum")</f>
        <v>Comum</v>
      </c>
      <c r="H121" s="1" t="str">
        <f>IFERROR(__xludf.DUMMYFUNCTION("""COMPUTED_VALUE"""),"19")</f>
        <v>19</v>
      </c>
      <c r="I121" s="4" t="str">
        <f>IFERROR(__xludf.DUMMYFUNCTION("""COMPUTED_VALUE"""),"26022391237")</f>
        <v>26022391237</v>
      </c>
      <c r="J121" s="1" t="str">
        <f>IFERROR(__xludf.DUMMYFUNCTION("""COMPUTED_VALUE"""),"04/02/2026 12:41:36")</f>
        <v>04/02/2026 12:41:36</v>
      </c>
      <c r="K121" s="1" t="str">
        <f>IFERROR(__xludf.DUMMYFUNCTION("""COMPUTED_VALUE"""),"ISAAC RAFAEL DA SILVA")</f>
        <v>ISAAC RAFAEL DA SILVA</v>
      </c>
      <c r="L121" s="7" t="str">
        <f>IFERROR(__xludf.DUMMYFUNCTION("""COMPUTED_VALUE"""),"185.156.394-67")</f>
        <v>185.156.394-67</v>
      </c>
      <c r="M121" s="5" t="str">
        <f>IFERROR(__xludf.DUMMYFUNCTION("""COMPUTED_VALUE"""),"17/04/2023")</f>
        <v>17/04/2023</v>
      </c>
      <c r="N121" s="1"/>
      <c r="O121" s="1" t="str">
        <f>IFERROR(__xludf.DUMMYFUNCTION("""COMPUTED_VALUE"""),"0")</f>
        <v>0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5.75" customHeight="1">
      <c r="A122" s="1"/>
      <c r="B122" s="1" t="str">
        <f t="array" ref="B122">XLOOKUP(C122,Tabela_1[NOME ESCOLA PONTO ID],Tabela_1[REGIONAL],"NE",0)</f>
        <v>REGIONAL 5</v>
      </c>
      <c r="C122" s="3" t="str">
        <f>IFERROR(__xludf.DUMMYFUNCTION("""COMPUTED_VALUE"""),"CEMEI PROFESSORA LINDOMAR DOMINGOS DA SILVA ANJOS")</f>
        <v>CEMEI PROFESSORA LINDOMAR DOMINGOS DA SILVA ANJOS</v>
      </c>
      <c r="D122" s="1" t="str">
        <f>IFERROR(__xludf.DUMMYFUNCTION("""COMPUTED_VALUE"""),"26191296")</f>
        <v>26191296</v>
      </c>
      <c r="E122" s="1" t="str">
        <f>IFERROR(__xludf.DUMMYFUNCTION("""COMPUTED_VALUE"""),"INFANTIL 2")</f>
        <v>INFANTIL 2</v>
      </c>
      <c r="F122" s="1" t="str">
        <f>IFERROR(__xludf.DUMMYFUNCTION("""COMPUTED_VALUE"""),"Integral")</f>
        <v>Integral</v>
      </c>
      <c r="G122" s="1" t="str">
        <f>IFERROR(__xludf.DUMMYFUNCTION("""COMPUTED_VALUE"""),"Comum")</f>
        <v>Comum</v>
      </c>
      <c r="H122" s="1" t="str">
        <f>IFERROR(__xludf.DUMMYFUNCTION("""COMPUTED_VALUE"""),"20")</f>
        <v>20</v>
      </c>
      <c r="I122" s="4" t="str">
        <f>IFERROR(__xludf.DUMMYFUNCTION("""COMPUTED_VALUE"""),"26022467088")</f>
        <v>26022467088</v>
      </c>
      <c r="J122" s="1" t="str">
        <f>IFERROR(__xludf.DUMMYFUNCTION("""COMPUTED_VALUE"""),"04/02/2026 15:23:58")</f>
        <v>04/02/2026 15:23:58</v>
      </c>
      <c r="K122" s="1" t="str">
        <f>IFERROR(__xludf.DUMMYFUNCTION("""COMPUTED_VALUE"""),"CALEB RAFAEL LOPES DOS SANTOS")</f>
        <v>CALEB RAFAEL LOPES DOS SANTOS</v>
      </c>
      <c r="L122" s="5" t="str">
        <f>IFERROR(__xludf.DUMMYFUNCTION("""COMPUTED_VALUE"""),"185.570.964-37")</f>
        <v>185.570.964-37</v>
      </c>
      <c r="M122" s="5" t="str">
        <f>IFERROR(__xludf.DUMMYFUNCTION("""COMPUTED_VALUE"""),"05/06/2023")</f>
        <v>05/06/2023</v>
      </c>
      <c r="N122" s="1"/>
      <c r="O122" s="1" t="str">
        <f>IFERROR(__xludf.DUMMYFUNCTION("""COMPUTED_VALUE"""),"0")</f>
        <v>0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5.75" customHeight="1">
      <c r="A123" s="1"/>
      <c r="B123" s="1" t="str">
        <f t="array" ref="B123">XLOOKUP(C123,Tabela_1[NOME ESCOLA PONTO ID],Tabela_1[REGIONAL],"NE",0)</f>
        <v>REGIONAL 5</v>
      </c>
      <c r="C123" s="3" t="str">
        <f>IFERROR(__xludf.DUMMYFUNCTION("""COMPUTED_VALUE"""),"CEMEI PROFESSORA LINDOMAR DOMINGOS DA SILVA ANJOS")</f>
        <v>CEMEI PROFESSORA LINDOMAR DOMINGOS DA SILVA ANJOS</v>
      </c>
      <c r="D123" s="1" t="str">
        <f>IFERROR(__xludf.DUMMYFUNCTION("""COMPUTED_VALUE"""),"26191296")</f>
        <v>26191296</v>
      </c>
      <c r="E123" s="1" t="str">
        <f>IFERROR(__xludf.DUMMYFUNCTION("""COMPUTED_VALUE"""),"INFANTIL 2")</f>
        <v>INFANTIL 2</v>
      </c>
      <c r="F123" s="1" t="str">
        <f>IFERROR(__xludf.DUMMYFUNCTION("""COMPUTED_VALUE"""),"Integral")</f>
        <v>Integral</v>
      </c>
      <c r="G123" s="1" t="str">
        <f>IFERROR(__xludf.DUMMYFUNCTION("""COMPUTED_VALUE"""),"Comum")</f>
        <v>Comum</v>
      </c>
      <c r="H123" s="1" t="str">
        <f>IFERROR(__xludf.DUMMYFUNCTION("""COMPUTED_VALUE"""),"21")</f>
        <v>21</v>
      </c>
      <c r="I123" s="4" t="str">
        <f>IFERROR(__xludf.DUMMYFUNCTION("""COMPUTED_VALUE"""),"26022048043")</f>
        <v>26022048043</v>
      </c>
      <c r="J123" s="1" t="str">
        <f>IFERROR(__xludf.DUMMYFUNCTION("""COMPUTED_VALUE"""),"05/02/2026 16:07:06")</f>
        <v>05/02/2026 16:07:06</v>
      </c>
      <c r="K123" s="1" t="str">
        <f>IFERROR(__xludf.DUMMYFUNCTION("""COMPUTED_VALUE"""),"CLARISSE RENATA MIGUEL AZEVEDO DE ALMEIDA")</f>
        <v>CLARISSE RENATA MIGUEL AZEVEDO DE ALMEIDA</v>
      </c>
      <c r="L123" s="5" t="str">
        <f>IFERROR(__xludf.DUMMYFUNCTION("""COMPUTED_VALUE"""),"186.226.954-84")</f>
        <v>186.226.954-84</v>
      </c>
      <c r="M123" s="5" t="str">
        <f>IFERROR(__xludf.DUMMYFUNCTION("""COMPUTED_VALUE"""),"11/08/2023")</f>
        <v>11/08/2023</v>
      </c>
      <c r="N123" s="1"/>
      <c r="O123" s="1" t="str">
        <f>IFERROR(__xludf.DUMMYFUNCTION("""COMPUTED_VALUE"""),"0")</f>
        <v>0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5.75" customHeight="1">
      <c r="A124" s="1"/>
      <c r="B124" s="1" t="str">
        <f t="array" ref="B124">XLOOKUP(C124,Tabela_1[NOME ESCOLA PONTO ID],Tabela_1[REGIONAL],"NE",0)</f>
        <v>REGIONAL 5</v>
      </c>
      <c r="C124" s="3" t="str">
        <f>IFERROR(__xludf.DUMMYFUNCTION("""COMPUTED_VALUE"""),"CEMEI PROFESSORA LINDOMAR DOMINGOS DA SILVA ANJOS")</f>
        <v>CEMEI PROFESSORA LINDOMAR DOMINGOS DA SILVA ANJOS</v>
      </c>
      <c r="D124" s="1" t="str">
        <f>IFERROR(__xludf.DUMMYFUNCTION("""COMPUTED_VALUE"""),"26191296")</f>
        <v>26191296</v>
      </c>
      <c r="E124" s="1" t="str">
        <f>IFERROR(__xludf.DUMMYFUNCTION("""COMPUTED_VALUE"""),"INFANTIL 2")</f>
        <v>INFANTIL 2</v>
      </c>
      <c r="F124" s="1" t="str">
        <f>IFERROR(__xludf.DUMMYFUNCTION("""COMPUTED_VALUE"""),"Integral")</f>
        <v>Integral</v>
      </c>
      <c r="G124" s="1" t="str">
        <f>IFERROR(__xludf.DUMMYFUNCTION("""COMPUTED_VALUE"""),"Comum")</f>
        <v>Comum</v>
      </c>
      <c r="H124" s="1" t="str">
        <f>IFERROR(__xludf.DUMMYFUNCTION("""COMPUTED_VALUE"""),"22")</f>
        <v>22</v>
      </c>
      <c r="I124" s="4" t="str">
        <f>IFERROR(__xludf.DUMMYFUNCTION("""COMPUTED_VALUE"""),"26022357979")</f>
        <v>26022357979</v>
      </c>
      <c r="J124" s="1" t="str">
        <f>IFERROR(__xludf.DUMMYFUNCTION("""COMPUTED_VALUE"""),"09/02/2026 09:40:47")</f>
        <v>09/02/2026 09:40:47</v>
      </c>
      <c r="K124" s="1" t="str">
        <f>IFERROR(__xludf.DUMMYFUNCTION("""COMPUTED_VALUE"""),"MARIA CECÍLIA DA SILVA")</f>
        <v>MARIA CECÍLIA DA SILVA</v>
      </c>
      <c r="L124" s="5" t="str">
        <f>IFERROR(__xludf.DUMMYFUNCTION("""COMPUTED_VALUE"""),"001.740.454-17")</f>
        <v>001.740.454-17</v>
      </c>
      <c r="M124" s="7" t="str">
        <f>IFERROR(__xludf.DUMMYFUNCTION("""COMPUTED_VALUE"""),"26/01/2024")</f>
        <v>26/01/2024</v>
      </c>
      <c r="N124" s="1"/>
      <c r="O124" s="1" t="str">
        <f>IFERROR(__xludf.DUMMYFUNCTION("""COMPUTED_VALUE"""),"0")</f>
        <v>0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5.75" customHeight="1">
      <c r="A125" s="1"/>
      <c r="B125" s="1" t="str">
        <f t="array" ref="B125">XLOOKUP(C125,Tabela_1[NOME ESCOLA PONTO ID],Tabela_1[REGIONAL],"NE",0)</f>
        <v>REGIONAL 5</v>
      </c>
      <c r="C125" s="3" t="str">
        <f>IFERROR(__xludf.DUMMYFUNCTION("""COMPUTED_VALUE"""),"CEMEI PROFESSORA LINDOMAR DOMINGOS DA SILVA ANJOS")</f>
        <v>CEMEI PROFESSORA LINDOMAR DOMINGOS DA SILVA ANJOS</v>
      </c>
      <c r="D125" s="1" t="str">
        <f>IFERROR(__xludf.DUMMYFUNCTION("""COMPUTED_VALUE"""),"26191296")</f>
        <v>26191296</v>
      </c>
      <c r="E125" s="1" t="str">
        <f>IFERROR(__xludf.DUMMYFUNCTION("""COMPUTED_VALUE"""),"INFANTIL 2")</f>
        <v>INFANTIL 2</v>
      </c>
      <c r="F125" s="1" t="str">
        <f>IFERROR(__xludf.DUMMYFUNCTION("""COMPUTED_VALUE"""),"Integral")</f>
        <v>Integral</v>
      </c>
      <c r="G125" s="1" t="str">
        <f>IFERROR(__xludf.DUMMYFUNCTION("""COMPUTED_VALUE"""),"Comum")</f>
        <v>Comum</v>
      </c>
      <c r="H125" s="1" t="str">
        <f>IFERROR(__xludf.DUMMYFUNCTION("""COMPUTED_VALUE"""),"23")</f>
        <v>23</v>
      </c>
      <c r="I125" s="4" t="str">
        <f>IFERROR(__xludf.DUMMYFUNCTION("""COMPUTED_VALUE"""),"26022515763")</f>
        <v>26022515763</v>
      </c>
      <c r="J125" s="1" t="str">
        <f>IFERROR(__xludf.DUMMYFUNCTION("""COMPUTED_VALUE"""),"10/02/2026 07:55:39")</f>
        <v>10/02/2026 07:55:39</v>
      </c>
      <c r="K125" s="1" t="str">
        <f>IFERROR(__xludf.DUMMYFUNCTION("""COMPUTED_VALUE"""),"MIGUEL BARRETO GOMES")</f>
        <v>MIGUEL BARRETO GOMES</v>
      </c>
      <c r="L125" s="5" t="str">
        <f>IFERROR(__xludf.DUMMYFUNCTION("""COMPUTED_VALUE"""),"001.204.304-44")</f>
        <v>001.204.304-44</v>
      </c>
      <c r="M125" s="5" t="str">
        <f>IFERROR(__xludf.DUMMYFUNCTION("""COMPUTED_VALUE"""),"07/12/2023")</f>
        <v>07/12/2023</v>
      </c>
      <c r="N125" s="1"/>
      <c r="O125" s="1" t="str">
        <f>IFERROR(__xludf.DUMMYFUNCTION("""COMPUTED_VALUE"""),"0")</f>
        <v>0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5.75" customHeight="1">
      <c r="A126" s="1"/>
      <c r="B126" s="1" t="str">
        <f t="array" ref="B126">XLOOKUP(C126,Tabela_1[NOME ESCOLA PONTO ID],Tabela_1[REGIONAL],"NE",0)</f>
        <v>REGIONAL 5</v>
      </c>
      <c r="C126" s="3" t="str">
        <f>IFERROR(__xludf.DUMMYFUNCTION("""COMPUTED_VALUE"""),"CEMEI PROFESSORA LINDOMAR DOMINGOS DA SILVA ANJOS")</f>
        <v>CEMEI PROFESSORA LINDOMAR DOMINGOS DA SILVA ANJOS</v>
      </c>
      <c r="D126" s="1" t="str">
        <f>IFERROR(__xludf.DUMMYFUNCTION("""COMPUTED_VALUE"""),"26191296")</f>
        <v>26191296</v>
      </c>
      <c r="E126" s="1" t="str">
        <f>IFERROR(__xludf.DUMMYFUNCTION("""COMPUTED_VALUE"""),"INFANTIL 2")</f>
        <v>INFANTIL 2</v>
      </c>
      <c r="F126" s="1" t="str">
        <f>IFERROR(__xludf.DUMMYFUNCTION("""COMPUTED_VALUE"""),"Integral")</f>
        <v>Integral</v>
      </c>
      <c r="G126" s="1" t="str">
        <f>IFERROR(__xludf.DUMMYFUNCTION("""COMPUTED_VALUE"""),"Comum")</f>
        <v>Comum</v>
      </c>
      <c r="H126" s="1" t="str">
        <f>IFERROR(__xludf.DUMMYFUNCTION("""COMPUTED_VALUE"""),"24")</f>
        <v>24</v>
      </c>
      <c r="I126" s="4" t="str">
        <f>IFERROR(__xludf.DUMMYFUNCTION("""COMPUTED_VALUE"""),"26022346097")</f>
        <v>26022346097</v>
      </c>
      <c r="J126" s="1" t="str">
        <f>IFERROR(__xludf.DUMMYFUNCTION("""COMPUTED_VALUE"""),"10/02/2026 08:09:08")</f>
        <v>10/02/2026 08:09:08</v>
      </c>
      <c r="K126" s="1" t="str">
        <f>IFERROR(__xludf.DUMMYFUNCTION("""COMPUTED_VALUE"""),"GAEL LEVI MARQUES DE LIMA")</f>
        <v>GAEL LEVI MARQUES DE LIMA</v>
      </c>
      <c r="L126" s="5" t="str">
        <f>IFERROR(__xludf.DUMMYFUNCTION("""COMPUTED_VALUE"""),"185.616.944-83")</f>
        <v>185.616.944-83</v>
      </c>
      <c r="M126" s="5" t="str">
        <f>IFERROR(__xludf.DUMMYFUNCTION("""COMPUTED_VALUE"""),"08/06/2023")</f>
        <v>08/06/2023</v>
      </c>
      <c r="N126" s="1"/>
      <c r="O126" s="1" t="str">
        <f>IFERROR(__xludf.DUMMYFUNCTION("""COMPUTED_VALUE"""),"0")</f>
        <v>0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5.75" customHeight="1">
      <c r="A127" s="1"/>
      <c r="B127" s="1" t="str">
        <f t="array" ref="B127">XLOOKUP(C127,Tabela_1[NOME ESCOLA PONTO ID],Tabela_1[REGIONAL],"NE",0)</f>
        <v>REGIONAL 5</v>
      </c>
      <c r="C127" s="3" t="str">
        <f>IFERROR(__xludf.DUMMYFUNCTION("""COMPUTED_VALUE"""),"CEMEI PROFESSORA LINDOMAR DOMINGOS DA SILVA ANJOS")</f>
        <v>CEMEI PROFESSORA LINDOMAR DOMINGOS DA SILVA ANJOS</v>
      </c>
      <c r="D127" s="1" t="str">
        <f>IFERROR(__xludf.DUMMYFUNCTION("""COMPUTED_VALUE"""),"26191296")</f>
        <v>26191296</v>
      </c>
      <c r="E127" s="1" t="str">
        <f>IFERROR(__xludf.DUMMYFUNCTION("""COMPUTED_VALUE"""),"INFANTIL 2")</f>
        <v>INFANTIL 2</v>
      </c>
      <c r="F127" s="1" t="str">
        <f>IFERROR(__xludf.DUMMYFUNCTION("""COMPUTED_VALUE"""),"Integral")</f>
        <v>Integral</v>
      </c>
      <c r="G127" s="1" t="str">
        <f>IFERROR(__xludf.DUMMYFUNCTION("""COMPUTED_VALUE"""),"Comum")</f>
        <v>Comum</v>
      </c>
      <c r="H127" s="1" t="str">
        <f>IFERROR(__xludf.DUMMYFUNCTION("""COMPUTED_VALUE"""),"25")</f>
        <v>25</v>
      </c>
      <c r="I127" s="4" t="str">
        <f>IFERROR(__xludf.DUMMYFUNCTION("""COMPUTED_VALUE"""),"26022325987")</f>
        <v>26022325987</v>
      </c>
      <c r="J127" s="1" t="str">
        <f>IFERROR(__xludf.DUMMYFUNCTION("""COMPUTED_VALUE"""),"10/02/2026 11:18:19")</f>
        <v>10/02/2026 11:18:19</v>
      </c>
      <c r="K127" s="1" t="str">
        <f>IFERROR(__xludf.DUMMYFUNCTION("""COMPUTED_VALUE"""),"JAERLLYSON JOSUE ANDRADE DA SILVA")</f>
        <v>JAERLLYSON JOSUE ANDRADE DA SILVA</v>
      </c>
      <c r="L127" s="5" t="str">
        <f>IFERROR(__xludf.DUMMYFUNCTION("""COMPUTED_VALUE"""),"185.899.144-70")</f>
        <v>185.899.144-70</v>
      </c>
      <c r="M127" s="5" t="str">
        <f>IFERROR(__xludf.DUMMYFUNCTION("""COMPUTED_VALUE"""),"05/07/2023")</f>
        <v>05/07/2023</v>
      </c>
      <c r="N127" s="1"/>
      <c r="O127" s="1" t="str">
        <f>IFERROR(__xludf.DUMMYFUNCTION("""COMPUTED_VALUE"""),"0")</f>
        <v>0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5.75" customHeight="1">
      <c r="A128" s="1"/>
      <c r="B128" s="1" t="str">
        <f t="array" ref="B128">XLOOKUP(C128,Tabela_1[NOME ESCOLA PONTO ID],Tabela_1[REGIONAL],"NE",0)</f>
        <v>REGIONAL 5</v>
      </c>
      <c r="C128" s="3" t="str">
        <f>IFERROR(__xludf.DUMMYFUNCTION("""COMPUTED_VALUE"""),"CEMEI PROFESSORA LINDOMAR DOMINGOS DA SILVA ANJOS")</f>
        <v>CEMEI PROFESSORA LINDOMAR DOMINGOS DA SILVA ANJOS</v>
      </c>
      <c r="D128" s="1" t="str">
        <f>IFERROR(__xludf.DUMMYFUNCTION("""COMPUTED_VALUE"""),"26191296")</f>
        <v>26191296</v>
      </c>
      <c r="E128" s="1" t="str">
        <f>IFERROR(__xludf.DUMMYFUNCTION("""COMPUTED_VALUE"""),"INFANTIL 2")</f>
        <v>INFANTIL 2</v>
      </c>
      <c r="F128" s="1" t="str">
        <f>IFERROR(__xludf.DUMMYFUNCTION("""COMPUTED_VALUE"""),"Integral")</f>
        <v>Integral</v>
      </c>
      <c r="G128" s="1" t="str">
        <f>IFERROR(__xludf.DUMMYFUNCTION("""COMPUTED_VALUE"""),"Comum")</f>
        <v>Comum</v>
      </c>
      <c r="H128" s="1" t="str">
        <f>IFERROR(__xludf.DUMMYFUNCTION("""COMPUTED_VALUE"""),"26")</f>
        <v>26</v>
      </c>
      <c r="I128" s="4" t="str">
        <f>IFERROR(__xludf.DUMMYFUNCTION("""COMPUTED_VALUE"""),"26022567663")</f>
        <v>26022567663</v>
      </c>
      <c r="J128" s="1" t="str">
        <f>IFERROR(__xludf.DUMMYFUNCTION("""COMPUTED_VALUE"""),"11/02/2026 13:53:52")</f>
        <v>11/02/2026 13:53:52</v>
      </c>
      <c r="K128" s="1" t="str">
        <f>IFERROR(__xludf.DUMMYFUNCTION("""COMPUTED_VALUE"""),"YARA MELISSA VALENTINA DA SILVA NEVES")</f>
        <v>YARA MELISSA VALENTINA DA SILVA NEVES</v>
      </c>
      <c r="L128" s="5" t="str">
        <f>IFERROR(__xludf.DUMMYFUNCTION("""COMPUTED_VALUE"""),"000.986.854-22")</f>
        <v>000.986.854-22</v>
      </c>
      <c r="M128" s="5" t="str">
        <f>IFERROR(__xludf.DUMMYFUNCTION("""COMPUTED_VALUE"""),"10/11/2023")</f>
        <v>10/11/2023</v>
      </c>
      <c r="N128" s="1"/>
      <c r="O128" s="1" t="str">
        <f>IFERROR(__xludf.DUMMYFUNCTION("""COMPUTED_VALUE"""),"0")</f>
        <v>0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5.75" customHeight="1">
      <c r="A129" s="1"/>
      <c r="B129" s="1" t="str">
        <f t="array" ref="B129">XLOOKUP(C129,Tabela_1[NOME ESCOLA PONTO ID],Tabela_1[REGIONAL],"NE",0)</f>
        <v>REGIONAL 5</v>
      </c>
      <c r="C129" s="3" t="str">
        <f>IFERROR(__xludf.DUMMYFUNCTION("""COMPUTED_VALUE"""),"CEMEI PROFESSORA LINDOMAR DOMINGOS DA SILVA ANJOS")</f>
        <v>CEMEI PROFESSORA LINDOMAR DOMINGOS DA SILVA ANJOS</v>
      </c>
      <c r="D129" s="1" t="str">
        <f>IFERROR(__xludf.DUMMYFUNCTION("""COMPUTED_VALUE"""),"26191296")</f>
        <v>26191296</v>
      </c>
      <c r="E129" s="1" t="str">
        <f>IFERROR(__xludf.DUMMYFUNCTION("""COMPUTED_VALUE"""),"INFANTIL 2")</f>
        <v>INFANTIL 2</v>
      </c>
      <c r="F129" s="1" t="str">
        <f>IFERROR(__xludf.DUMMYFUNCTION("""COMPUTED_VALUE"""),"Integral")</f>
        <v>Integral</v>
      </c>
      <c r="G129" s="1" t="str">
        <f>IFERROR(__xludf.DUMMYFUNCTION("""COMPUTED_VALUE"""),"Comum")</f>
        <v>Comum</v>
      </c>
      <c r="H129" s="1" t="str">
        <f>IFERROR(__xludf.DUMMYFUNCTION("""COMPUTED_VALUE"""),"27")</f>
        <v>27</v>
      </c>
      <c r="I129" s="4" t="str">
        <f>IFERROR(__xludf.DUMMYFUNCTION("""COMPUTED_VALUE"""),"26022411139")</f>
        <v>26022411139</v>
      </c>
      <c r="J129" s="1" t="str">
        <f>IFERROR(__xludf.DUMMYFUNCTION("""COMPUTED_VALUE"""),"19/02/2026 09:30:52")</f>
        <v>19/02/2026 09:30:52</v>
      </c>
      <c r="K129" s="1" t="str">
        <f>IFERROR(__xludf.DUMMYFUNCTION("""COMPUTED_VALUE"""),"BEN DE SOUZA FRANCISCO")</f>
        <v>BEN DE SOUZA FRANCISCO</v>
      </c>
      <c r="L129" s="5" t="str">
        <f>IFERROR(__xludf.DUMMYFUNCTION("""COMPUTED_VALUE"""),"185.296.954-70")</f>
        <v>185.296.954-70</v>
      </c>
      <c r="M129" s="5" t="str">
        <f>IFERROR(__xludf.DUMMYFUNCTION("""COMPUTED_VALUE"""),"25/04/2023")</f>
        <v>25/04/2023</v>
      </c>
      <c r="N129" s="1"/>
      <c r="O129" s="1" t="str">
        <f>IFERROR(__xludf.DUMMYFUNCTION("""COMPUTED_VALUE"""),"0")</f>
        <v>0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5.75" customHeight="1">
      <c r="A130" s="1"/>
      <c r="B130" s="1" t="str">
        <f t="array" ref="B130">XLOOKUP(C130,Tabela_1[NOME ESCOLA PONTO ID],Tabela_1[REGIONAL],"NE",0)</f>
        <v>REGIONAL 5</v>
      </c>
      <c r="C130" s="3" t="str">
        <f>IFERROR(__xludf.DUMMYFUNCTION("""COMPUTED_VALUE"""),"CEMEI PROFESSORA LINDOMAR DOMINGOS DA SILVA ANJOS")</f>
        <v>CEMEI PROFESSORA LINDOMAR DOMINGOS DA SILVA ANJOS</v>
      </c>
      <c r="D130" s="1" t="str">
        <f>IFERROR(__xludf.DUMMYFUNCTION("""COMPUTED_VALUE"""),"26191296")</f>
        <v>26191296</v>
      </c>
      <c r="E130" s="1" t="str">
        <f>IFERROR(__xludf.DUMMYFUNCTION("""COMPUTED_VALUE"""),"INFANTIL 2")</f>
        <v>INFANTIL 2</v>
      </c>
      <c r="F130" s="1" t="str">
        <f>IFERROR(__xludf.DUMMYFUNCTION("""COMPUTED_VALUE"""),"Integral")</f>
        <v>Integral</v>
      </c>
      <c r="G130" s="1" t="str">
        <f>IFERROR(__xludf.DUMMYFUNCTION("""COMPUTED_VALUE"""),"Comum")</f>
        <v>Comum</v>
      </c>
      <c r="H130" s="1" t="str">
        <f>IFERROR(__xludf.DUMMYFUNCTION("""COMPUTED_VALUE"""),"28")</f>
        <v>28</v>
      </c>
      <c r="I130" s="4" t="str">
        <f>IFERROR(__xludf.DUMMYFUNCTION("""COMPUTED_VALUE"""),"26032002382")</f>
        <v>26032002382</v>
      </c>
      <c r="J130" s="1" t="str">
        <f>IFERROR(__xludf.DUMMYFUNCTION("""COMPUTED_VALUE"""),"03/03/2026 12:02:06")</f>
        <v>03/03/2026 12:02:06</v>
      </c>
      <c r="K130" s="1" t="str">
        <f>IFERROR(__xludf.DUMMYFUNCTION("""COMPUTED_VALUE"""),"HEITOR BEZERRA DA SILVA")</f>
        <v>HEITOR BEZERRA DA SILVA</v>
      </c>
      <c r="L130" s="5" t="str">
        <f>IFERROR(__xludf.DUMMYFUNCTION("""COMPUTED_VALUE"""),"185.815.174-04")</f>
        <v>185.815.174-04</v>
      </c>
      <c r="M130" s="5" t="str">
        <f>IFERROR(__xludf.DUMMYFUNCTION("""COMPUTED_VALUE"""),"27/06/2023")</f>
        <v>27/06/2023</v>
      </c>
      <c r="N130" s="1"/>
      <c r="O130" s="1" t="str">
        <f>IFERROR(__xludf.DUMMYFUNCTION("""COMPUTED_VALUE"""),"0")</f>
        <v>0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5.75" customHeight="1">
      <c r="A131" s="1"/>
      <c r="B131" s="1" t="str">
        <f t="array" ref="B131">XLOOKUP(C131,Tabela_1[NOME ESCOLA PONTO ID],Tabela_1[REGIONAL],"NE",0)</f>
        <v>REGIONAL 5</v>
      </c>
      <c r="C131" s="3" t="str">
        <f>IFERROR(__xludf.DUMMYFUNCTION("""COMPUTED_VALUE"""),"CEMEI PROFESSORA LINDOMAR DOMINGOS DA SILVA ANJOS")</f>
        <v>CEMEI PROFESSORA LINDOMAR DOMINGOS DA SILVA ANJOS</v>
      </c>
      <c r="D131" s="1" t="str">
        <f>IFERROR(__xludf.DUMMYFUNCTION("""COMPUTED_VALUE"""),"26191296")</f>
        <v>26191296</v>
      </c>
      <c r="E131" s="1" t="str">
        <f>IFERROR(__xludf.DUMMYFUNCTION("""COMPUTED_VALUE"""),"INFANTIL 2")</f>
        <v>INFANTIL 2</v>
      </c>
      <c r="F131" s="1" t="str">
        <f>IFERROR(__xludf.DUMMYFUNCTION("""COMPUTED_VALUE"""),"Integral")</f>
        <v>Integral</v>
      </c>
      <c r="G131" s="1" t="str">
        <f>IFERROR(__xludf.DUMMYFUNCTION("""COMPUTED_VALUE"""),"Comum")</f>
        <v>Comum</v>
      </c>
      <c r="H131" s="1" t="str">
        <f>IFERROR(__xludf.DUMMYFUNCTION("""COMPUTED_VALUE"""),"29")</f>
        <v>29</v>
      </c>
      <c r="I131" s="4" t="str">
        <f>IFERROR(__xludf.DUMMYFUNCTION("""COMPUTED_VALUE"""),"26032341144")</f>
        <v>26032341144</v>
      </c>
      <c r="J131" s="1" t="str">
        <f>IFERROR(__xludf.DUMMYFUNCTION("""COMPUTED_VALUE"""),"04/03/2026 07:55:35")</f>
        <v>04/03/2026 07:55:35</v>
      </c>
      <c r="K131" s="1" t="str">
        <f>IFERROR(__xludf.DUMMYFUNCTION("""COMPUTED_VALUE"""),"ANTHONY GABRIEL PEREIRA DA SILVA")</f>
        <v>ANTHONY GABRIEL PEREIRA DA SILVA</v>
      </c>
      <c r="L131" s="5" t="str">
        <f>IFERROR(__xludf.DUMMYFUNCTION("""COMPUTED_VALUE"""),"001.086.874-73")</f>
        <v>001.086.874-73</v>
      </c>
      <c r="M131" s="5" t="str">
        <f>IFERROR(__xludf.DUMMYFUNCTION("""COMPUTED_VALUE"""),"16/11/2023")</f>
        <v>16/11/2023</v>
      </c>
      <c r="N131" s="1"/>
      <c r="O131" s="1" t="str">
        <f>IFERROR(__xludf.DUMMYFUNCTION("""COMPUTED_VALUE"""),"0")</f>
        <v>0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5.75" customHeight="1">
      <c r="A132" s="1"/>
      <c r="B132" s="1" t="str">
        <f t="array" ref="B132">XLOOKUP(C132,Tabela_1[NOME ESCOLA PONTO ID],Tabela_1[REGIONAL],"NE",0)</f>
        <v>REGIONAL 5</v>
      </c>
      <c r="C132" s="3" t="str">
        <f>IFERROR(__xludf.DUMMYFUNCTION("""COMPUTED_VALUE"""),"CEMEI PROFESSORA LINDOMAR DOMINGOS DA SILVA ANJOS")</f>
        <v>CEMEI PROFESSORA LINDOMAR DOMINGOS DA SILVA ANJOS</v>
      </c>
      <c r="D132" s="1" t="str">
        <f>IFERROR(__xludf.DUMMYFUNCTION("""COMPUTED_VALUE"""),"26191296")</f>
        <v>26191296</v>
      </c>
      <c r="E132" s="1" t="str">
        <f>IFERROR(__xludf.DUMMYFUNCTION("""COMPUTED_VALUE"""),"INFANTIL 2")</f>
        <v>INFANTIL 2</v>
      </c>
      <c r="F132" s="1" t="str">
        <f>IFERROR(__xludf.DUMMYFUNCTION("""COMPUTED_VALUE"""),"Integral")</f>
        <v>Integral</v>
      </c>
      <c r="G132" s="1" t="str">
        <f>IFERROR(__xludf.DUMMYFUNCTION("""COMPUTED_VALUE"""),"Comum")</f>
        <v>Comum</v>
      </c>
      <c r="H132" s="1" t="str">
        <f>IFERROR(__xludf.DUMMYFUNCTION("""COMPUTED_VALUE"""),"30")</f>
        <v>30</v>
      </c>
      <c r="I132" s="4" t="str">
        <f>IFERROR(__xludf.DUMMYFUNCTION("""COMPUTED_VALUE"""),"26032537108")</f>
        <v>26032537108</v>
      </c>
      <c r="J132" s="1" t="str">
        <f>IFERROR(__xludf.DUMMYFUNCTION("""COMPUTED_VALUE"""),"12/03/2026 11:41:32")</f>
        <v>12/03/2026 11:41:32</v>
      </c>
      <c r="K132" s="1" t="str">
        <f>IFERROR(__xludf.DUMMYFUNCTION("""COMPUTED_VALUE"""),"ANTHONY HENRIQUE SANTOS DA SILVA")</f>
        <v>ANTHONY HENRIQUE SANTOS DA SILVA</v>
      </c>
      <c r="L132" s="7" t="str">
        <f>IFERROR(__xludf.DUMMYFUNCTION("""COMPUTED_VALUE"""),"186.598.194-03")</f>
        <v>186.598.194-03</v>
      </c>
      <c r="M132" s="7" t="str">
        <f>IFERROR(__xludf.DUMMYFUNCTION("""COMPUTED_VALUE"""),"21/09/2023")</f>
        <v>21/09/2023</v>
      </c>
      <c r="N132" s="1"/>
      <c r="O132" s="1" t="str">
        <f>IFERROR(__xludf.DUMMYFUNCTION("""COMPUTED_VALUE"""),"0")</f>
        <v>0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5.75" customHeight="1">
      <c r="A133" s="1"/>
      <c r="B133" s="1" t="str">
        <f t="array" ref="B133">XLOOKUP(C133,Tabela_1[NOME ESCOLA PONTO ID],Tabela_1[REGIONAL],"NE",0)</f>
        <v>REGIONAL 5</v>
      </c>
      <c r="C133" s="3" t="str">
        <f>IFERROR(__xludf.DUMMYFUNCTION("""COMPUTED_VALUE"""),"CEMEI PROFESSORA LINDOMAR DOMINGOS DA SILVA ANJOS")</f>
        <v>CEMEI PROFESSORA LINDOMAR DOMINGOS DA SILVA ANJOS</v>
      </c>
      <c r="D133" s="1" t="str">
        <f>IFERROR(__xludf.DUMMYFUNCTION("""COMPUTED_VALUE"""),"26191296")</f>
        <v>26191296</v>
      </c>
      <c r="E133" s="1" t="str">
        <f>IFERROR(__xludf.DUMMYFUNCTION("""COMPUTED_VALUE"""),"INFANTIL 2")</f>
        <v>INFANTIL 2</v>
      </c>
      <c r="F133" s="1" t="str">
        <f>IFERROR(__xludf.DUMMYFUNCTION("""COMPUTED_VALUE"""),"Integral")</f>
        <v>Integral</v>
      </c>
      <c r="G133" s="1" t="str">
        <f>IFERROR(__xludf.DUMMYFUNCTION("""COMPUTED_VALUE"""),"Comum")</f>
        <v>Comum</v>
      </c>
      <c r="H133" s="1" t="str">
        <f>IFERROR(__xludf.DUMMYFUNCTION("""COMPUTED_VALUE"""),"31")</f>
        <v>31</v>
      </c>
      <c r="I133" s="4" t="str">
        <f>IFERROR(__xludf.DUMMYFUNCTION("""COMPUTED_VALUE"""),"26042982355")</f>
        <v>26042982355</v>
      </c>
      <c r="J133" s="1" t="str">
        <f>IFERROR(__xludf.DUMMYFUNCTION("""COMPUTED_VALUE"""),"25/04/2026 06:48:05")</f>
        <v>25/04/2026 06:48:05</v>
      </c>
      <c r="K133" s="1" t="str">
        <f>IFERROR(__xludf.DUMMYFUNCTION("""COMPUTED_VALUE"""),"CECÍLIA MORAES DE ABREU")</f>
        <v>CECÍLIA MORAES DE ABREU</v>
      </c>
      <c r="L133" s="5" t="str">
        <f>IFERROR(__xludf.DUMMYFUNCTION("""COMPUTED_VALUE"""),"000.222.764-91")</f>
        <v>000.222.764-91</v>
      </c>
      <c r="M133" s="5" t="str">
        <f>IFERROR(__xludf.DUMMYFUNCTION("""COMPUTED_VALUE"""),"23/09/2023")</f>
        <v>23/09/2023</v>
      </c>
      <c r="N133" s="1"/>
      <c r="O133" s="1" t="str">
        <f>IFERROR(__xludf.DUMMYFUNCTION("""COMPUTED_VALUE"""),"0")</f>
        <v>0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5.75" customHeight="1">
      <c r="A134" s="1"/>
      <c r="B134" s="1" t="str">
        <f t="array" ref="B134">XLOOKUP(C134,Tabela_1[NOME ESCOLA PONTO ID],Tabela_1[REGIONAL],"NE",0)</f>
        <v>REGIONAL 5</v>
      </c>
      <c r="C134" s="3" t="str">
        <f>IFERROR(__xludf.DUMMYFUNCTION("""COMPUTED_VALUE"""),"CEMEI PROFESSORA LINDOMAR DOMINGOS DA SILVA ANJOS")</f>
        <v>CEMEI PROFESSORA LINDOMAR DOMINGOS DA SILVA ANJOS</v>
      </c>
      <c r="D134" s="1" t="str">
        <f>IFERROR(__xludf.DUMMYFUNCTION("""COMPUTED_VALUE"""),"26191296")</f>
        <v>26191296</v>
      </c>
      <c r="E134" s="1" t="str">
        <f>IFERROR(__xludf.DUMMYFUNCTION("""COMPUTED_VALUE"""),"INFANTIL 2")</f>
        <v>INFANTIL 2</v>
      </c>
      <c r="F134" s="1" t="str">
        <f>IFERROR(__xludf.DUMMYFUNCTION("""COMPUTED_VALUE"""),"Integral")</f>
        <v>Integral</v>
      </c>
      <c r="G134" s="1" t="str">
        <f>IFERROR(__xludf.DUMMYFUNCTION("""COMPUTED_VALUE"""),"Comum")</f>
        <v>Comum</v>
      </c>
      <c r="H134" s="1" t="str">
        <f>IFERROR(__xludf.DUMMYFUNCTION("""COMPUTED_VALUE"""),"32")</f>
        <v>32</v>
      </c>
      <c r="I134" s="4" t="str">
        <f>IFERROR(__xludf.DUMMYFUNCTION("""COMPUTED_VALUE"""),"26062466931")</f>
        <v>26062466931</v>
      </c>
      <c r="J134" s="1" t="str">
        <f>IFERROR(__xludf.DUMMYFUNCTION("""COMPUTED_VALUE"""),"29/06/2026 09:11:46")</f>
        <v>29/06/2026 09:11:46</v>
      </c>
      <c r="K134" s="1" t="str">
        <f>IFERROR(__xludf.DUMMYFUNCTION("""COMPUTED_VALUE"""),"KALEB RUAN BARBOZA DA SILVA")</f>
        <v>KALEB RUAN BARBOZA DA SILVA</v>
      </c>
      <c r="L134" s="5" t="str">
        <f>IFERROR(__xludf.DUMMYFUNCTION("""COMPUTED_VALUE"""),"001.982.434-30")</f>
        <v>001.982.434-30</v>
      </c>
      <c r="M134" s="5" t="str">
        <f>IFERROR(__xludf.DUMMYFUNCTION("""COMPUTED_VALUE"""),"16/02/2024")</f>
        <v>16/02/2024</v>
      </c>
      <c r="N134" s="1"/>
      <c r="O134" s="1" t="str">
        <f>IFERROR(__xludf.DUMMYFUNCTION("""COMPUTED_VALUE"""),"0")</f>
        <v>0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5.75" customHeight="1">
      <c r="A135" s="1"/>
      <c r="B135" s="1" t="str">
        <f t="array" ref="B135">XLOOKUP(C135,Tabela_1[NOME ESCOLA PONTO ID],Tabela_1[REGIONAL],"NE",0)</f>
        <v>REGIONAL 5</v>
      </c>
      <c r="C135" s="3" t="str">
        <f>IFERROR(__xludf.DUMMYFUNCTION("""COMPUTED_VALUE"""),"CEMEI PROFESSORA LINDOMAR DOMINGOS DA SILVA ANJOS")</f>
        <v>CEMEI PROFESSORA LINDOMAR DOMINGOS DA SILVA ANJOS</v>
      </c>
      <c r="D135" s="1" t="str">
        <f>IFERROR(__xludf.DUMMYFUNCTION("""COMPUTED_VALUE"""),"26191296")</f>
        <v>26191296</v>
      </c>
      <c r="E135" s="1" t="str">
        <f>IFERROR(__xludf.DUMMYFUNCTION("""COMPUTED_VALUE"""),"INFANTIL 3")</f>
        <v>INFANTIL 3</v>
      </c>
      <c r="F135" s="1" t="str">
        <f>IFERROR(__xludf.DUMMYFUNCTION("""COMPUTED_VALUE"""),"Integral")</f>
        <v>Integral</v>
      </c>
      <c r="G135" s="1" t="str">
        <f>IFERROR(__xludf.DUMMYFUNCTION("""COMPUTED_VALUE"""),"Comum")</f>
        <v>Comum</v>
      </c>
      <c r="H135" s="1" t="str">
        <f>IFERROR(__xludf.DUMMYFUNCTION("""COMPUTED_VALUE"""),"1")</f>
        <v>1</v>
      </c>
      <c r="I135" s="4" t="str">
        <f>IFERROR(__xludf.DUMMYFUNCTION("""COMPUTED_VALUE"""),"26012022643")</f>
        <v>26012022643</v>
      </c>
      <c r="J135" s="1" t="str">
        <f>IFERROR(__xludf.DUMMYFUNCTION("""COMPUTED_VALUE"""),"28/01/2026 08:09:51")</f>
        <v>28/01/2026 08:09:51</v>
      </c>
      <c r="K135" s="1" t="str">
        <f>IFERROR(__xludf.DUMMYFUNCTION("""COMPUTED_VALUE"""),"JÚLIA VITÓRIA MARTINS DA SILVA SANTOS")</f>
        <v>JÚLIA VITÓRIA MARTINS DA SILVA SANTOS</v>
      </c>
      <c r="L135" s="5" t="str">
        <f>IFERROR(__xludf.DUMMYFUNCTION("""COMPUTED_VALUE"""),"182.893.304-05")</f>
        <v>182.893.304-05</v>
      </c>
      <c r="M135" s="5" t="str">
        <f>IFERROR(__xludf.DUMMYFUNCTION("""COMPUTED_VALUE"""),"11/08/2022")</f>
        <v>11/08/2022</v>
      </c>
      <c r="N135" s="1"/>
      <c r="O135" s="1" t="str">
        <f>IFERROR(__xludf.DUMMYFUNCTION("""COMPUTED_VALUE"""),"0")</f>
        <v>0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5.75" customHeight="1">
      <c r="A136" s="1"/>
      <c r="B136" s="1" t="str">
        <f t="array" ref="B136">XLOOKUP(C136,Tabela_1[NOME ESCOLA PONTO ID],Tabela_1[REGIONAL],"NE",0)</f>
        <v>REGIONAL 5</v>
      </c>
      <c r="C136" s="3" t="str">
        <f>IFERROR(__xludf.DUMMYFUNCTION("""COMPUTED_VALUE"""),"CEMEI PROFESSORA LINDOMAR DOMINGOS DA SILVA ANJOS")</f>
        <v>CEMEI PROFESSORA LINDOMAR DOMINGOS DA SILVA ANJOS</v>
      </c>
      <c r="D136" s="1" t="str">
        <f>IFERROR(__xludf.DUMMYFUNCTION("""COMPUTED_VALUE"""),"26191296")</f>
        <v>26191296</v>
      </c>
      <c r="E136" s="1" t="str">
        <f>IFERROR(__xludf.DUMMYFUNCTION("""COMPUTED_VALUE"""),"INFANTIL 3")</f>
        <v>INFANTIL 3</v>
      </c>
      <c r="F136" s="1" t="str">
        <f>IFERROR(__xludf.DUMMYFUNCTION("""COMPUTED_VALUE"""),"Integral")</f>
        <v>Integral</v>
      </c>
      <c r="G136" s="1" t="str">
        <f>IFERROR(__xludf.DUMMYFUNCTION("""COMPUTED_VALUE"""),"Comum")</f>
        <v>Comum</v>
      </c>
      <c r="H136" s="1" t="str">
        <f>IFERROR(__xludf.DUMMYFUNCTION("""COMPUTED_VALUE"""),"2")</f>
        <v>2</v>
      </c>
      <c r="I136" s="4" t="str">
        <f>IFERROR(__xludf.DUMMYFUNCTION("""COMPUTED_VALUE"""),"26012216145")</f>
        <v>26012216145</v>
      </c>
      <c r="J136" s="1" t="str">
        <f>IFERROR(__xludf.DUMMYFUNCTION("""COMPUTED_VALUE"""),"28/01/2026 08:18:50")</f>
        <v>28/01/2026 08:18:50</v>
      </c>
      <c r="K136" s="1" t="str">
        <f>IFERROR(__xludf.DUMMYFUNCTION("""COMPUTED_VALUE"""),"THOMAS SHELBY ALMEIDA SANTOS")</f>
        <v>THOMAS SHELBY ALMEIDA SANTOS</v>
      </c>
      <c r="L136" s="5" t="str">
        <f>IFERROR(__xludf.DUMMYFUNCTION("""COMPUTED_VALUE"""),"182.095.624-52")</f>
        <v>182.095.624-52</v>
      </c>
      <c r="M136" s="5" t="str">
        <f>IFERROR(__xludf.DUMMYFUNCTION("""COMPUTED_VALUE"""),"25/06/2022")</f>
        <v>25/06/2022</v>
      </c>
      <c r="N136" s="1"/>
      <c r="O136" s="1" t="str">
        <f>IFERROR(__xludf.DUMMYFUNCTION("""COMPUTED_VALUE"""),"0")</f>
        <v>0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5.75" customHeight="1">
      <c r="A137" s="1"/>
      <c r="B137" s="1" t="str">
        <f t="array" ref="B137">XLOOKUP(C137,Tabela_1[NOME ESCOLA PONTO ID],Tabela_1[REGIONAL],"NE",0)</f>
        <v>REGIONAL 5</v>
      </c>
      <c r="C137" s="3" t="str">
        <f>IFERROR(__xludf.DUMMYFUNCTION("""COMPUTED_VALUE"""),"CEMEI PROFESSORA LINDOMAR DOMINGOS DA SILVA ANJOS")</f>
        <v>CEMEI PROFESSORA LINDOMAR DOMINGOS DA SILVA ANJOS</v>
      </c>
      <c r="D137" s="1" t="str">
        <f>IFERROR(__xludf.DUMMYFUNCTION("""COMPUTED_VALUE"""),"26191296")</f>
        <v>26191296</v>
      </c>
      <c r="E137" s="1" t="str">
        <f>IFERROR(__xludf.DUMMYFUNCTION("""COMPUTED_VALUE"""),"INFANTIL 3")</f>
        <v>INFANTIL 3</v>
      </c>
      <c r="F137" s="1" t="str">
        <f>IFERROR(__xludf.DUMMYFUNCTION("""COMPUTED_VALUE"""),"Integral")</f>
        <v>Integral</v>
      </c>
      <c r="G137" s="1" t="str">
        <f>IFERROR(__xludf.DUMMYFUNCTION("""COMPUTED_VALUE"""),"Comum")</f>
        <v>Comum</v>
      </c>
      <c r="H137" s="1" t="str">
        <f>IFERROR(__xludf.DUMMYFUNCTION("""COMPUTED_VALUE"""),"3")</f>
        <v>3</v>
      </c>
      <c r="I137" s="4" t="str">
        <f>IFERROR(__xludf.DUMMYFUNCTION("""COMPUTED_VALUE"""),"26012502365")</f>
        <v>26012502365</v>
      </c>
      <c r="J137" s="1" t="str">
        <f>IFERROR(__xludf.DUMMYFUNCTION("""COMPUTED_VALUE"""),"28/01/2026 08:24:51")</f>
        <v>28/01/2026 08:24:51</v>
      </c>
      <c r="K137" s="1" t="str">
        <f>IFERROR(__xludf.DUMMYFUNCTION("""COMPUTED_VALUE"""),"KEVIN LUCAS VITORINO DA SILVA")</f>
        <v>KEVIN LUCAS VITORINO DA SILVA</v>
      </c>
      <c r="L137" s="5" t="str">
        <f>IFERROR(__xludf.DUMMYFUNCTION("""COMPUTED_VALUE"""),"184.272.764-86")</f>
        <v>184.272.764-86</v>
      </c>
      <c r="M137" s="7" t="str">
        <f>IFERROR(__xludf.DUMMYFUNCTION("""COMPUTED_VALUE"""),"14/01/2023")</f>
        <v>14/01/2023</v>
      </c>
      <c r="N137" s="1"/>
      <c r="O137" s="1" t="str">
        <f>IFERROR(__xludf.DUMMYFUNCTION("""COMPUTED_VALUE"""),"0")</f>
        <v>0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5.75" customHeight="1">
      <c r="A138" s="1"/>
      <c r="B138" s="1" t="str">
        <f t="array" ref="B138">XLOOKUP(C138,Tabela_1[NOME ESCOLA PONTO ID],Tabela_1[REGIONAL],"NE",0)</f>
        <v>REGIONAL 5</v>
      </c>
      <c r="C138" s="3" t="str">
        <f>IFERROR(__xludf.DUMMYFUNCTION("""COMPUTED_VALUE"""),"CEMEI PROFESSORA LINDOMAR DOMINGOS DA SILVA ANJOS")</f>
        <v>CEMEI PROFESSORA LINDOMAR DOMINGOS DA SILVA ANJOS</v>
      </c>
      <c r="D138" s="1" t="str">
        <f>IFERROR(__xludf.DUMMYFUNCTION("""COMPUTED_VALUE"""),"26191296")</f>
        <v>26191296</v>
      </c>
      <c r="E138" s="1" t="str">
        <f>IFERROR(__xludf.DUMMYFUNCTION("""COMPUTED_VALUE"""),"INFANTIL 3")</f>
        <v>INFANTIL 3</v>
      </c>
      <c r="F138" s="1" t="str">
        <f>IFERROR(__xludf.DUMMYFUNCTION("""COMPUTED_VALUE"""),"Integral")</f>
        <v>Integral</v>
      </c>
      <c r="G138" s="1" t="str">
        <f>IFERROR(__xludf.DUMMYFUNCTION("""COMPUTED_VALUE"""),"Comum")</f>
        <v>Comum</v>
      </c>
      <c r="H138" s="1" t="str">
        <f>IFERROR(__xludf.DUMMYFUNCTION("""COMPUTED_VALUE"""),"4")</f>
        <v>4</v>
      </c>
      <c r="I138" s="4" t="str">
        <f>IFERROR(__xludf.DUMMYFUNCTION("""COMPUTED_VALUE"""),"26012447370")</f>
        <v>26012447370</v>
      </c>
      <c r="J138" s="1" t="str">
        <f>IFERROR(__xludf.DUMMYFUNCTION("""COMPUTED_VALUE"""),"28/01/2026 08:40:24")</f>
        <v>28/01/2026 08:40:24</v>
      </c>
      <c r="K138" s="1" t="str">
        <f>IFERROR(__xludf.DUMMYFUNCTION("""COMPUTED_VALUE"""),"ARTHUR HENRIQUE DE OLIVEIRA SOUZA")</f>
        <v>ARTHUR HENRIQUE DE OLIVEIRA SOUZA</v>
      </c>
      <c r="L138" s="5" t="str">
        <f>IFERROR(__xludf.DUMMYFUNCTION("""COMPUTED_VALUE"""),"181.683.934-57")</f>
        <v>181.683.934-57</v>
      </c>
      <c r="M138" s="5" t="str">
        <f>IFERROR(__xludf.DUMMYFUNCTION("""COMPUTED_VALUE"""),"16/05/2022")</f>
        <v>16/05/2022</v>
      </c>
      <c r="N138" s="1"/>
      <c r="O138" s="1" t="str">
        <f>IFERROR(__xludf.DUMMYFUNCTION("""COMPUTED_VALUE"""),"0")</f>
        <v>0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5.75" customHeight="1">
      <c r="A139" s="1"/>
      <c r="B139" s="1" t="str">
        <f t="array" ref="B139">XLOOKUP(C139,Tabela_1[NOME ESCOLA PONTO ID],Tabela_1[REGIONAL],"NE",0)</f>
        <v>REGIONAL 5</v>
      </c>
      <c r="C139" s="3" t="str">
        <f>IFERROR(__xludf.DUMMYFUNCTION("""COMPUTED_VALUE"""),"CEMEI PROFESSORA LINDOMAR DOMINGOS DA SILVA ANJOS")</f>
        <v>CEMEI PROFESSORA LINDOMAR DOMINGOS DA SILVA ANJOS</v>
      </c>
      <c r="D139" s="1" t="str">
        <f>IFERROR(__xludf.DUMMYFUNCTION("""COMPUTED_VALUE"""),"26191296")</f>
        <v>26191296</v>
      </c>
      <c r="E139" s="1" t="str">
        <f>IFERROR(__xludf.DUMMYFUNCTION("""COMPUTED_VALUE"""),"INFANTIL 3")</f>
        <v>INFANTIL 3</v>
      </c>
      <c r="F139" s="1" t="str">
        <f>IFERROR(__xludf.DUMMYFUNCTION("""COMPUTED_VALUE"""),"Integral")</f>
        <v>Integral</v>
      </c>
      <c r="G139" s="1" t="str">
        <f>IFERROR(__xludf.DUMMYFUNCTION("""COMPUTED_VALUE"""),"Comum")</f>
        <v>Comum</v>
      </c>
      <c r="H139" s="1" t="str">
        <f>IFERROR(__xludf.DUMMYFUNCTION("""COMPUTED_VALUE"""),"5")</f>
        <v>5</v>
      </c>
      <c r="I139" s="4" t="str">
        <f>IFERROR(__xludf.DUMMYFUNCTION("""COMPUTED_VALUE"""),"26012377730")</f>
        <v>26012377730</v>
      </c>
      <c r="J139" s="1" t="str">
        <f>IFERROR(__xludf.DUMMYFUNCTION("""COMPUTED_VALUE"""),"28/01/2026 08:49:30")</f>
        <v>28/01/2026 08:49:30</v>
      </c>
      <c r="K139" s="1" t="str">
        <f>IFERROR(__xludf.DUMMYFUNCTION("""COMPUTED_VALUE"""),"JOAQUIM BRAZ SOARES DA SILVA")</f>
        <v>JOAQUIM BRAZ SOARES DA SILVA</v>
      </c>
      <c r="L139" s="5" t="str">
        <f>IFERROR(__xludf.DUMMYFUNCTION("""COMPUTED_VALUE"""),"184.957.744-70")</f>
        <v>184.957.744-70</v>
      </c>
      <c r="M139" s="5" t="str">
        <f>IFERROR(__xludf.DUMMYFUNCTION("""COMPUTED_VALUE"""),"06/03/2023")</f>
        <v>06/03/2023</v>
      </c>
      <c r="N139" s="1"/>
      <c r="O139" s="1" t="str">
        <f>IFERROR(__xludf.DUMMYFUNCTION("""COMPUTED_VALUE"""),"0")</f>
        <v>0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5.75" customHeight="1">
      <c r="A140" s="1"/>
      <c r="B140" s="1" t="str">
        <f t="array" ref="B140">XLOOKUP(C140,Tabela_1[NOME ESCOLA PONTO ID],Tabela_1[REGIONAL],"NE",0)</f>
        <v>REGIONAL 5</v>
      </c>
      <c r="C140" s="3" t="str">
        <f>IFERROR(__xludf.DUMMYFUNCTION("""COMPUTED_VALUE"""),"CEMEI PROFESSORA LINDOMAR DOMINGOS DA SILVA ANJOS")</f>
        <v>CEMEI PROFESSORA LINDOMAR DOMINGOS DA SILVA ANJOS</v>
      </c>
      <c r="D140" s="1" t="str">
        <f>IFERROR(__xludf.DUMMYFUNCTION("""COMPUTED_VALUE"""),"26191296")</f>
        <v>26191296</v>
      </c>
      <c r="E140" s="1" t="str">
        <f>IFERROR(__xludf.DUMMYFUNCTION("""COMPUTED_VALUE"""),"INFANTIL 3")</f>
        <v>INFANTIL 3</v>
      </c>
      <c r="F140" s="1" t="str">
        <f>IFERROR(__xludf.DUMMYFUNCTION("""COMPUTED_VALUE"""),"Integral")</f>
        <v>Integral</v>
      </c>
      <c r="G140" s="1" t="str">
        <f>IFERROR(__xludf.DUMMYFUNCTION("""COMPUTED_VALUE"""),"Comum")</f>
        <v>Comum</v>
      </c>
      <c r="H140" s="1" t="str">
        <f>IFERROR(__xludf.DUMMYFUNCTION("""COMPUTED_VALUE"""),"6")</f>
        <v>6</v>
      </c>
      <c r="I140" s="4" t="str">
        <f>IFERROR(__xludf.DUMMYFUNCTION("""COMPUTED_VALUE"""),"26012255382")</f>
        <v>26012255382</v>
      </c>
      <c r="J140" s="1" t="str">
        <f>IFERROR(__xludf.DUMMYFUNCTION("""COMPUTED_VALUE"""),"28/01/2026 10:50:39")</f>
        <v>28/01/2026 10:50:39</v>
      </c>
      <c r="K140" s="1" t="str">
        <f>IFERROR(__xludf.DUMMYFUNCTION("""COMPUTED_VALUE"""),"GAELL SILVA RAMOS")</f>
        <v>GAELL SILVA RAMOS</v>
      </c>
      <c r="L140" s="7" t="str">
        <f>IFERROR(__xludf.DUMMYFUNCTION("""COMPUTED_VALUE"""),"181.246.604-84")</f>
        <v>181.246.604-84</v>
      </c>
      <c r="M140" s="7" t="str">
        <f>IFERROR(__xludf.DUMMYFUNCTION("""COMPUTED_VALUE"""),"14/04/2022")</f>
        <v>14/04/2022</v>
      </c>
      <c r="N140" s="1"/>
      <c r="O140" s="1" t="str">
        <f>IFERROR(__xludf.DUMMYFUNCTION("""COMPUTED_VALUE"""),"0")</f>
        <v>0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5.75" customHeight="1">
      <c r="A141" s="1"/>
      <c r="B141" s="1" t="str">
        <f t="array" ref="B141">XLOOKUP(C141,Tabela_1[NOME ESCOLA PONTO ID],Tabela_1[REGIONAL],"NE",0)</f>
        <v>REGIONAL 5</v>
      </c>
      <c r="C141" s="3" t="str">
        <f>IFERROR(__xludf.DUMMYFUNCTION("""COMPUTED_VALUE"""),"CEMEI PROFESSORA LINDOMAR DOMINGOS DA SILVA ANJOS")</f>
        <v>CEMEI PROFESSORA LINDOMAR DOMINGOS DA SILVA ANJOS</v>
      </c>
      <c r="D141" s="1" t="str">
        <f>IFERROR(__xludf.DUMMYFUNCTION("""COMPUTED_VALUE"""),"26191296")</f>
        <v>26191296</v>
      </c>
      <c r="E141" s="1" t="str">
        <f>IFERROR(__xludf.DUMMYFUNCTION("""COMPUTED_VALUE"""),"INFANTIL 3")</f>
        <v>INFANTIL 3</v>
      </c>
      <c r="F141" s="1" t="str">
        <f>IFERROR(__xludf.DUMMYFUNCTION("""COMPUTED_VALUE"""),"Integral")</f>
        <v>Integral</v>
      </c>
      <c r="G141" s="1" t="str">
        <f>IFERROR(__xludf.DUMMYFUNCTION("""COMPUTED_VALUE"""),"Comum")</f>
        <v>Comum</v>
      </c>
      <c r="H141" s="1" t="str">
        <f>IFERROR(__xludf.DUMMYFUNCTION("""COMPUTED_VALUE"""),"7")</f>
        <v>7</v>
      </c>
      <c r="I141" s="4" t="str">
        <f>IFERROR(__xludf.DUMMYFUNCTION("""COMPUTED_VALUE"""),"26012021235")</f>
        <v>26012021235</v>
      </c>
      <c r="J141" s="1" t="str">
        <f>IFERROR(__xludf.DUMMYFUNCTION("""COMPUTED_VALUE"""),"28/01/2026 15:27:57")</f>
        <v>28/01/2026 15:27:57</v>
      </c>
      <c r="K141" s="1" t="str">
        <f>IFERROR(__xludf.DUMMYFUNCTION("""COMPUTED_VALUE"""),"ANTHONY BENJAMIM NASCIMENTO DA SILVA")</f>
        <v>ANTHONY BENJAMIM NASCIMENTO DA SILVA</v>
      </c>
      <c r="L141" s="5" t="str">
        <f>IFERROR(__xludf.DUMMYFUNCTION("""COMPUTED_VALUE"""),"181.296.554-03")</f>
        <v>181.296.554-03</v>
      </c>
      <c r="M141" s="5" t="str">
        <f>IFERROR(__xludf.DUMMYFUNCTION("""COMPUTED_VALUE"""),"19/04/2022")</f>
        <v>19/04/2022</v>
      </c>
      <c r="N141" s="1"/>
      <c r="O141" s="1" t="str">
        <f>IFERROR(__xludf.DUMMYFUNCTION("""COMPUTED_VALUE"""),"0")</f>
        <v>0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5.75" customHeight="1">
      <c r="A142" s="1"/>
      <c r="B142" s="1" t="str">
        <f t="array" ref="B142">XLOOKUP(C142,Tabela_1[NOME ESCOLA PONTO ID],Tabela_1[REGIONAL],"NE",0)</f>
        <v>REGIONAL 5</v>
      </c>
      <c r="C142" s="3" t="str">
        <f>IFERROR(__xludf.DUMMYFUNCTION("""COMPUTED_VALUE"""),"CEMEI PROFESSORA LINDOMAR DOMINGOS DA SILVA ANJOS")</f>
        <v>CEMEI PROFESSORA LINDOMAR DOMINGOS DA SILVA ANJOS</v>
      </c>
      <c r="D142" s="1" t="str">
        <f>IFERROR(__xludf.DUMMYFUNCTION("""COMPUTED_VALUE"""),"26191296")</f>
        <v>26191296</v>
      </c>
      <c r="E142" s="1" t="str">
        <f>IFERROR(__xludf.DUMMYFUNCTION("""COMPUTED_VALUE"""),"INFANTIL 3")</f>
        <v>INFANTIL 3</v>
      </c>
      <c r="F142" s="1" t="str">
        <f>IFERROR(__xludf.DUMMYFUNCTION("""COMPUTED_VALUE"""),"Integral")</f>
        <v>Integral</v>
      </c>
      <c r="G142" s="1" t="str">
        <f>IFERROR(__xludf.DUMMYFUNCTION("""COMPUTED_VALUE"""),"Comum")</f>
        <v>Comum</v>
      </c>
      <c r="H142" s="1" t="str">
        <f>IFERROR(__xludf.DUMMYFUNCTION("""COMPUTED_VALUE"""),"8")</f>
        <v>8</v>
      </c>
      <c r="I142" s="4" t="str">
        <f>IFERROR(__xludf.DUMMYFUNCTION("""COMPUTED_VALUE"""),"26012578280")</f>
        <v>26012578280</v>
      </c>
      <c r="J142" s="1" t="str">
        <f>IFERROR(__xludf.DUMMYFUNCTION("""COMPUTED_VALUE"""),"28/01/2026 16:26:14")</f>
        <v>28/01/2026 16:26:14</v>
      </c>
      <c r="K142" s="1" t="str">
        <f>IFERROR(__xludf.DUMMYFUNCTION("""COMPUTED_VALUE"""),"ANTHONY TALISSON SANTOS DA SILVA")</f>
        <v>ANTHONY TALISSON SANTOS DA SILVA</v>
      </c>
      <c r="L142" s="5" t="str">
        <f>IFERROR(__xludf.DUMMYFUNCTION("""COMPUTED_VALUE"""),"184.039.494-30")</f>
        <v>184.039.494-30</v>
      </c>
      <c r="M142" s="5" t="str">
        <f>IFERROR(__xludf.DUMMYFUNCTION("""COMPUTED_VALUE"""),"13/12/2022")</f>
        <v>13/12/2022</v>
      </c>
      <c r="N142" s="1"/>
      <c r="O142" s="1" t="str">
        <f>IFERROR(__xludf.DUMMYFUNCTION("""COMPUTED_VALUE"""),"0")</f>
        <v>0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5.75" customHeight="1">
      <c r="A143" s="1"/>
      <c r="B143" s="1" t="str">
        <f t="array" ref="B143">XLOOKUP(C143,Tabela_1[NOME ESCOLA PONTO ID],Tabela_1[REGIONAL],"NE",0)</f>
        <v>REGIONAL 5</v>
      </c>
      <c r="C143" s="3" t="str">
        <f>IFERROR(__xludf.DUMMYFUNCTION("""COMPUTED_VALUE"""),"CEMEI PROFESSORA LINDOMAR DOMINGOS DA SILVA ANJOS")</f>
        <v>CEMEI PROFESSORA LINDOMAR DOMINGOS DA SILVA ANJOS</v>
      </c>
      <c r="D143" s="1" t="str">
        <f>IFERROR(__xludf.DUMMYFUNCTION("""COMPUTED_VALUE"""),"26191296")</f>
        <v>26191296</v>
      </c>
      <c r="E143" s="1" t="str">
        <f>IFERROR(__xludf.DUMMYFUNCTION("""COMPUTED_VALUE"""),"INFANTIL 3")</f>
        <v>INFANTIL 3</v>
      </c>
      <c r="F143" s="1" t="str">
        <f>IFERROR(__xludf.DUMMYFUNCTION("""COMPUTED_VALUE"""),"Integral")</f>
        <v>Integral</v>
      </c>
      <c r="G143" s="1" t="str">
        <f>IFERROR(__xludf.DUMMYFUNCTION("""COMPUTED_VALUE"""),"Comum")</f>
        <v>Comum</v>
      </c>
      <c r="H143" s="1" t="str">
        <f>IFERROR(__xludf.DUMMYFUNCTION("""COMPUTED_VALUE"""),"9")</f>
        <v>9</v>
      </c>
      <c r="I143" s="4" t="str">
        <f>IFERROR(__xludf.DUMMYFUNCTION("""COMPUTED_VALUE"""),"26012369873")</f>
        <v>26012369873</v>
      </c>
      <c r="J143" s="1" t="str">
        <f>IFERROR(__xludf.DUMMYFUNCTION("""COMPUTED_VALUE"""),"28/01/2026 22:31:23")</f>
        <v>28/01/2026 22:31:23</v>
      </c>
      <c r="K143" s="1" t="str">
        <f>IFERROR(__xludf.DUMMYFUNCTION("""COMPUTED_VALUE"""),"LUCAS MIGUEL DA HORA SILVA")</f>
        <v>LUCAS MIGUEL DA HORA SILVA</v>
      </c>
      <c r="L143" s="5" t="str">
        <f>IFERROR(__xludf.DUMMYFUNCTION("""COMPUTED_VALUE"""),"184.174.244-90")</f>
        <v>184.174.244-90</v>
      </c>
      <c r="M143" s="5" t="str">
        <f>IFERROR(__xludf.DUMMYFUNCTION("""COMPUTED_VALUE"""),"26/12/2022")</f>
        <v>26/12/2022</v>
      </c>
      <c r="N143" s="1"/>
      <c r="O143" s="1" t="str">
        <f>IFERROR(__xludf.DUMMYFUNCTION("""COMPUTED_VALUE"""),"0")</f>
        <v>0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5.75" customHeight="1">
      <c r="A144" s="1"/>
      <c r="B144" s="1" t="str">
        <f t="array" ref="B144">XLOOKUP(C144,Tabela_1[NOME ESCOLA PONTO ID],Tabela_1[REGIONAL],"NE",0)</f>
        <v>REGIONAL 5</v>
      </c>
      <c r="C144" s="3" t="str">
        <f>IFERROR(__xludf.DUMMYFUNCTION("""COMPUTED_VALUE"""),"CEMEI PROFESSORA LINDOMAR DOMINGOS DA SILVA ANJOS")</f>
        <v>CEMEI PROFESSORA LINDOMAR DOMINGOS DA SILVA ANJOS</v>
      </c>
      <c r="D144" s="1" t="str">
        <f>IFERROR(__xludf.DUMMYFUNCTION("""COMPUTED_VALUE"""),"26191296")</f>
        <v>26191296</v>
      </c>
      <c r="E144" s="1" t="str">
        <f>IFERROR(__xludf.DUMMYFUNCTION("""COMPUTED_VALUE"""),"INFANTIL 3")</f>
        <v>INFANTIL 3</v>
      </c>
      <c r="F144" s="1" t="str">
        <f>IFERROR(__xludf.DUMMYFUNCTION("""COMPUTED_VALUE"""),"Integral")</f>
        <v>Integral</v>
      </c>
      <c r="G144" s="1" t="str">
        <f>IFERROR(__xludf.DUMMYFUNCTION("""COMPUTED_VALUE"""),"Comum")</f>
        <v>Comum</v>
      </c>
      <c r="H144" s="1" t="str">
        <f>IFERROR(__xludf.DUMMYFUNCTION("""COMPUTED_VALUE"""),"10")</f>
        <v>10</v>
      </c>
      <c r="I144" s="4" t="str">
        <f>IFERROR(__xludf.DUMMYFUNCTION("""COMPUTED_VALUE"""),"26012235051")</f>
        <v>26012235051</v>
      </c>
      <c r="J144" s="1" t="str">
        <f>IFERROR(__xludf.DUMMYFUNCTION("""COMPUTED_VALUE"""),"29/01/2026 13:04:58")</f>
        <v>29/01/2026 13:04:58</v>
      </c>
      <c r="K144" s="1" t="str">
        <f>IFERROR(__xludf.DUMMYFUNCTION("""COMPUTED_VALUE"""),"GAEL ALVES GONÇALO DA SILVA")</f>
        <v>GAEL ALVES GONÇALO DA SILVA</v>
      </c>
      <c r="L144" s="7" t="str">
        <f>IFERROR(__xludf.DUMMYFUNCTION("""COMPUTED_VALUE"""),"184.739.754-99")</f>
        <v>184.739.754-99</v>
      </c>
      <c r="M144" s="5" t="str">
        <f>IFERROR(__xludf.DUMMYFUNCTION("""COMPUTED_VALUE"""),"19/02/2023")</f>
        <v>19/02/2023</v>
      </c>
      <c r="N144" s="1"/>
      <c r="O144" s="1" t="str">
        <f>IFERROR(__xludf.DUMMYFUNCTION("""COMPUTED_VALUE"""),"0")</f>
        <v>0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5.75" customHeight="1">
      <c r="A145" s="1"/>
      <c r="B145" s="1" t="str">
        <f t="array" ref="B145">XLOOKUP(C145,Tabela_1[NOME ESCOLA PONTO ID],Tabela_1[REGIONAL],"NE",0)</f>
        <v>REGIONAL 5</v>
      </c>
      <c r="C145" s="3" t="str">
        <f>IFERROR(__xludf.DUMMYFUNCTION("""COMPUTED_VALUE"""),"CEMEI PROFESSORA LINDOMAR DOMINGOS DA SILVA ANJOS")</f>
        <v>CEMEI PROFESSORA LINDOMAR DOMINGOS DA SILVA ANJOS</v>
      </c>
      <c r="D145" s="1" t="str">
        <f>IFERROR(__xludf.DUMMYFUNCTION("""COMPUTED_VALUE"""),"26191296")</f>
        <v>26191296</v>
      </c>
      <c r="E145" s="1" t="str">
        <f>IFERROR(__xludf.DUMMYFUNCTION("""COMPUTED_VALUE"""),"INFANTIL 3")</f>
        <v>INFANTIL 3</v>
      </c>
      <c r="F145" s="1" t="str">
        <f>IFERROR(__xludf.DUMMYFUNCTION("""COMPUTED_VALUE"""),"Integral")</f>
        <v>Integral</v>
      </c>
      <c r="G145" s="1" t="str">
        <f>IFERROR(__xludf.DUMMYFUNCTION("""COMPUTED_VALUE"""),"Comum")</f>
        <v>Comum</v>
      </c>
      <c r="H145" s="1" t="str">
        <f>IFERROR(__xludf.DUMMYFUNCTION("""COMPUTED_VALUE"""),"11")</f>
        <v>11</v>
      </c>
      <c r="I145" s="4" t="str">
        <f>IFERROR(__xludf.DUMMYFUNCTION("""COMPUTED_VALUE"""),"26012451961")</f>
        <v>26012451961</v>
      </c>
      <c r="J145" s="1" t="str">
        <f>IFERROR(__xludf.DUMMYFUNCTION("""COMPUTED_VALUE"""),"29/01/2026 14:26:01")</f>
        <v>29/01/2026 14:26:01</v>
      </c>
      <c r="K145" s="1" t="str">
        <f>IFERROR(__xludf.DUMMYFUNCTION("""COMPUTED_VALUE"""),"ISAAC MIGUEL COUTINHO GENESE")</f>
        <v>ISAAC MIGUEL COUTINHO GENESE</v>
      </c>
      <c r="L145" s="7" t="str">
        <f>IFERROR(__xludf.DUMMYFUNCTION("""COMPUTED_VALUE"""),"185.887.974-45")</f>
        <v>185.887.974-45</v>
      </c>
      <c r="M145" s="5" t="str">
        <f>IFERROR(__xludf.DUMMYFUNCTION("""COMPUTED_VALUE"""),"18/02/2023")</f>
        <v>18/02/2023</v>
      </c>
      <c r="N145" s="1"/>
      <c r="O145" s="1" t="str">
        <f>IFERROR(__xludf.DUMMYFUNCTION("""COMPUTED_VALUE"""),"0")</f>
        <v>0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5.75" customHeight="1">
      <c r="A146" s="1"/>
      <c r="B146" s="1" t="str">
        <f t="array" ref="B146">XLOOKUP(C146,Tabela_1[NOME ESCOLA PONTO ID],Tabela_1[REGIONAL],"NE",0)</f>
        <v>REGIONAL 5</v>
      </c>
      <c r="C146" s="3" t="str">
        <f>IFERROR(__xludf.DUMMYFUNCTION("""COMPUTED_VALUE"""),"CEMEI PROFESSORA LINDOMAR DOMINGOS DA SILVA ANJOS")</f>
        <v>CEMEI PROFESSORA LINDOMAR DOMINGOS DA SILVA ANJOS</v>
      </c>
      <c r="D146" s="1" t="str">
        <f>IFERROR(__xludf.DUMMYFUNCTION("""COMPUTED_VALUE"""),"26191296")</f>
        <v>26191296</v>
      </c>
      <c r="E146" s="1" t="str">
        <f>IFERROR(__xludf.DUMMYFUNCTION("""COMPUTED_VALUE"""),"INFANTIL 3")</f>
        <v>INFANTIL 3</v>
      </c>
      <c r="F146" s="1" t="str">
        <f>IFERROR(__xludf.DUMMYFUNCTION("""COMPUTED_VALUE"""),"Integral")</f>
        <v>Integral</v>
      </c>
      <c r="G146" s="1" t="str">
        <f>IFERROR(__xludf.DUMMYFUNCTION("""COMPUTED_VALUE"""),"Comum")</f>
        <v>Comum</v>
      </c>
      <c r="H146" s="1" t="str">
        <f>IFERROR(__xludf.DUMMYFUNCTION("""COMPUTED_VALUE"""),"12")</f>
        <v>12</v>
      </c>
      <c r="I146" s="4" t="str">
        <f>IFERROR(__xludf.DUMMYFUNCTION("""COMPUTED_VALUE"""),"26022800688")</f>
        <v>26022800688</v>
      </c>
      <c r="J146" s="1" t="str">
        <f>IFERROR(__xludf.DUMMYFUNCTION("""COMPUTED_VALUE"""),"01/02/2026 17:23:13")</f>
        <v>01/02/2026 17:23:13</v>
      </c>
      <c r="K146" s="1" t="str">
        <f>IFERROR(__xludf.DUMMYFUNCTION("""COMPUTED_VALUE"""),"TAYARA HELENA GOMES DA SILVA")</f>
        <v>TAYARA HELENA GOMES DA SILVA</v>
      </c>
      <c r="L146" s="5" t="str">
        <f>IFERROR(__xludf.DUMMYFUNCTION("""COMPUTED_VALUE"""),"182.480.944-13")</f>
        <v>182.480.944-13</v>
      </c>
      <c r="M146" s="5" t="str">
        <f>IFERROR(__xludf.DUMMYFUNCTION("""COMPUTED_VALUE"""),"18/07/2022")</f>
        <v>18/07/2022</v>
      </c>
      <c r="N146" s="1"/>
      <c r="O146" s="1" t="str">
        <f>IFERROR(__xludf.DUMMYFUNCTION("""COMPUTED_VALUE"""),"0")</f>
        <v>0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5.75" customHeight="1">
      <c r="A147" s="1"/>
      <c r="B147" s="1" t="str">
        <f t="array" ref="B147">XLOOKUP(C147,Tabela_1[NOME ESCOLA PONTO ID],Tabela_1[REGIONAL],"NE",0)</f>
        <v>REGIONAL 5</v>
      </c>
      <c r="C147" s="3" t="str">
        <f>IFERROR(__xludf.DUMMYFUNCTION("""COMPUTED_VALUE"""),"CEMEI PROFESSORA LINDOMAR DOMINGOS DA SILVA ANJOS")</f>
        <v>CEMEI PROFESSORA LINDOMAR DOMINGOS DA SILVA ANJOS</v>
      </c>
      <c r="D147" s="1" t="str">
        <f>IFERROR(__xludf.DUMMYFUNCTION("""COMPUTED_VALUE"""),"26191296")</f>
        <v>26191296</v>
      </c>
      <c r="E147" s="1" t="str">
        <f>IFERROR(__xludf.DUMMYFUNCTION("""COMPUTED_VALUE"""),"INFANTIL 3")</f>
        <v>INFANTIL 3</v>
      </c>
      <c r="F147" s="1" t="str">
        <f>IFERROR(__xludf.DUMMYFUNCTION("""COMPUTED_VALUE"""),"Integral")</f>
        <v>Integral</v>
      </c>
      <c r="G147" s="1" t="str">
        <f>IFERROR(__xludf.DUMMYFUNCTION("""COMPUTED_VALUE"""),"Comum")</f>
        <v>Comum</v>
      </c>
      <c r="H147" s="1" t="str">
        <f>IFERROR(__xludf.DUMMYFUNCTION("""COMPUTED_VALUE"""),"13")</f>
        <v>13</v>
      </c>
      <c r="I147" s="4" t="str">
        <f>IFERROR(__xludf.DUMMYFUNCTION("""COMPUTED_VALUE"""),"26022829678")</f>
        <v>26022829678</v>
      </c>
      <c r="J147" s="1" t="str">
        <f>IFERROR(__xludf.DUMMYFUNCTION("""COMPUTED_VALUE"""),"02/02/2026 08:52:36")</f>
        <v>02/02/2026 08:52:36</v>
      </c>
      <c r="K147" s="1" t="str">
        <f>IFERROR(__xludf.DUMMYFUNCTION("""COMPUTED_VALUE"""),"NICOLAS SALAZAR NARANJO")</f>
        <v>NICOLAS SALAZAR NARANJO</v>
      </c>
      <c r="L147" s="7" t="str">
        <f>IFERROR(__xludf.DUMMYFUNCTION("""COMPUTED_VALUE"""),"231.291.997-48")</f>
        <v>231.291.997-48</v>
      </c>
      <c r="M147" s="5" t="str">
        <f>IFERROR(__xludf.DUMMYFUNCTION("""COMPUTED_VALUE"""),"20/09/2022")</f>
        <v>20/09/2022</v>
      </c>
      <c r="N147" s="1"/>
      <c r="O147" s="1" t="str">
        <f>IFERROR(__xludf.DUMMYFUNCTION("""COMPUTED_VALUE"""),"0")</f>
        <v>0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5.75" customHeight="1">
      <c r="A148" s="1"/>
      <c r="B148" s="1" t="str">
        <f t="array" ref="B148">XLOOKUP(C148,Tabela_1[NOME ESCOLA PONTO ID],Tabela_1[REGIONAL],"NE",0)</f>
        <v>REGIONAL 5</v>
      </c>
      <c r="C148" s="3" t="str">
        <f>IFERROR(__xludf.DUMMYFUNCTION("""COMPUTED_VALUE"""),"CEMEI PROFESSORA LINDOMAR DOMINGOS DA SILVA ANJOS")</f>
        <v>CEMEI PROFESSORA LINDOMAR DOMINGOS DA SILVA ANJOS</v>
      </c>
      <c r="D148" s="1" t="str">
        <f>IFERROR(__xludf.DUMMYFUNCTION("""COMPUTED_VALUE"""),"26191296")</f>
        <v>26191296</v>
      </c>
      <c r="E148" s="1" t="str">
        <f>IFERROR(__xludf.DUMMYFUNCTION("""COMPUTED_VALUE"""),"INFANTIL 3")</f>
        <v>INFANTIL 3</v>
      </c>
      <c r="F148" s="1" t="str">
        <f>IFERROR(__xludf.DUMMYFUNCTION("""COMPUTED_VALUE"""),"Integral")</f>
        <v>Integral</v>
      </c>
      <c r="G148" s="1" t="str">
        <f>IFERROR(__xludf.DUMMYFUNCTION("""COMPUTED_VALUE"""),"Comum")</f>
        <v>Comum</v>
      </c>
      <c r="H148" s="1" t="str">
        <f>IFERROR(__xludf.DUMMYFUNCTION("""COMPUTED_VALUE"""),"14")</f>
        <v>14</v>
      </c>
      <c r="I148" s="4" t="str">
        <f>IFERROR(__xludf.DUMMYFUNCTION("""COMPUTED_VALUE"""),"26022285916")</f>
        <v>26022285916</v>
      </c>
      <c r="J148" s="1" t="str">
        <f>IFERROR(__xludf.DUMMYFUNCTION("""COMPUTED_VALUE"""),"04/02/2026 14:48:24")</f>
        <v>04/02/2026 14:48:24</v>
      </c>
      <c r="K148" s="1" t="str">
        <f>IFERROR(__xludf.DUMMYFUNCTION("""COMPUTED_VALUE"""),"RAKELLY LÍVIA AVELINA DA SILVA")</f>
        <v>RAKELLY LÍVIA AVELINA DA SILVA</v>
      </c>
      <c r="L148" s="5" t="str">
        <f>IFERROR(__xludf.DUMMYFUNCTION("""COMPUTED_VALUE"""),"184.728.154-04")</f>
        <v>184.728.154-04</v>
      </c>
      <c r="M148" s="5" t="str">
        <f>IFERROR(__xludf.DUMMYFUNCTION("""COMPUTED_VALUE"""),"06/03/2023")</f>
        <v>06/03/2023</v>
      </c>
      <c r="N148" s="1"/>
      <c r="O148" s="1" t="str">
        <f>IFERROR(__xludf.DUMMYFUNCTION("""COMPUTED_VALUE"""),"0")</f>
        <v>0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5.75" customHeight="1">
      <c r="A149" s="1"/>
      <c r="B149" s="1" t="str">
        <f t="array" ref="B149">XLOOKUP(C149,Tabela_1[NOME ESCOLA PONTO ID],Tabela_1[REGIONAL],"NE",0)</f>
        <v>REGIONAL 5</v>
      </c>
      <c r="C149" s="3" t="str">
        <f>IFERROR(__xludf.DUMMYFUNCTION("""COMPUTED_VALUE"""),"CEMEI PROFESSORA LINDOMAR DOMINGOS DA SILVA ANJOS")</f>
        <v>CEMEI PROFESSORA LINDOMAR DOMINGOS DA SILVA ANJOS</v>
      </c>
      <c r="D149" s="1" t="str">
        <f>IFERROR(__xludf.DUMMYFUNCTION("""COMPUTED_VALUE"""),"26191296")</f>
        <v>26191296</v>
      </c>
      <c r="E149" s="1" t="str">
        <f>IFERROR(__xludf.DUMMYFUNCTION("""COMPUTED_VALUE"""),"INFANTIL 3")</f>
        <v>INFANTIL 3</v>
      </c>
      <c r="F149" s="1" t="str">
        <f>IFERROR(__xludf.DUMMYFUNCTION("""COMPUTED_VALUE"""),"Integral")</f>
        <v>Integral</v>
      </c>
      <c r="G149" s="1" t="str">
        <f>IFERROR(__xludf.DUMMYFUNCTION("""COMPUTED_VALUE"""),"Comum")</f>
        <v>Comum</v>
      </c>
      <c r="H149" s="1" t="str">
        <f>IFERROR(__xludf.DUMMYFUNCTION("""COMPUTED_VALUE"""),"15")</f>
        <v>15</v>
      </c>
      <c r="I149" s="4" t="str">
        <f>IFERROR(__xludf.DUMMYFUNCTION("""COMPUTED_VALUE"""),"26022316702")</f>
        <v>26022316702</v>
      </c>
      <c r="J149" s="1" t="str">
        <f>IFERROR(__xludf.DUMMYFUNCTION("""COMPUTED_VALUE"""),"05/02/2026 15:38:25")</f>
        <v>05/02/2026 15:38:25</v>
      </c>
      <c r="K149" s="1" t="str">
        <f>IFERROR(__xludf.DUMMYFUNCTION("""COMPUTED_VALUE"""),"ANA LAURA MEDEIROS SOUZA DOS SANTOS")</f>
        <v>ANA LAURA MEDEIROS SOUZA DOS SANTOS</v>
      </c>
      <c r="L149" s="5" t="str">
        <f>IFERROR(__xludf.DUMMYFUNCTION("""COMPUTED_VALUE"""),"181.899.694-47")</f>
        <v>181.899.694-47</v>
      </c>
      <c r="M149" s="5" t="str">
        <f>IFERROR(__xludf.DUMMYFUNCTION("""COMPUTED_VALUE"""),"13/06/2022")</f>
        <v>13/06/2022</v>
      </c>
      <c r="N149" s="1"/>
      <c r="O149" s="1" t="str">
        <f>IFERROR(__xludf.DUMMYFUNCTION("""COMPUTED_VALUE"""),"0")</f>
        <v>0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5.75" customHeight="1">
      <c r="A150" s="1"/>
      <c r="B150" s="1" t="str">
        <f t="array" ref="B150">XLOOKUP(C150,Tabela_1[NOME ESCOLA PONTO ID],Tabela_1[REGIONAL],"NE",0)</f>
        <v>REGIONAL 5</v>
      </c>
      <c r="C150" s="3" t="str">
        <f>IFERROR(__xludf.DUMMYFUNCTION("""COMPUTED_VALUE"""),"CEMEI PROFESSORA LINDOMAR DOMINGOS DA SILVA ANJOS")</f>
        <v>CEMEI PROFESSORA LINDOMAR DOMINGOS DA SILVA ANJOS</v>
      </c>
      <c r="D150" s="1" t="str">
        <f>IFERROR(__xludf.DUMMYFUNCTION("""COMPUTED_VALUE"""),"26191296")</f>
        <v>26191296</v>
      </c>
      <c r="E150" s="1" t="str">
        <f>IFERROR(__xludf.DUMMYFUNCTION("""COMPUTED_VALUE"""),"INFANTIL 3")</f>
        <v>INFANTIL 3</v>
      </c>
      <c r="F150" s="1" t="str">
        <f>IFERROR(__xludf.DUMMYFUNCTION("""COMPUTED_VALUE"""),"Integral")</f>
        <v>Integral</v>
      </c>
      <c r="G150" s="1" t="str">
        <f>IFERROR(__xludf.DUMMYFUNCTION("""COMPUTED_VALUE"""),"Comum")</f>
        <v>Comum</v>
      </c>
      <c r="H150" s="1" t="str">
        <f>IFERROR(__xludf.DUMMYFUNCTION("""COMPUTED_VALUE"""),"16")</f>
        <v>16</v>
      </c>
      <c r="I150" s="4" t="str">
        <f>IFERROR(__xludf.DUMMYFUNCTION("""COMPUTED_VALUE"""),"26022978795")</f>
        <v>26022978795</v>
      </c>
      <c r="J150" s="1" t="str">
        <f>IFERROR(__xludf.DUMMYFUNCTION("""COMPUTED_VALUE"""),"06/02/2026 15:36:56")</f>
        <v>06/02/2026 15:36:56</v>
      </c>
      <c r="K150" s="1" t="str">
        <f>IFERROR(__xludf.DUMMYFUNCTION("""COMPUTED_VALUE"""),"MARIA BEATRIZ DA SILVA")</f>
        <v>MARIA BEATRIZ DA SILVA</v>
      </c>
      <c r="L150" s="5" t="str">
        <f>IFERROR(__xludf.DUMMYFUNCTION("""COMPUTED_VALUE"""),"183.426.674-21")</f>
        <v>183.426.674-21</v>
      </c>
      <c r="M150" s="5" t="str">
        <f>IFERROR(__xludf.DUMMYFUNCTION("""COMPUTED_VALUE"""),"13/11/2022")</f>
        <v>13/11/2022</v>
      </c>
      <c r="N150" s="1"/>
      <c r="O150" s="1" t="str">
        <f>IFERROR(__xludf.DUMMYFUNCTION("""COMPUTED_VALUE"""),"0")</f>
        <v>0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5.75" customHeight="1">
      <c r="A151" s="1"/>
      <c r="B151" s="1" t="str">
        <f t="array" ref="B151">XLOOKUP(C151,Tabela_1[NOME ESCOLA PONTO ID],Tabela_1[REGIONAL],"NE",0)</f>
        <v>REGIONAL 5</v>
      </c>
      <c r="C151" s="3" t="str">
        <f>IFERROR(__xludf.DUMMYFUNCTION("""COMPUTED_VALUE"""),"CEMEI PROFESSORA LINDOMAR DOMINGOS DA SILVA ANJOS")</f>
        <v>CEMEI PROFESSORA LINDOMAR DOMINGOS DA SILVA ANJOS</v>
      </c>
      <c r="D151" s="1" t="str">
        <f>IFERROR(__xludf.DUMMYFUNCTION("""COMPUTED_VALUE"""),"26191296")</f>
        <v>26191296</v>
      </c>
      <c r="E151" s="1" t="str">
        <f>IFERROR(__xludf.DUMMYFUNCTION("""COMPUTED_VALUE"""),"INFANTIL 3")</f>
        <v>INFANTIL 3</v>
      </c>
      <c r="F151" s="1" t="str">
        <f>IFERROR(__xludf.DUMMYFUNCTION("""COMPUTED_VALUE"""),"Integral")</f>
        <v>Integral</v>
      </c>
      <c r="G151" s="1" t="str">
        <f>IFERROR(__xludf.DUMMYFUNCTION("""COMPUTED_VALUE"""),"Comum")</f>
        <v>Comum</v>
      </c>
      <c r="H151" s="1" t="str">
        <f>IFERROR(__xludf.DUMMYFUNCTION("""COMPUTED_VALUE"""),"17")</f>
        <v>17</v>
      </c>
      <c r="I151" s="4" t="str">
        <f>IFERROR(__xludf.DUMMYFUNCTION("""COMPUTED_VALUE"""),"26022352953")</f>
        <v>26022352953</v>
      </c>
      <c r="J151" s="1" t="str">
        <f>IFERROR(__xludf.DUMMYFUNCTION("""COMPUTED_VALUE"""),"10/02/2026 09:04:52")</f>
        <v>10/02/2026 09:04:52</v>
      </c>
      <c r="K151" s="1" t="str">
        <f>IFERROR(__xludf.DUMMYFUNCTION("""COMPUTED_VALUE"""),"ANA CLARA MEDEIROS SOUZA DOS SANTOS")</f>
        <v>ANA CLARA MEDEIROS SOUZA DOS SANTOS</v>
      </c>
      <c r="L151" s="5" t="str">
        <f>IFERROR(__xludf.DUMMYFUNCTION("""COMPUTED_VALUE"""),"181.899.534-43")</f>
        <v>181.899.534-43</v>
      </c>
      <c r="M151" s="5" t="str">
        <f>IFERROR(__xludf.DUMMYFUNCTION("""COMPUTED_VALUE"""),"13/06/2022")</f>
        <v>13/06/2022</v>
      </c>
      <c r="N151" s="1"/>
      <c r="O151" s="1" t="str">
        <f>IFERROR(__xludf.DUMMYFUNCTION("""COMPUTED_VALUE"""),"0")</f>
        <v>0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5.75" customHeight="1">
      <c r="A152" s="1"/>
      <c r="B152" s="1" t="str">
        <f t="array" ref="B152">XLOOKUP(C152,Tabela_1[NOME ESCOLA PONTO ID],Tabela_1[REGIONAL],"NE",0)</f>
        <v>REGIONAL 5</v>
      </c>
      <c r="C152" s="3" t="str">
        <f>IFERROR(__xludf.DUMMYFUNCTION("""COMPUTED_VALUE"""),"CEMEI PROFESSORA LINDOMAR DOMINGOS DA SILVA ANJOS")</f>
        <v>CEMEI PROFESSORA LINDOMAR DOMINGOS DA SILVA ANJOS</v>
      </c>
      <c r="D152" s="1" t="str">
        <f>IFERROR(__xludf.DUMMYFUNCTION("""COMPUTED_VALUE"""),"26191296")</f>
        <v>26191296</v>
      </c>
      <c r="E152" s="1" t="str">
        <f>IFERROR(__xludf.DUMMYFUNCTION("""COMPUTED_VALUE"""),"INFANTIL 3")</f>
        <v>INFANTIL 3</v>
      </c>
      <c r="F152" s="1" t="str">
        <f>IFERROR(__xludf.DUMMYFUNCTION("""COMPUTED_VALUE"""),"Integral")</f>
        <v>Integral</v>
      </c>
      <c r="G152" s="1" t="str">
        <f>IFERROR(__xludf.DUMMYFUNCTION("""COMPUTED_VALUE"""),"Comum")</f>
        <v>Comum</v>
      </c>
      <c r="H152" s="1" t="str">
        <f>IFERROR(__xludf.DUMMYFUNCTION("""COMPUTED_VALUE"""),"18")</f>
        <v>18</v>
      </c>
      <c r="I152" s="4" t="str">
        <f>IFERROR(__xludf.DUMMYFUNCTION("""COMPUTED_VALUE"""),"26022728482")</f>
        <v>26022728482</v>
      </c>
      <c r="J152" s="1" t="str">
        <f>IFERROR(__xludf.DUMMYFUNCTION("""COMPUTED_VALUE"""),"10/02/2026 10:01:04")</f>
        <v>10/02/2026 10:01:04</v>
      </c>
      <c r="K152" s="1" t="str">
        <f>IFERROR(__xludf.DUMMYFUNCTION("""COMPUTED_VALUE"""),"RAYANE VITÓRIA DA SILVA MARAVILHA")</f>
        <v>RAYANE VITÓRIA DA SILVA MARAVILHA</v>
      </c>
      <c r="L152" s="5" t="str">
        <f>IFERROR(__xludf.DUMMYFUNCTION("""COMPUTED_VALUE"""),"182.666.294-47")</f>
        <v>182.666.294-47</v>
      </c>
      <c r="M152" s="5" t="str">
        <f>IFERROR(__xludf.DUMMYFUNCTION("""COMPUTED_VALUE"""),"22/08/2022")</f>
        <v>22/08/2022</v>
      </c>
      <c r="N152" s="1"/>
      <c r="O152" s="1" t="str">
        <f>IFERROR(__xludf.DUMMYFUNCTION("""COMPUTED_VALUE"""),"0")</f>
        <v>0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5.75" customHeight="1">
      <c r="A153" s="1"/>
      <c r="B153" s="1" t="str">
        <f t="array" ref="B153">XLOOKUP(C153,Tabela_1[NOME ESCOLA PONTO ID],Tabela_1[REGIONAL],"NE",0)</f>
        <v>REGIONAL 5</v>
      </c>
      <c r="C153" s="3" t="str">
        <f>IFERROR(__xludf.DUMMYFUNCTION("""COMPUTED_VALUE"""),"CEMEI PROFESSORA LINDOMAR DOMINGOS DA SILVA ANJOS")</f>
        <v>CEMEI PROFESSORA LINDOMAR DOMINGOS DA SILVA ANJOS</v>
      </c>
      <c r="D153" s="1" t="str">
        <f>IFERROR(__xludf.DUMMYFUNCTION("""COMPUTED_VALUE"""),"26191296")</f>
        <v>26191296</v>
      </c>
      <c r="E153" s="1" t="str">
        <f>IFERROR(__xludf.DUMMYFUNCTION("""COMPUTED_VALUE"""),"INFANTIL 3")</f>
        <v>INFANTIL 3</v>
      </c>
      <c r="F153" s="1" t="str">
        <f>IFERROR(__xludf.DUMMYFUNCTION("""COMPUTED_VALUE"""),"Integral")</f>
        <v>Integral</v>
      </c>
      <c r="G153" s="1" t="str">
        <f>IFERROR(__xludf.DUMMYFUNCTION("""COMPUTED_VALUE"""),"Comum")</f>
        <v>Comum</v>
      </c>
      <c r="H153" s="1" t="str">
        <f>IFERROR(__xludf.DUMMYFUNCTION("""COMPUTED_VALUE"""),"19")</f>
        <v>19</v>
      </c>
      <c r="I153" s="4" t="str">
        <f>IFERROR(__xludf.DUMMYFUNCTION("""COMPUTED_VALUE"""),"26022801517")</f>
        <v>26022801517</v>
      </c>
      <c r="J153" s="1" t="str">
        <f>IFERROR(__xludf.DUMMYFUNCTION("""COMPUTED_VALUE"""),"19/02/2026 09:51:04")</f>
        <v>19/02/2026 09:51:04</v>
      </c>
      <c r="K153" s="1" t="str">
        <f>IFERROR(__xludf.DUMMYFUNCTION("""COMPUTED_VALUE"""),"ANNA LAURA BATISTA SILVA")</f>
        <v>ANNA LAURA BATISTA SILVA</v>
      </c>
      <c r="L153" s="5" t="str">
        <f>IFERROR(__xludf.DUMMYFUNCTION("""COMPUTED_VALUE"""),"183.545.274-41")</f>
        <v>183.545.274-41</v>
      </c>
      <c r="M153" s="5" t="str">
        <f>IFERROR(__xludf.DUMMYFUNCTION("""COMPUTED_VALUE"""),"28/08/2022")</f>
        <v>28/08/2022</v>
      </c>
      <c r="N153" s="1"/>
      <c r="O153" s="1" t="str">
        <f>IFERROR(__xludf.DUMMYFUNCTION("""COMPUTED_VALUE"""),"0")</f>
        <v>0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5.75" customHeight="1">
      <c r="A154" s="1"/>
      <c r="B154" s="1" t="str">
        <f t="array" ref="B154">XLOOKUP(C154,Tabela_1[NOME ESCOLA PONTO ID],Tabela_1[REGIONAL],"NE",0)</f>
        <v>REGIONAL 5</v>
      </c>
      <c r="C154" s="3" t="str">
        <f>IFERROR(__xludf.DUMMYFUNCTION("""COMPUTED_VALUE"""),"CEMEI PROFESSORA LINDOMAR DOMINGOS DA SILVA ANJOS")</f>
        <v>CEMEI PROFESSORA LINDOMAR DOMINGOS DA SILVA ANJOS</v>
      </c>
      <c r="D154" s="1" t="str">
        <f>IFERROR(__xludf.DUMMYFUNCTION("""COMPUTED_VALUE"""),"26191296")</f>
        <v>26191296</v>
      </c>
      <c r="E154" s="1" t="str">
        <f>IFERROR(__xludf.DUMMYFUNCTION("""COMPUTED_VALUE"""),"INFANTIL 3")</f>
        <v>INFANTIL 3</v>
      </c>
      <c r="F154" s="1" t="str">
        <f>IFERROR(__xludf.DUMMYFUNCTION("""COMPUTED_VALUE"""),"Integral")</f>
        <v>Integral</v>
      </c>
      <c r="G154" s="1" t="str">
        <f>IFERROR(__xludf.DUMMYFUNCTION("""COMPUTED_VALUE"""),"Comum")</f>
        <v>Comum</v>
      </c>
      <c r="H154" s="1" t="str">
        <f>IFERROR(__xludf.DUMMYFUNCTION("""COMPUTED_VALUE"""),"20")</f>
        <v>20</v>
      </c>
      <c r="I154" s="4" t="str">
        <f>IFERROR(__xludf.DUMMYFUNCTION("""COMPUTED_VALUE"""),"26022185383")</f>
        <v>26022185383</v>
      </c>
      <c r="J154" s="1" t="str">
        <f>IFERROR(__xludf.DUMMYFUNCTION("""COMPUTED_VALUE"""),"19/02/2026 16:10:29")</f>
        <v>19/02/2026 16:10:29</v>
      </c>
      <c r="K154" s="1" t="str">
        <f>IFERROR(__xludf.DUMMYFUNCTION("""COMPUTED_VALUE"""),"LIZ FERREIRA LEODORO")</f>
        <v>LIZ FERREIRA LEODORO</v>
      </c>
      <c r="L154" s="5" t="str">
        <f>IFERROR(__xludf.DUMMYFUNCTION("""COMPUTED_VALUE"""),"182.291.174-54")</f>
        <v>182.291.174-54</v>
      </c>
      <c r="M154" s="5" t="str">
        <f>IFERROR(__xludf.DUMMYFUNCTION("""COMPUTED_VALUE"""),"19/07/2022")</f>
        <v>19/07/2022</v>
      </c>
      <c r="N154" s="1"/>
      <c r="O154" s="1" t="str">
        <f>IFERROR(__xludf.DUMMYFUNCTION("""COMPUTED_VALUE"""),"0")</f>
        <v>0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5.75" customHeight="1">
      <c r="A155" s="1"/>
      <c r="B155" s="1" t="str">
        <f t="array" ref="B155">XLOOKUP(C155,Tabela_1[NOME ESCOLA PONTO ID],Tabela_1[REGIONAL],"NE",0)</f>
        <v>REGIONAL 5</v>
      </c>
      <c r="C155" s="3" t="str">
        <f>IFERROR(__xludf.DUMMYFUNCTION("""COMPUTED_VALUE"""),"CEMEI PROFESSORA LINDOMAR DOMINGOS DA SILVA ANJOS")</f>
        <v>CEMEI PROFESSORA LINDOMAR DOMINGOS DA SILVA ANJOS</v>
      </c>
      <c r="D155" s="1" t="str">
        <f>IFERROR(__xludf.DUMMYFUNCTION("""COMPUTED_VALUE"""),"26191296")</f>
        <v>26191296</v>
      </c>
      <c r="E155" s="1" t="str">
        <f>IFERROR(__xludf.DUMMYFUNCTION("""COMPUTED_VALUE"""),"INFANTIL 3")</f>
        <v>INFANTIL 3</v>
      </c>
      <c r="F155" s="1" t="str">
        <f>IFERROR(__xludf.DUMMYFUNCTION("""COMPUTED_VALUE"""),"Integral")</f>
        <v>Integral</v>
      </c>
      <c r="G155" s="1" t="str">
        <f>IFERROR(__xludf.DUMMYFUNCTION("""COMPUTED_VALUE"""),"Comum")</f>
        <v>Comum</v>
      </c>
      <c r="H155" s="1" t="str">
        <f>IFERROR(__xludf.DUMMYFUNCTION("""COMPUTED_VALUE"""),"21")</f>
        <v>21</v>
      </c>
      <c r="I155" s="4" t="str">
        <f>IFERROR(__xludf.DUMMYFUNCTION("""COMPUTED_VALUE"""),"26032195165")</f>
        <v>26032195165</v>
      </c>
      <c r="J155" s="1" t="str">
        <f>IFERROR(__xludf.DUMMYFUNCTION("""COMPUTED_VALUE"""),"03/03/2026 13:51:57")</f>
        <v>03/03/2026 13:51:57</v>
      </c>
      <c r="K155" s="1" t="str">
        <f>IFERROR(__xludf.DUMMYFUNCTION("""COMPUTED_VALUE"""),"THEO RAFAEL DEODATO DE MEDEIROS")</f>
        <v>THEO RAFAEL DEODATO DE MEDEIROS</v>
      </c>
      <c r="L155" s="5" t="str">
        <f>IFERROR(__xludf.DUMMYFUNCTION("""COMPUTED_VALUE"""),"184.730.544-07")</f>
        <v>184.730.544-07</v>
      </c>
      <c r="M155" s="5" t="str">
        <f>IFERROR(__xludf.DUMMYFUNCTION("""COMPUTED_VALUE"""),"15/03/2023")</f>
        <v>15/03/2023</v>
      </c>
      <c r="N155" s="1"/>
      <c r="O155" s="1" t="str">
        <f>IFERROR(__xludf.DUMMYFUNCTION("""COMPUTED_VALUE"""),"0")</f>
        <v>0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5.75" customHeight="1">
      <c r="A156" s="1"/>
      <c r="B156" s="1" t="str">
        <f t="array" ref="B156">XLOOKUP(C156,Tabela_1[NOME ESCOLA PONTO ID],Tabela_1[REGIONAL],"NE",0)</f>
        <v>REGIONAL 5</v>
      </c>
      <c r="C156" s="3" t="str">
        <f>IFERROR(__xludf.DUMMYFUNCTION("""COMPUTED_VALUE"""),"CEMEI PROFESSORA LINDOMAR DOMINGOS DA SILVA ANJOS")</f>
        <v>CEMEI PROFESSORA LINDOMAR DOMINGOS DA SILVA ANJOS</v>
      </c>
      <c r="D156" s="1" t="str">
        <f>IFERROR(__xludf.DUMMYFUNCTION("""COMPUTED_VALUE"""),"26191296")</f>
        <v>26191296</v>
      </c>
      <c r="E156" s="1" t="str">
        <f>IFERROR(__xludf.DUMMYFUNCTION("""COMPUTED_VALUE"""),"INFANTIL 3")</f>
        <v>INFANTIL 3</v>
      </c>
      <c r="F156" s="1" t="str">
        <f>IFERROR(__xludf.DUMMYFUNCTION("""COMPUTED_VALUE"""),"Integral")</f>
        <v>Integral</v>
      </c>
      <c r="G156" s="1" t="str">
        <f>IFERROR(__xludf.DUMMYFUNCTION("""COMPUTED_VALUE"""),"Comum")</f>
        <v>Comum</v>
      </c>
      <c r="H156" s="1" t="str">
        <f>IFERROR(__xludf.DUMMYFUNCTION("""COMPUTED_VALUE"""),"22")</f>
        <v>22</v>
      </c>
      <c r="I156" s="4" t="str">
        <f>IFERROR(__xludf.DUMMYFUNCTION("""COMPUTED_VALUE"""),"26032930723")</f>
        <v>26032930723</v>
      </c>
      <c r="J156" s="1" t="str">
        <f>IFERROR(__xludf.DUMMYFUNCTION("""COMPUTED_VALUE"""),"24/03/2026 15:33:58")</f>
        <v>24/03/2026 15:33:58</v>
      </c>
      <c r="K156" s="1" t="str">
        <f>IFERROR(__xludf.DUMMYFUNCTION("""COMPUTED_VALUE"""),"AYLLA VITÓRIA CAETANO DOS SANTOS")</f>
        <v>AYLLA VITÓRIA CAETANO DOS SANTOS</v>
      </c>
      <c r="L156" s="5" t="str">
        <f>IFERROR(__xludf.DUMMYFUNCTION("""COMPUTED_VALUE"""),"093.237.424-73")</f>
        <v>093.237.424-73</v>
      </c>
      <c r="M156" s="5" t="str">
        <f>IFERROR(__xludf.DUMMYFUNCTION("""COMPUTED_VALUE"""),"06/10/2022")</f>
        <v>06/10/2022</v>
      </c>
      <c r="N156" s="1"/>
      <c r="O156" s="1" t="str">
        <f>IFERROR(__xludf.DUMMYFUNCTION("""COMPUTED_VALUE"""),"0")</f>
        <v>0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5.75" customHeight="1">
      <c r="A157" s="1"/>
      <c r="B157" s="1" t="str">
        <f t="array" ref="B157">XLOOKUP(C157,Tabela_1[NOME ESCOLA PONTO ID],Tabela_1[REGIONAL],"NE",0)</f>
        <v>REGIONAL 5</v>
      </c>
      <c r="C157" s="3" t="str">
        <f>IFERROR(__xludf.DUMMYFUNCTION("""COMPUTED_VALUE"""),"CEMEI PROFESSORA LINDOMAR DOMINGOS DA SILVA ANJOS")</f>
        <v>CEMEI PROFESSORA LINDOMAR DOMINGOS DA SILVA ANJOS</v>
      </c>
      <c r="D157" s="1" t="str">
        <f>IFERROR(__xludf.DUMMYFUNCTION("""COMPUTED_VALUE"""),"26191296")</f>
        <v>26191296</v>
      </c>
      <c r="E157" s="1" t="str">
        <f>IFERROR(__xludf.DUMMYFUNCTION("""COMPUTED_VALUE"""),"INFANTIL 3")</f>
        <v>INFANTIL 3</v>
      </c>
      <c r="F157" s="1" t="str">
        <f>IFERROR(__xludf.DUMMYFUNCTION("""COMPUTED_VALUE"""),"Integral")</f>
        <v>Integral</v>
      </c>
      <c r="G157" s="1" t="str">
        <f>IFERROR(__xludf.DUMMYFUNCTION("""COMPUTED_VALUE"""),"Comum")</f>
        <v>Comum</v>
      </c>
      <c r="H157" s="1" t="str">
        <f>IFERROR(__xludf.DUMMYFUNCTION("""COMPUTED_VALUE"""),"23")</f>
        <v>23</v>
      </c>
      <c r="I157" s="4" t="str">
        <f>IFERROR(__xludf.DUMMYFUNCTION("""COMPUTED_VALUE"""),"26042357277")</f>
        <v>26042357277</v>
      </c>
      <c r="J157" s="1" t="str">
        <f>IFERROR(__xludf.DUMMYFUNCTION("""COMPUTED_VALUE"""),"09/04/2026 12:42:59")</f>
        <v>09/04/2026 12:42:59</v>
      </c>
      <c r="K157" s="1" t="str">
        <f>IFERROR(__xludf.DUMMYFUNCTION("""COMPUTED_VALUE"""),"TAWANE EMANUELLEY DA SILVA")</f>
        <v>TAWANE EMANUELLEY DA SILVA</v>
      </c>
      <c r="L157" s="5" t="str">
        <f>IFERROR(__xludf.DUMMYFUNCTION("""COMPUTED_VALUE"""),"183.002.884-73")</f>
        <v>183.002.884-73</v>
      </c>
      <c r="M157" s="5" t="str">
        <f>IFERROR(__xludf.DUMMYFUNCTION("""COMPUTED_VALUE"""),"28/09/2022")</f>
        <v>28/09/2022</v>
      </c>
      <c r="N157" s="1"/>
      <c r="O157" s="1" t="str">
        <f>IFERROR(__xludf.DUMMYFUNCTION("""COMPUTED_VALUE"""),"0")</f>
        <v>0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5.75" customHeight="1">
      <c r="A158" s="1"/>
      <c r="B158" s="1" t="str">
        <f t="array" ref="B158">XLOOKUP(C158,Tabela_1[NOME ESCOLA PONTO ID],Tabela_1[REGIONAL],"NE",0)</f>
        <v>REGIONAL 5</v>
      </c>
      <c r="C158" s="3" t="str">
        <f>IFERROR(__xludf.DUMMYFUNCTION("""COMPUTED_VALUE"""),"CEMEI PROFESSORA LINDOMAR DOMINGOS DA SILVA ANJOS")</f>
        <v>CEMEI PROFESSORA LINDOMAR DOMINGOS DA SILVA ANJOS</v>
      </c>
      <c r="D158" s="1" t="str">
        <f>IFERROR(__xludf.DUMMYFUNCTION("""COMPUTED_VALUE"""),"26191296")</f>
        <v>26191296</v>
      </c>
      <c r="E158" s="1" t="str">
        <f>IFERROR(__xludf.DUMMYFUNCTION("""COMPUTED_VALUE"""),"INFANTIL 3")</f>
        <v>INFANTIL 3</v>
      </c>
      <c r="F158" s="1" t="str">
        <f>IFERROR(__xludf.DUMMYFUNCTION("""COMPUTED_VALUE"""),"Integral")</f>
        <v>Integral</v>
      </c>
      <c r="G158" s="1" t="str">
        <f>IFERROR(__xludf.DUMMYFUNCTION("""COMPUTED_VALUE"""),"Comum")</f>
        <v>Comum</v>
      </c>
      <c r="H158" s="1" t="str">
        <f>IFERROR(__xludf.DUMMYFUNCTION("""COMPUTED_VALUE"""),"24")</f>
        <v>24</v>
      </c>
      <c r="I158" s="4" t="str">
        <f>IFERROR(__xludf.DUMMYFUNCTION("""COMPUTED_VALUE"""),"26042287215")</f>
        <v>26042287215</v>
      </c>
      <c r="J158" s="1" t="str">
        <f>IFERROR(__xludf.DUMMYFUNCTION("""COMPUTED_VALUE"""),"15/04/2026 12:12:34")</f>
        <v>15/04/2026 12:12:34</v>
      </c>
      <c r="K158" s="1" t="str">
        <f>IFERROR(__xludf.DUMMYFUNCTION("""COMPUTED_VALUE"""),"LARA MARIA MARTINS DO CARMO")</f>
        <v>LARA MARIA MARTINS DO CARMO</v>
      </c>
      <c r="L158" s="5" t="str">
        <f>IFERROR(__xludf.DUMMYFUNCTION("""COMPUTED_VALUE"""),"181.852.304-39")</f>
        <v>181.852.304-39</v>
      </c>
      <c r="M158" s="5" t="str">
        <f>IFERROR(__xludf.DUMMYFUNCTION("""COMPUTED_VALUE"""),"15/05/2022")</f>
        <v>15/05/2022</v>
      </c>
      <c r="N158" s="1"/>
      <c r="O158" s="1" t="str">
        <f>IFERROR(__xludf.DUMMYFUNCTION("""COMPUTED_VALUE"""),"0")</f>
        <v>0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5.75" customHeight="1">
      <c r="A159" s="1"/>
      <c r="B159" s="1" t="str">
        <f t="array" ref="B159">XLOOKUP(C159,Tabela_1[NOME ESCOLA PONTO ID],Tabela_1[REGIONAL],"NE",0)</f>
        <v>REGIONAL 5</v>
      </c>
      <c r="C159" s="3" t="str">
        <f>IFERROR(__xludf.DUMMYFUNCTION("""COMPUTED_VALUE"""),"CEMEI PROFESSORA LINDOMAR DOMINGOS DA SILVA ANJOS")</f>
        <v>CEMEI PROFESSORA LINDOMAR DOMINGOS DA SILVA ANJOS</v>
      </c>
      <c r="D159" s="1" t="str">
        <f>IFERROR(__xludf.DUMMYFUNCTION("""COMPUTED_VALUE"""),"26191296")</f>
        <v>26191296</v>
      </c>
      <c r="E159" s="1" t="str">
        <f>IFERROR(__xludf.DUMMYFUNCTION("""COMPUTED_VALUE"""),"INFANTIL 3")</f>
        <v>INFANTIL 3</v>
      </c>
      <c r="F159" s="1" t="str">
        <f>IFERROR(__xludf.DUMMYFUNCTION("""COMPUTED_VALUE"""),"Integral")</f>
        <v>Integral</v>
      </c>
      <c r="G159" s="1" t="str">
        <f>IFERROR(__xludf.DUMMYFUNCTION("""COMPUTED_VALUE"""),"Comum")</f>
        <v>Comum</v>
      </c>
      <c r="H159" s="1" t="str">
        <f>IFERROR(__xludf.DUMMYFUNCTION("""COMPUTED_VALUE"""),"25")</f>
        <v>25</v>
      </c>
      <c r="I159" s="4" t="str">
        <f>IFERROR(__xludf.DUMMYFUNCTION("""COMPUTED_VALUE"""),"26042803670")</f>
        <v>26042803670</v>
      </c>
      <c r="J159" s="1" t="str">
        <f>IFERROR(__xludf.DUMMYFUNCTION("""COMPUTED_VALUE"""),"15/04/2026 20:08:01")</f>
        <v>15/04/2026 20:08:01</v>
      </c>
      <c r="K159" s="1" t="str">
        <f>IFERROR(__xludf.DUMMYFUNCTION("""COMPUTED_VALUE"""),"MARIA LIZ VIEIRA DA SILVA")</f>
        <v>MARIA LIZ VIEIRA DA SILVA</v>
      </c>
      <c r="L159" s="5" t="str">
        <f>IFERROR(__xludf.DUMMYFUNCTION("""COMPUTED_VALUE"""),"184.686.634-09")</f>
        <v>184.686.634-09</v>
      </c>
      <c r="M159" s="5" t="str">
        <f>IFERROR(__xludf.DUMMYFUNCTION("""COMPUTED_VALUE"""),"06/03/2023")</f>
        <v>06/03/2023</v>
      </c>
      <c r="N159" s="1"/>
      <c r="O159" s="1" t="str">
        <f>IFERROR(__xludf.DUMMYFUNCTION("""COMPUTED_VALUE"""),"0")</f>
        <v>0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5.75" customHeight="1">
      <c r="A160" s="1"/>
      <c r="B160" s="1" t="str">
        <f t="array" ref="B160">XLOOKUP(C160,Tabela_1[NOME ESCOLA PONTO ID],Tabela_1[REGIONAL],"NE",0)</f>
        <v>REGIONAL 5</v>
      </c>
      <c r="C160" s="3" t="str">
        <f>IFERROR(__xludf.DUMMYFUNCTION("""COMPUTED_VALUE"""),"CEMEI PROFESSORA LINDOMAR DOMINGOS DA SILVA ANJOS")</f>
        <v>CEMEI PROFESSORA LINDOMAR DOMINGOS DA SILVA ANJOS</v>
      </c>
      <c r="D160" s="1" t="str">
        <f>IFERROR(__xludf.DUMMYFUNCTION("""COMPUTED_VALUE"""),"26191296")</f>
        <v>26191296</v>
      </c>
      <c r="E160" s="1" t="str">
        <f>IFERROR(__xludf.DUMMYFUNCTION("""COMPUTED_VALUE"""),"INFANTIL 3")</f>
        <v>INFANTIL 3</v>
      </c>
      <c r="F160" s="1" t="str">
        <f>IFERROR(__xludf.DUMMYFUNCTION("""COMPUTED_VALUE"""),"Integral")</f>
        <v>Integral</v>
      </c>
      <c r="G160" s="1" t="str">
        <f>IFERROR(__xludf.DUMMYFUNCTION("""COMPUTED_VALUE"""),"Comum")</f>
        <v>Comum</v>
      </c>
      <c r="H160" s="1" t="str">
        <f>IFERROR(__xludf.DUMMYFUNCTION("""COMPUTED_VALUE"""),"26")</f>
        <v>26</v>
      </c>
      <c r="I160" s="6" t="str">
        <f>IFERROR(__xludf.DUMMYFUNCTION("""COMPUTED_VALUE"""),"26042027120")</f>
        <v>26042027120</v>
      </c>
      <c r="J160" s="1" t="str">
        <f>IFERROR(__xludf.DUMMYFUNCTION("""COMPUTED_VALUE"""),"24/04/2026 15:30:49")</f>
        <v>24/04/2026 15:30:49</v>
      </c>
      <c r="K160" s="1" t="str">
        <f>IFERROR(__xludf.DUMMYFUNCTION("""COMPUTED_VALUE"""),"LAURA GABRIELY DA SILVA MELO")</f>
        <v>LAURA GABRIELY DA SILVA MELO</v>
      </c>
      <c r="L160" s="5" t="str">
        <f>IFERROR(__xludf.DUMMYFUNCTION("""COMPUTED_VALUE"""),"182.841.544-80")</f>
        <v>182.841.544-80</v>
      </c>
      <c r="M160" s="5" t="str">
        <f>IFERROR(__xludf.DUMMYFUNCTION("""COMPUTED_VALUE"""),"27/07/2022")</f>
        <v>27/07/2022</v>
      </c>
      <c r="N160" s="1"/>
      <c r="O160" s="1" t="str">
        <f>IFERROR(__xludf.DUMMYFUNCTION("""COMPUTED_VALUE"""),"0")</f>
        <v>0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5.75" customHeight="1">
      <c r="A161" s="1"/>
      <c r="B161" s="1" t="str">
        <f t="array" ref="B161">XLOOKUP(C161,Tabela_1[NOME ESCOLA PONTO ID],Tabela_1[REGIONAL],"NE",0)</f>
        <v>REGIONAL 5</v>
      </c>
      <c r="C161" s="3" t="str">
        <f>IFERROR(__xludf.DUMMYFUNCTION("""COMPUTED_VALUE"""),"CEMEI PROFESSORA LINDOMAR DOMINGOS DA SILVA ANJOS")</f>
        <v>CEMEI PROFESSORA LINDOMAR DOMINGOS DA SILVA ANJOS</v>
      </c>
      <c r="D161" s="1" t="str">
        <f>IFERROR(__xludf.DUMMYFUNCTION("""COMPUTED_VALUE"""),"26191296")</f>
        <v>26191296</v>
      </c>
      <c r="E161" s="1" t="str">
        <f>IFERROR(__xludf.DUMMYFUNCTION("""COMPUTED_VALUE"""),"INFANTIL 3")</f>
        <v>INFANTIL 3</v>
      </c>
      <c r="F161" s="1" t="str">
        <f>IFERROR(__xludf.DUMMYFUNCTION("""COMPUTED_VALUE"""),"Integral")</f>
        <v>Integral</v>
      </c>
      <c r="G161" s="1" t="str">
        <f>IFERROR(__xludf.DUMMYFUNCTION("""COMPUTED_VALUE"""),"Comum")</f>
        <v>Comum</v>
      </c>
      <c r="H161" s="1" t="str">
        <f>IFERROR(__xludf.DUMMYFUNCTION("""COMPUTED_VALUE"""),"27")</f>
        <v>27</v>
      </c>
      <c r="I161" s="6" t="str">
        <f>IFERROR(__xludf.DUMMYFUNCTION("""COMPUTED_VALUE"""),"26052737695")</f>
        <v>26052737695</v>
      </c>
      <c r="J161" s="1" t="str">
        <f>IFERROR(__xludf.DUMMYFUNCTION("""COMPUTED_VALUE"""),"13/05/2026 09:51:31")</f>
        <v>13/05/2026 09:51:31</v>
      </c>
      <c r="K161" s="1" t="str">
        <f>IFERROR(__xludf.DUMMYFUNCTION("""COMPUTED_VALUE"""),"ANTHONY TAYLOR MARTINS DO NASCIMENTO")</f>
        <v>ANTHONY TAYLOR MARTINS DO NASCIMENTO</v>
      </c>
      <c r="L161" s="7" t="str">
        <f>IFERROR(__xludf.DUMMYFUNCTION("""COMPUTED_VALUE"""),"608.940.818-29")</f>
        <v>608.940.818-29</v>
      </c>
      <c r="M161" s="7" t="str">
        <f>IFERROR(__xludf.DUMMYFUNCTION("""COMPUTED_VALUE"""),"23/02/2023")</f>
        <v>23/02/2023</v>
      </c>
      <c r="N161" s="1"/>
      <c r="O161" s="1" t="str">
        <f>IFERROR(__xludf.DUMMYFUNCTION("""COMPUTED_VALUE"""),"0")</f>
        <v>0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5.75" customHeight="1">
      <c r="A162" s="1"/>
      <c r="B162" s="1" t="str">
        <f t="array" ref="B162">XLOOKUP(C162,Tabela_1[NOME ESCOLA PONTO ID],Tabela_1[REGIONAL],"NE",0)</f>
        <v>REGIONAL 5</v>
      </c>
      <c r="C162" s="3" t="str">
        <f>IFERROR(__xludf.DUMMYFUNCTION("""COMPUTED_VALUE"""),"CEMEI PROFESSORA LINDOMAR DOMINGOS DA SILVA ANJOS")</f>
        <v>CEMEI PROFESSORA LINDOMAR DOMINGOS DA SILVA ANJOS</v>
      </c>
      <c r="D162" s="1" t="str">
        <f>IFERROR(__xludf.DUMMYFUNCTION("""COMPUTED_VALUE"""),"26191296")</f>
        <v>26191296</v>
      </c>
      <c r="E162" s="1" t="str">
        <f>IFERROR(__xludf.DUMMYFUNCTION("""COMPUTED_VALUE"""),"INFANTIL 3")</f>
        <v>INFANTIL 3</v>
      </c>
      <c r="F162" s="1" t="str">
        <f>IFERROR(__xludf.DUMMYFUNCTION("""COMPUTED_VALUE"""),"Integral")</f>
        <v>Integral</v>
      </c>
      <c r="G162" s="1" t="str">
        <f>IFERROR(__xludf.DUMMYFUNCTION("""COMPUTED_VALUE"""),"Comum")</f>
        <v>Comum</v>
      </c>
      <c r="H162" s="1" t="str">
        <f>IFERROR(__xludf.DUMMYFUNCTION("""COMPUTED_VALUE"""),"28")</f>
        <v>28</v>
      </c>
      <c r="I162" s="6" t="str">
        <f>IFERROR(__xludf.DUMMYFUNCTION("""COMPUTED_VALUE"""),"26052604683")</f>
        <v>26052604683</v>
      </c>
      <c r="J162" s="1" t="str">
        <f>IFERROR(__xludf.DUMMYFUNCTION("""COMPUTED_VALUE"""),"23/05/2026 20:29:57")</f>
        <v>23/05/2026 20:29:57</v>
      </c>
      <c r="K162" s="1" t="str">
        <f>IFERROR(__xludf.DUMMYFUNCTION("""COMPUTED_VALUE"""),"Hiago Mario Alves Tavares Mendes")</f>
        <v>Hiago Mario Alves Tavares Mendes</v>
      </c>
      <c r="L162" s="7" t="str">
        <f>IFERROR(__xludf.DUMMYFUNCTION("""COMPUTED_VALUE"""),"183.316.044-40")</f>
        <v>183.316.044-40</v>
      </c>
      <c r="M162" s="5" t="str">
        <f>IFERROR(__xludf.DUMMYFUNCTION("""COMPUTED_VALUE"""),"03/11/2022")</f>
        <v>03/11/2022</v>
      </c>
      <c r="N162" s="1"/>
      <c r="O162" s="1" t="str">
        <f>IFERROR(__xludf.DUMMYFUNCTION("""COMPUTED_VALUE"""),"0")</f>
        <v>0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5.75" customHeight="1">
      <c r="A163" s="1"/>
      <c r="B163" s="1" t="str">
        <f t="array" ref="B163">XLOOKUP(C163,Tabela_1[NOME ESCOLA PONTO ID],Tabela_1[REGIONAL],"NE",0)</f>
        <v>REGIONAL 5</v>
      </c>
      <c r="C163" s="3" t="str">
        <f>IFERROR(__xludf.DUMMYFUNCTION("""COMPUTED_VALUE"""),"CEMEI PROFESSORA LINDOMAR DOMINGOS DA SILVA ANJOS")</f>
        <v>CEMEI PROFESSORA LINDOMAR DOMINGOS DA SILVA ANJOS</v>
      </c>
      <c r="D163" s="1" t="str">
        <f>IFERROR(__xludf.DUMMYFUNCTION("""COMPUTED_VALUE"""),"26191296")</f>
        <v>26191296</v>
      </c>
      <c r="E163" s="1" t="str">
        <f>IFERROR(__xludf.DUMMYFUNCTION("""COMPUTED_VALUE"""),"INFANTIL 3")</f>
        <v>INFANTIL 3</v>
      </c>
      <c r="F163" s="1" t="str">
        <f>IFERROR(__xludf.DUMMYFUNCTION("""COMPUTED_VALUE"""),"Integral")</f>
        <v>Integral</v>
      </c>
      <c r="G163" s="1" t="str">
        <f>IFERROR(__xludf.DUMMYFUNCTION("""COMPUTED_VALUE"""),"Comum")</f>
        <v>Comum</v>
      </c>
      <c r="H163" s="1" t="str">
        <f>IFERROR(__xludf.DUMMYFUNCTION("""COMPUTED_VALUE"""),"29")</f>
        <v>29</v>
      </c>
      <c r="I163" s="6" t="str">
        <f>IFERROR(__xludf.DUMMYFUNCTION("""COMPUTED_VALUE"""),"26062798960")</f>
        <v>26062798960</v>
      </c>
      <c r="J163" s="1" t="str">
        <f>IFERROR(__xludf.DUMMYFUNCTION("""COMPUTED_VALUE"""),"01/06/2026 08:29:45")</f>
        <v>01/06/2026 08:29:45</v>
      </c>
      <c r="K163" s="1" t="str">
        <f>IFERROR(__xludf.DUMMYFUNCTION("""COMPUTED_VALUE"""),"BERNARDO DAVINO DE ARAÚJO")</f>
        <v>BERNARDO DAVINO DE ARAÚJO</v>
      </c>
      <c r="L163" s="5" t="str">
        <f>IFERROR(__xludf.DUMMYFUNCTION("""COMPUTED_VALUE"""),"182.453.294-60")</f>
        <v>182.453.294-60</v>
      </c>
      <c r="M163" s="7" t="str">
        <f>IFERROR(__xludf.DUMMYFUNCTION("""COMPUTED_VALUE"""),"29/07/2022")</f>
        <v>29/07/2022</v>
      </c>
      <c r="N163" s="1"/>
      <c r="O163" s="1" t="str">
        <f>IFERROR(__xludf.DUMMYFUNCTION("""COMPUTED_VALUE"""),"0")</f>
        <v>0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5.75" customHeight="1">
      <c r="A164" s="1"/>
      <c r="B164" s="1" t="str">
        <f t="array" ref="B164">XLOOKUP(C164,Tabela_1[NOME ESCOLA PONTO ID],Tabela_1[REGIONAL],"NE",0)</f>
        <v>REGIONAL 5</v>
      </c>
      <c r="C164" s="3" t="str">
        <f>IFERROR(__xludf.DUMMYFUNCTION("""COMPUTED_VALUE"""),"CEMEI PROFESSORA LINDOMAR DOMINGOS DA SILVA ANJOS")</f>
        <v>CEMEI PROFESSORA LINDOMAR DOMINGOS DA SILVA ANJOS</v>
      </c>
      <c r="D164" s="1" t="str">
        <f>IFERROR(__xludf.DUMMYFUNCTION("""COMPUTED_VALUE"""),"26191296")</f>
        <v>26191296</v>
      </c>
      <c r="E164" s="1" t="str">
        <f>IFERROR(__xludf.DUMMYFUNCTION("""COMPUTED_VALUE"""),"INFANTIL 3")</f>
        <v>INFANTIL 3</v>
      </c>
      <c r="F164" s="1" t="str">
        <f>IFERROR(__xludf.DUMMYFUNCTION("""COMPUTED_VALUE"""),"Integral")</f>
        <v>Integral</v>
      </c>
      <c r="G164" s="1" t="str">
        <f>IFERROR(__xludf.DUMMYFUNCTION("""COMPUTED_VALUE"""),"Comum")</f>
        <v>Comum</v>
      </c>
      <c r="H164" s="1" t="str">
        <f>IFERROR(__xludf.DUMMYFUNCTION("""COMPUTED_VALUE"""),"30")</f>
        <v>30</v>
      </c>
      <c r="I164" s="6" t="str">
        <f>IFERROR(__xludf.DUMMYFUNCTION("""COMPUTED_VALUE"""),"26062254001")</f>
        <v>26062254001</v>
      </c>
      <c r="J164" s="1" t="str">
        <f>IFERROR(__xludf.DUMMYFUNCTION("""COMPUTED_VALUE"""),"08/06/2026 14:32:49")</f>
        <v>08/06/2026 14:32:49</v>
      </c>
      <c r="K164" s="1" t="str">
        <f>IFERROR(__xludf.DUMMYFUNCTION("""COMPUTED_VALUE"""),"Eva Thais Silva de Melo")</f>
        <v>Eva Thais Silva de Melo</v>
      </c>
      <c r="L164" s="5" t="str">
        <f>IFERROR(__xludf.DUMMYFUNCTION("""COMPUTED_VALUE"""),"181.746.834-02")</f>
        <v>181.746.834-02</v>
      </c>
      <c r="M164" s="5" t="str">
        <f>IFERROR(__xludf.DUMMYFUNCTION("""COMPUTED_VALUE"""),"17/05/2022")</f>
        <v>17/05/2022</v>
      </c>
      <c r="N164" s="1"/>
      <c r="O164" s="1" t="str">
        <f>IFERROR(__xludf.DUMMYFUNCTION("""COMPUTED_VALUE"""),"0")</f>
        <v>0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5.75" customHeight="1">
      <c r="A165" s="1"/>
      <c r="B165" s="1" t="str">
        <f t="array" ref="B165">XLOOKUP(C165,Tabela_1[NOME ESCOLA PONTO ID],Tabela_1[REGIONAL],"NE",0)</f>
        <v>REGIONAL 5</v>
      </c>
      <c r="C165" s="3" t="str">
        <f>IFERROR(__xludf.DUMMYFUNCTION("""COMPUTED_VALUE"""),"CEMEI PROFESSORA LINDOMAR DOMINGOS DA SILVA ANJOS")</f>
        <v>CEMEI PROFESSORA LINDOMAR DOMINGOS DA SILVA ANJOS</v>
      </c>
      <c r="D165" s="1" t="str">
        <f>IFERROR(__xludf.DUMMYFUNCTION("""COMPUTED_VALUE"""),"26191296")</f>
        <v>26191296</v>
      </c>
      <c r="E165" s="1" t="str">
        <f>IFERROR(__xludf.DUMMYFUNCTION("""COMPUTED_VALUE"""),"INFANTIL 3")</f>
        <v>INFANTIL 3</v>
      </c>
      <c r="F165" s="1" t="str">
        <f>IFERROR(__xludf.DUMMYFUNCTION("""COMPUTED_VALUE"""),"Integral")</f>
        <v>Integral</v>
      </c>
      <c r="G165" s="1" t="str">
        <f>IFERROR(__xludf.DUMMYFUNCTION("""COMPUTED_VALUE"""),"Comum")</f>
        <v>Comum</v>
      </c>
      <c r="H165" s="1" t="str">
        <f>IFERROR(__xludf.DUMMYFUNCTION("""COMPUTED_VALUE"""),"31")</f>
        <v>31</v>
      </c>
      <c r="I165" s="6" t="str">
        <f>IFERROR(__xludf.DUMMYFUNCTION("""COMPUTED_VALUE"""),"26062546798")</f>
        <v>26062546798</v>
      </c>
      <c r="J165" s="1" t="str">
        <f>IFERROR(__xludf.DUMMYFUNCTION("""COMPUTED_VALUE"""),"11/06/2026 11:18:56")</f>
        <v>11/06/2026 11:18:56</v>
      </c>
      <c r="K165" s="1" t="str">
        <f>IFERROR(__xludf.DUMMYFUNCTION("""COMPUTED_VALUE"""),"ANDREW CAETANO DOS SANTOS")</f>
        <v>ANDREW CAETANO DOS SANTOS</v>
      </c>
      <c r="L165" s="5" t="str">
        <f>IFERROR(__xludf.DUMMYFUNCTION("""COMPUTED_VALUE"""),"184.039.284-32")</f>
        <v>184.039.284-32</v>
      </c>
      <c r="M165" s="5" t="str">
        <f>IFERROR(__xludf.DUMMYFUNCTION("""COMPUTED_VALUE"""),"12/01/2023")</f>
        <v>12/01/2023</v>
      </c>
      <c r="N165" s="1"/>
      <c r="O165" s="1" t="str">
        <f>IFERROR(__xludf.DUMMYFUNCTION("""COMPUTED_VALUE"""),"0")</f>
        <v>0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5.75" customHeight="1">
      <c r="A166" s="1"/>
      <c r="B166" s="1" t="str">
        <f t="array" ref="B166">XLOOKUP(C166,Tabela_1[NOME ESCOLA PONTO ID],Tabela_1[REGIONAL],"NE",0)</f>
        <v>REGIONAL 5</v>
      </c>
      <c r="C166" s="3" t="str">
        <f>IFERROR(__xludf.DUMMYFUNCTION("""COMPUTED_VALUE"""),"CEMEI PROFESSORA LINDOMAR DOMINGOS DA SILVA ANJOS")</f>
        <v>CEMEI PROFESSORA LINDOMAR DOMINGOS DA SILVA ANJOS</v>
      </c>
      <c r="D166" s="1" t="str">
        <f>IFERROR(__xludf.DUMMYFUNCTION("""COMPUTED_VALUE"""),"26191296")</f>
        <v>26191296</v>
      </c>
      <c r="E166" s="1" t="str">
        <f>IFERROR(__xludf.DUMMYFUNCTION("""COMPUTED_VALUE"""),"INFANTIL 4")</f>
        <v>INFANTIL 4</v>
      </c>
      <c r="F166" s="1" t="str">
        <f>IFERROR(__xludf.DUMMYFUNCTION("""COMPUTED_VALUE"""),"Vespertino/Tarde")</f>
        <v>Vespertino/Tarde</v>
      </c>
      <c r="G166" s="1" t="str">
        <f>IFERROR(__xludf.DUMMYFUNCTION("""COMPUTED_VALUE"""),"Comum")</f>
        <v>Comum</v>
      </c>
      <c r="H166" s="1" t="str">
        <f>IFERROR(__xludf.DUMMYFUNCTION("""COMPUTED_VALUE"""),"1")</f>
        <v>1</v>
      </c>
      <c r="I166" s="6" t="str">
        <f>IFERROR(__xludf.DUMMYFUNCTION("""COMPUTED_VALUE"""),"26032136926")</f>
        <v>26032136926</v>
      </c>
      <c r="J166" s="1" t="str">
        <f>IFERROR(__xludf.DUMMYFUNCTION("""COMPUTED_VALUE"""),"05/03/2026 16:16:54")</f>
        <v>05/03/2026 16:16:54</v>
      </c>
      <c r="K166" s="1" t="str">
        <f>IFERROR(__xludf.DUMMYFUNCTION("""COMPUTED_VALUE"""),"JOAO GABRIEL DE OLIVEIRA")</f>
        <v>JOAO GABRIEL DE OLIVEIRA</v>
      </c>
      <c r="L166" s="5" t="str">
        <f>IFERROR(__xludf.DUMMYFUNCTION("""COMPUTED_VALUE"""),"178.328.754-37")</f>
        <v>178.328.754-37</v>
      </c>
      <c r="M166" s="5" t="str">
        <f>IFERROR(__xludf.DUMMYFUNCTION("""COMPUTED_VALUE"""),"17/09/2021")</f>
        <v>17/09/2021</v>
      </c>
      <c r="N166" s="1"/>
      <c r="O166" s="1" t="str">
        <f>IFERROR(__xludf.DUMMYFUNCTION("""COMPUTED_VALUE"""),"0")</f>
        <v>0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5.75" customHeight="1">
      <c r="A167" s="1"/>
      <c r="B167" s="1" t="str">
        <f t="array" ref="B167">XLOOKUP(C167,Tabela_1[NOME ESCOLA PONTO ID],Tabela_1[REGIONAL],"NE",0)</f>
        <v>REGIONAL 5</v>
      </c>
      <c r="C167" s="3" t="str">
        <f>IFERROR(__xludf.DUMMYFUNCTION("""COMPUTED_VALUE"""),"CEMEI PROFESSORA LINDOMAR DOMINGOS DA SILVA ANJOS")</f>
        <v>CEMEI PROFESSORA LINDOMAR DOMINGOS DA SILVA ANJOS</v>
      </c>
      <c r="D167" s="1" t="str">
        <f>IFERROR(__xludf.DUMMYFUNCTION("""COMPUTED_VALUE"""),"26191296")</f>
        <v>26191296</v>
      </c>
      <c r="E167" s="1" t="str">
        <f>IFERROR(__xludf.DUMMYFUNCTION("""COMPUTED_VALUE"""),"INFANTIL 5")</f>
        <v>INFANTIL 5</v>
      </c>
      <c r="F167" s="1" t="str">
        <f>IFERROR(__xludf.DUMMYFUNCTION("""COMPUTED_VALUE"""),"Vespertino/Tarde")</f>
        <v>Vespertino/Tarde</v>
      </c>
      <c r="G167" s="1" t="str">
        <f>IFERROR(__xludf.DUMMYFUNCTION("""COMPUTED_VALUE"""),"Comum")</f>
        <v>Comum</v>
      </c>
      <c r="H167" s="1" t="str">
        <f>IFERROR(__xludf.DUMMYFUNCTION("""COMPUTED_VALUE"""),"1")</f>
        <v>1</v>
      </c>
      <c r="I167" s="6" t="str">
        <f>IFERROR(__xludf.DUMMYFUNCTION("""COMPUTED_VALUE"""),"26032749886")</f>
        <v>26032749886</v>
      </c>
      <c r="J167" s="1" t="str">
        <f>IFERROR(__xludf.DUMMYFUNCTION("""COMPUTED_VALUE"""),"02/03/2026 14:01:53")</f>
        <v>02/03/2026 14:01:53</v>
      </c>
      <c r="K167" s="1" t="str">
        <f>IFERROR(__xludf.DUMMYFUNCTION("""COMPUTED_VALUE"""),"RAVI PIETRO TAVARES DO NASCIMENTO")</f>
        <v>RAVI PIETRO TAVARES DO NASCIMENTO</v>
      </c>
      <c r="L167" s="5" t="str">
        <f>IFERROR(__xludf.DUMMYFUNCTION("""COMPUTED_VALUE"""),"176.300.424-42")</f>
        <v>176.300.424-42</v>
      </c>
      <c r="M167" s="5" t="str">
        <f>IFERROR(__xludf.DUMMYFUNCTION("""COMPUTED_VALUE"""),"28/12/2020")</f>
        <v>28/12/2020</v>
      </c>
      <c r="N167" s="1"/>
      <c r="O167" s="1" t="str">
        <f>IFERROR(__xludf.DUMMYFUNCTION("""COMPUTED_VALUE"""),"0")</f>
        <v>0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5.75" customHeight="1">
      <c r="A168" s="1"/>
      <c r="B168" s="1" t="str">
        <f t="array" ref="B168">XLOOKUP(C168,Tabela_1[NOME ESCOLA PONTO ID],Tabela_1[REGIONAL],"NE",0)</f>
        <v>REGIONAL 5</v>
      </c>
      <c r="C168" s="3" t="str">
        <f>IFERROR(__xludf.DUMMYFUNCTION("""COMPUTED_VALUE"""),"CEMEI PROFESSORA LINDOMAR DOMINGOS DA SILVA ANJOS")</f>
        <v>CEMEI PROFESSORA LINDOMAR DOMINGOS DA SILVA ANJOS</v>
      </c>
      <c r="D168" s="1" t="str">
        <f>IFERROR(__xludf.DUMMYFUNCTION("""COMPUTED_VALUE"""),"26191296")</f>
        <v>26191296</v>
      </c>
      <c r="E168" s="1" t="str">
        <f>IFERROR(__xludf.DUMMYFUNCTION("""COMPUTED_VALUE"""),"INFANTIL 5")</f>
        <v>INFANTIL 5</v>
      </c>
      <c r="F168" s="1" t="str">
        <f>IFERROR(__xludf.DUMMYFUNCTION("""COMPUTED_VALUE"""),"Vespertino/Tarde")</f>
        <v>Vespertino/Tarde</v>
      </c>
      <c r="G168" s="1" t="str">
        <f>IFERROR(__xludf.DUMMYFUNCTION("""COMPUTED_VALUE"""),"Comum")</f>
        <v>Comum</v>
      </c>
      <c r="H168" s="1" t="str">
        <f>IFERROR(__xludf.DUMMYFUNCTION("""COMPUTED_VALUE"""),"2")</f>
        <v>2</v>
      </c>
      <c r="I168" s="6" t="str">
        <f>IFERROR(__xludf.DUMMYFUNCTION("""COMPUTED_VALUE"""),"26032756557")</f>
        <v>26032756557</v>
      </c>
      <c r="J168" s="1" t="str">
        <f>IFERROR(__xludf.DUMMYFUNCTION("""COMPUTED_VALUE"""),"16/03/2026 12:40:48")</f>
        <v>16/03/2026 12:40:48</v>
      </c>
      <c r="K168" s="1" t="str">
        <f>IFERROR(__xludf.DUMMYFUNCTION("""COMPUTED_VALUE"""),"ARTHUR MIGUEL GOMES DE LUNA")</f>
        <v>ARTHUR MIGUEL GOMES DE LUNA</v>
      </c>
      <c r="L168" s="5" t="str">
        <f>IFERROR(__xludf.DUMMYFUNCTION("""COMPUTED_VALUE"""),"171.407.834-54")</f>
        <v>171.407.834-54</v>
      </c>
      <c r="M168" s="5" t="str">
        <f>IFERROR(__xludf.DUMMYFUNCTION("""COMPUTED_VALUE"""),"14/04/2020")</f>
        <v>14/04/2020</v>
      </c>
      <c r="N168" s="1"/>
      <c r="O168" s="1" t="str">
        <f>IFERROR(__xludf.DUMMYFUNCTION("""COMPUTED_VALUE"""),"0")</f>
        <v>0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5.75" customHeight="1">
      <c r="A169" s="1"/>
      <c r="B169" s="1" t="str">
        <f t="array" ref="B169">XLOOKUP(C169,Tabela_1[NOME ESCOLA PONTO ID],Tabela_1[REGIONAL],"NE",0)</f>
        <v>REGIONAL 5</v>
      </c>
      <c r="C169" s="3" t="str">
        <f>IFERROR(__xludf.DUMMYFUNCTION("""COMPUTED_VALUE"""),"CEMEI PROFESSORA MARIA DE FÁTIMA DA SILVA")</f>
        <v>CEMEI PROFESSORA MARIA DE FÁTIMA DA SILVA</v>
      </c>
      <c r="D169" s="1" t="str">
        <f>IFERROR(__xludf.DUMMYFUNCTION("""COMPUTED_VALUE"""),"26183838")</f>
        <v>26183838</v>
      </c>
      <c r="E169" s="1" t="str">
        <f>IFERROR(__xludf.DUMMYFUNCTION("""COMPUTED_VALUE"""),"INFANTIL 5")</f>
        <v>INFANTIL 5</v>
      </c>
      <c r="F169" s="1" t="str">
        <f>IFERROR(__xludf.DUMMYFUNCTION("""COMPUTED_VALUE"""),"Vespertino/Tarde")</f>
        <v>Vespertino/Tarde</v>
      </c>
      <c r="G169" s="1" t="str">
        <f>IFERROR(__xludf.DUMMYFUNCTION("""COMPUTED_VALUE"""),"Comum")</f>
        <v>Comum</v>
      </c>
      <c r="H169" s="1" t="str">
        <f>IFERROR(__xludf.DUMMYFUNCTION("""COMPUTED_VALUE"""),"1")</f>
        <v>1</v>
      </c>
      <c r="I169" s="6" t="str">
        <f>IFERROR(__xludf.DUMMYFUNCTION("""COMPUTED_VALUE"""),"26032134142")</f>
        <v>26032134142</v>
      </c>
      <c r="J169" s="1" t="str">
        <f>IFERROR(__xludf.DUMMYFUNCTION("""COMPUTED_VALUE"""),"11/03/2026 11:26:36")</f>
        <v>11/03/2026 11:26:36</v>
      </c>
      <c r="K169" s="1" t="str">
        <f>IFERROR(__xludf.DUMMYFUNCTION("""COMPUTED_VALUE"""),"JOAQUIM BENICIO FERREIRA GOMES")</f>
        <v>JOAQUIM BENICIO FERREIRA GOMES</v>
      </c>
      <c r="L169" s="5" t="str">
        <f>IFERROR(__xludf.DUMMYFUNCTION("""COMPUTED_VALUE"""),"171.551.144-13")</f>
        <v>171.551.144-13</v>
      </c>
      <c r="M169" s="5" t="str">
        <f>IFERROR(__xludf.DUMMYFUNCTION("""COMPUTED_VALUE"""),"16/04/2020")</f>
        <v>16/04/2020</v>
      </c>
      <c r="N169" s="1"/>
      <c r="O169" s="1" t="str">
        <f>IFERROR(__xludf.DUMMYFUNCTION("""COMPUTED_VALUE"""),"0")</f>
        <v>0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5.75" customHeight="1">
      <c r="A170" s="1"/>
      <c r="B170" s="1" t="str">
        <f t="array" ref="B170">XLOOKUP(C170,Tabela_1[NOME ESCOLA PONTO ID],Tabela_1[REGIONAL],"NE",0)</f>
        <v>REGIONAL 6</v>
      </c>
      <c r="C170" s="3" t="str">
        <f>IFERROR(__xludf.DUMMYFUNCTION("""COMPUTED_VALUE"""),"CEMEI PROFESSORA MARLUCIA EVANGELISTA DE SOUZA")</f>
        <v>CEMEI PROFESSORA MARLUCIA EVANGELISTA DE SOUZA</v>
      </c>
      <c r="D170" s="1" t="str">
        <f>IFERROR(__xludf.DUMMYFUNCTION("""COMPUTED_VALUE"""),"26187078")</f>
        <v>26187078</v>
      </c>
      <c r="E170" s="1" t="str">
        <f>IFERROR(__xludf.DUMMYFUNCTION("""COMPUTED_VALUE"""),"INFANTIL 3")</f>
        <v>INFANTIL 3</v>
      </c>
      <c r="F170" s="1" t="str">
        <f>IFERROR(__xludf.DUMMYFUNCTION("""COMPUTED_VALUE"""),"Matutino/Manhã")</f>
        <v>Matutino/Manhã</v>
      </c>
      <c r="G170" s="1" t="str">
        <f>IFERROR(__xludf.DUMMYFUNCTION("""COMPUTED_VALUE"""),"Comum")</f>
        <v>Comum</v>
      </c>
      <c r="H170" s="1" t="str">
        <f>IFERROR(__xludf.DUMMYFUNCTION("""COMPUTED_VALUE"""),"1")</f>
        <v>1</v>
      </c>
      <c r="I170" s="6" t="str">
        <f>IFERROR(__xludf.DUMMYFUNCTION("""COMPUTED_VALUE"""),"26022435909")</f>
        <v>26022435909</v>
      </c>
      <c r="J170" s="1" t="str">
        <f>IFERROR(__xludf.DUMMYFUNCTION("""COMPUTED_VALUE"""),"24/02/2026 14:04:38")</f>
        <v>24/02/2026 14:04:38</v>
      </c>
      <c r="K170" s="1" t="str">
        <f>IFERROR(__xludf.DUMMYFUNCTION("""COMPUTED_VALUE"""),"JOAO MIGUEL FRAZAO DA SILVA")</f>
        <v>JOAO MIGUEL FRAZAO DA SILVA</v>
      </c>
      <c r="L170" s="5" t="str">
        <f>IFERROR(__xludf.DUMMYFUNCTION("""COMPUTED_VALUE"""),"185.844.714-30")</f>
        <v>185.844.714-30</v>
      </c>
      <c r="M170" s="5" t="str">
        <f>IFERROR(__xludf.DUMMYFUNCTION("""COMPUTED_VALUE"""),"01/11/2022")</f>
        <v>01/11/2022</v>
      </c>
      <c r="N170" s="1"/>
      <c r="O170" s="1" t="str">
        <f>IFERROR(__xludf.DUMMYFUNCTION("""COMPUTED_VALUE"""),"0")</f>
        <v>0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5.75" customHeight="1">
      <c r="A171" s="1"/>
      <c r="B171" s="1" t="str">
        <f t="array" ref="B171">XLOOKUP(C171,Tabela_1[NOME ESCOLA PONTO ID],Tabela_1[REGIONAL],"NE",0)</f>
        <v>REGIONAL 6</v>
      </c>
      <c r="C171" s="3" t="str">
        <f>IFERROR(__xludf.DUMMYFUNCTION("""COMPUTED_VALUE"""),"CEMEI PROFESSORA MARLUCIA EVANGELISTA DE SOUZA")</f>
        <v>CEMEI PROFESSORA MARLUCIA EVANGELISTA DE SOUZA</v>
      </c>
      <c r="D171" s="1" t="str">
        <f>IFERROR(__xludf.DUMMYFUNCTION("""COMPUTED_VALUE"""),"26187078")</f>
        <v>26187078</v>
      </c>
      <c r="E171" s="1" t="str">
        <f>IFERROR(__xludf.DUMMYFUNCTION("""COMPUTED_VALUE"""),"INFANTIL 3")</f>
        <v>INFANTIL 3</v>
      </c>
      <c r="F171" s="1" t="str">
        <f>IFERROR(__xludf.DUMMYFUNCTION("""COMPUTED_VALUE"""),"Matutino/Manhã")</f>
        <v>Matutino/Manhã</v>
      </c>
      <c r="G171" s="1" t="str">
        <f>IFERROR(__xludf.DUMMYFUNCTION("""COMPUTED_VALUE"""),"Comum")</f>
        <v>Comum</v>
      </c>
      <c r="H171" s="1" t="str">
        <f>IFERROR(__xludf.DUMMYFUNCTION("""COMPUTED_VALUE"""),"2")</f>
        <v>2</v>
      </c>
      <c r="I171" s="6" t="str">
        <f>IFERROR(__xludf.DUMMYFUNCTION("""COMPUTED_VALUE"""),"26032293100")</f>
        <v>26032293100</v>
      </c>
      <c r="J171" s="1" t="str">
        <f>IFERROR(__xludf.DUMMYFUNCTION("""COMPUTED_VALUE"""),"26/03/2026 11:14:13")</f>
        <v>26/03/2026 11:14:13</v>
      </c>
      <c r="K171" s="1" t="str">
        <f>IFERROR(__xludf.DUMMYFUNCTION("""COMPUTED_VALUE"""),"ENZO GABRIEL MENDONÇA DO NASCIMENTO")</f>
        <v>ENZO GABRIEL MENDONÇA DO NASCIMENTO</v>
      </c>
      <c r="L171" s="5" t="str">
        <f>IFERROR(__xludf.DUMMYFUNCTION("""COMPUTED_VALUE"""),"183.493.574-10")</f>
        <v>183.493.574-10</v>
      </c>
      <c r="M171" s="5" t="str">
        <f>IFERROR(__xludf.DUMMYFUNCTION("""COMPUTED_VALUE"""),"19/11/2022")</f>
        <v>19/11/2022</v>
      </c>
      <c r="N171" s="1"/>
      <c r="O171" s="1" t="str">
        <f>IFERROR(__xludf.DUMMYFUNCTION("""COMPUTED_VALUE"""),"0")</f>
        <v>0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5.75" customHeight="1">
      <c r="A172" s="1"/>
      <c r="B172" s="1" t="str">
        <f t="array" ref="B172">XLOOKUP(C172,Tabela_1[NOME ESCOLA PONTO ID],Tabela_1[REGIONAL],"NE",0)</f>
        <v>REGIONAL 6</v>
      </c>
      <c r="C172" s="3" t="str">
        <f>IFERROR(__xludf.DUMMYFUNCTION("""COMPUTED_VALUE"""),"CEMEI PROFESSORA MARLUCIA EVANGELISTA DE SOUZA")</f>
        <v>CEMEI PROFESSORA MARLUCIA EVANGELISTA DE SOUZA</v>
      </c>
      <c r="D172" s="1" t="str">
        <f>IFERROR(__xludf.DUMMYFUNCTION("""COMPUTED_VALUE"""),"26187078")</f>
        <v>26187078</v>
      </c>
      <c r="E172" s="1" t="str">
        <f>IFERROR(__xludf.DUMMYFUNCTION("""COMPUTED_VALUE"""),"INFANTIL 3")</f>
        <v>INFANTIL 3</v>
      </c>
      <c r="F172" s="1" t="str">
        <f>IFERROR(__xludf.DUMMYFUNCTION("""COMPUTED_VALUE"""),"Matutino/Manhã")</f>
        <v>Matutino/Manhã</v>
      </c>
      <c r="G172" s="1" t="str">
        <f>IFERROR(__xludf.DUMMYFUNCTION("""COMPUTED_VALUE"""),"Comum")</f>
        <v>Comum</v>
      </c>
      <c r="H172" s="1" t="str">
        <f>IFERROR(__xludf.DUMMYFUNCTION("""COMPUTED_VALUE"""),"3")</f>
        <v>3</v>
      </c>
      <c r="I172" s="6" t="str">
        <f>IFERROR(__xludf.DUMMYFUNCTION("""COMPUTED_VALUE"""),"26032185977")</f>
        <v>26032185977</v>
      </c>
      <c r="J172" s="1" t="str">
        <f>IFERROR(__xludf.DUMMYFUNCTION("""COMPUTED_VALUE"""),"27/03/2026 08:54:52")</f>
        <v>27/03/2026 08:54:52</v>
      </c>
      <c r="K172" s="1" t="str">
        <f>IFERROR(__xludf.DUMMYFUNCTION("""COMPUTED_VALUE"""),"MARIA HELLENA DA SILVA LIMA")</f>
        <v>MARIA HELLENA DA SILVA LIMA</v>
      </c>
      <c r="L172" s="5" t="str">
        <f>IFERROR(__xludf.DUMMYFUNCTION("""COMPUTED_VALUE"""),"183.573.784-63")</f>
        <v>183.573.784-63</v>
      </c>
      <c r="M172" s="5" t="str">
        <f>IFERROR(__xludf.DUMMYFUNCTION("""COMPUTED_VALUE"""),"11/05/2022")</f>
        <v>11/05/2022</v>
      </c>
      <c r="N172" s="1"/>
      <c r="O172" s="1" t="str">
        <f>IFERROR(__xludf.DUMMYFUNCTION("""COMPUTED_VALUE"""),"0")</f>
        <v>0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5.75" customHeight="1">
      <c r="A173" s="1"/>
      <c r="B173" s="1" t="str">
        <f t="array" ref="B173">XLOOKUP(C173,Tabela_1[NOME ESCOLA PONTO ID],Tabela_1[REGIONAL],"NE",0)</f>
        <v>REGIONAL 6</v>
      </c>
      <c r="C173" s="3" t="str">
        <f>IFERROR(__xludf.DUMMYFUNCTION("""COMPUTED_VALUE"""),"CEMEI PROFESSORA MARLUCIA EVANGELISTA DE SOUZA")</f>
        <v>CEMEI PROFESSORA MARLUCIA EVANGELISTA DE SOUZA</v>
      </c>
      <c r="D173" s="1" t="str">
        <f>IFERROR(__xludf.DUMMYFUNCTION("""COMPUTED_VALUE"""),"26187078")</f>
        <v>26187078</v>
      </c>
      <c r="E173" s="1" t="str">
        <f>IFERROR(__xludf.DUMMYFUNCTION("""COMPUTED_VALUE"""),"INFANTIL 3")</f>
        <v>INFANTIL 3</v>
      </c>
      <c r="F173" s="1" t="str">
        <f>IFERROR(__xludf.DUMMYFUNCTION("""COMPUTED_VALUE"""),"Matutino/Manhã")</f>
        <v>Matutino/Manhã</v>
      </c>
      <c r="G173" s="1" t="str">
        <f>IFERROR(__xludf.DUMMYFUNCTION("""COMPUTED_VALUE"""),"Comum")</f>
        <v>Comum</v>
      </c>
      <c r="H173" s="1" t="str">
        <f>IFERROR(__xludf.DUMMYFUNCTION("""COMPUTED_VALUE"""),"4")</f>
        <v>4</v>
      </c>
      <c r="I173" s="6" t="str">
        <f>IFERROR(__xludf.DUMMYFUNCTION("""COMPUTED_VALUE"""),"26062014498")</f>
        <v>26062014498</v>
      </c>
      <c r="J173" s="1" t="str">
        <f>IFERROR(__xludf.DUMMYFUNCTION("""COMPUTED_VALUE"""),"09/06/2026 13:23:26")</f>
        <v>09/06/2026 13:23:26</v>
      </c>
      <c r="K173" s="1" t="str">
        <f>IFERROR(__xludf.DUMMYFUNCTION("""COMPUTED_VALUE"""),"Maria Cecília Lima dos Santos")</f>
        <v>Maria Cecília Lima dos Santos</v>
      </c>
      <c r="L173" s="5" t="str">
        <f>IFERROR(__xludf.DUMMYFUNCTION("""COMPUTED_VALUE"""),"184.183.674-58")</f>
        <v>184.183.674-58</v>
      </c>
      <c r="M173" s="5" t="str">
        <f>IFERROR(__xludf.DUMMYFUNCTION("""COMPUTED_VALUE"""),"04/01/2023")</f>
        <v>04/01/2023</v>
      </c>
      <c r="N173" s="1"/>
      <c r="O173" s="1" t="str">
        <f>IFERROR(__xludf.DUMMYFUNCTION("""COMPUTED_VALUE"""),"0")</f>
        <v>0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5.75" customHeight="1">
      <c r="A174" s="1"/>
      <c r="B174" s="1" t="str">
        <f t="array" ref="B174">XLOOKUP(C174,Tabela_1[NOME ESCOLA PONTO ID],Tabela_1[REGIONAL],"NE",0)</f>
        <v>REGIONAL 6</v>
      </c>
      <c r="C174" s="3" t="str">
        <f>IFERROR(__xludf.DUMMYFUNCTION("""COMPUTED_VALUE"""),"CEMEI PROFESSORA MARLUCIA EVANGELISTA DE SOUZA")</f>
        <v>CEMEI PROFESSORA MARLUCIA EVANGELISTA DE SOUZA</v>
      </c>
      <c r="D174" s="1" t="str">
        <f>IFERROR(__xludf.DUMMYFUNCTION("""COMPUTED_VALUE"""),"26187078")</f>
        <v>26187078</v>
      </c>
      <c r="E174" s="1" t="str">
        <f>IFERROR(__xludf.DUMMYFUNCTION("""COMPUTED_VALUE"""),"INFANTIL 3")</f>
        <v>INFANTIL 3</v>
      </c>
      <c r="F174" s="1" t="str">
        <f>IFERROR(__xludf.DUMMYFUNCTION("""COMPUTED_VALUE"""),"Vespertino/Tarde")</f>
        <v>Vespertino/Tarde</v>
      </c>
      <c r="G174" s="1" t="str">
        <f>IFERROR(__xludf.DUMMYFUNCTION("""COMPUTED_VALUE"""),"Comum")</f>
        <v>Comum</v>
      </c>
      <c r="H174" s="1" t="str">
        <f>IFERROR(__xludf.DUMMYFUNCTION("""COMPUTED_VALUE"""),"1")</f>
        <v>1</v>
      </c>
      <c r="I174" s="6" t="str">
        <f>IFERROR(__xludf.DUMMYFUNCTION("""COMPUTED_VALUE"""),"26032895116")</f>
        <v>26032895116</v>
      </c>
      <c r="J174" s="1" t="str">
        <f>IFERROR(__xludf.DUMMYFUNCTION("""COMPUTED_VALUE"""),"31/03/2026 08:33:16")</f>
        <v>31/03/2026 08:33:16</v>
      </c>
      <c r="K174" s="1" t="str">
        <f>IFERROR(__xludf.DUMMYFUNCTION("""COMPUTED_VALUE"""),"APOLLO GABRIEL BRITO DO NASCIMENTO")</f>
        <v>APOLLO GABRIEL BRITO DO NASCIMENTO</v>
      </c>
      <c r="L174" s="5" t="str">
        <f>IFERROR(__xludf.DUMMYFUNCTION("""COMPUTED_VALUE"""),"184.343.404-02")</f>
        <v>184.343.404-02</v>
      </c>
      <c r="M174" s="7" t="str">
        <f>IFERROR(__xludf.DUMMYFUNCTION("""COMPUTED_VALUE"""),"03/02/2023")</f>
        <v>03/02/2023</v>
      </c>
      <c r="N174" s="1"/>
      <c r="O174" s="1" t="str">
        <f>IFERROR(__xludf.DUMMYFUNCTION("""COMPUTED_VALUE"""),"0")</f>
        <v>0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5.75" customHeight="1">
      <c r="A175" s="1"/>
      <c r="B175" s="1" t="str">
        <f t="array" ref="B175">XLOOKUP(C175,Tabela_1[NOME ESCOLA PONTO ID],Tabela_1[REGIONAL],"NE",0)</f>
        <v>REGIONAL 6</v>
      </c>
      <c r="C175" s="3" t="str">
        <f>IFERROR(__xludf.DUMMYFUNCTION("""COMPUTED_VALUE"""),"CEMEI PROFESSORA MARLUCIA EVANGELISTA DE SOUZA")</f>
        <v>CEMEI PROFESSORA MARLUCIA EVANGELISTA DE SOUZA</v>
      </c>
      <c r="D175" s="1" t="str">
        <f>IFERROR(__xludf.DUMMYFUNCTION("""COMPUTED_VALUE"""),"26187078")</f>
        <v>26187078</v>
      </c>
      <c r="E175" s="1" t="str">
        <f>IFERROR(__xludf.DUMMYFUNCTION("""COMPUTED_VALUE"""),"INFANTIL 4")</f>
        <v>INFANTIL 4</v>
      </c>
      <c r="F175" s="1" t="str">
        <f>IFERROR(__xludf.DUMMYFUNCTION("""COMPUTED_VALUE"""),"Matutino/Manhã")</f>
        <v>Matutino/Manhã</v>
      </c>
      <c r="G175" s="1" t="str">
        <f>IFERROR(__xludf.DUMMYFUNCTION("""COMPUTED_VALUE"""),"Comum")</f>
        <v>Comum</v>
      </c>
      <c r="H175" s="1" t="str">
        <f>IFERROR(__xludf.DUMMYFUNCTION("""COMPUTED_VALUE"""),"1")</f>
        <v>1</v>
      </c>
      <c r="I175" s="6" t="str">
        <f>IFERROR(__xludf.DUMMYFUNCTION("""COMPUTED_VALUE"""),"26022443512")</f>
        <v>26022443512</v>
      </c>
      <c r="J175" s="1" t="str">
        <f>IFERROR(__xludf.DUMMYFUNCTION("""COMPUTED_VALUE"""),"27/02/2026 09:28:36")</f>
        <v>27/02/2026 09:28:36</v>
      </c>
      <c r="K175" s="1" t="str">
        <f>IFERROR(__xludf.DUMMYFUNCTION("""COMPUTED_VALUE"""),"NOAH SALLYS DA SILVA")</f>
        <v>NOAH SALLYS DA SILVA</v>
      </c>
      <c r="L175" s="5" t="str">
        <f>IFERROR(__xludf.DUMMYFUNCTION("""COMPUTED_VALUE"""),"180.273.404-03")</f>
        <v>180.273.404-03</v>
      </c>
      <c r="M175" s="5" t="str">
        <f>IFERROR(__xludf.DUMMYFUNCTION("""COMPUTED_VALUE"""),"24/01/2022")</f>
        <v>24/01/2022</v>
      </c>
      <c r="N175" s="1"/>
      <c r="O175" s="1" t="str">
        <f>IFERROR(__xludf.DUMMYFUNCTION("""COMPUTED_VALUE"""),"0")</f>
        <v>0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5.75" customHeight="1">
      <c r="A176" s="1"/>
      <c r="B176" s="1" t="str">
        <f t="array" ref="B176">XLOOKUP(C176,Tabela_1[NOME ESCOLA PONTO ID],Tabela_1[REGIONAL],"NE",0)</f>
        <v>REGIONAL 6</v>
      </c>
      <c r="C176" s="3" t="str">
        <f>IFERROR(__xludf.DUMMYFUNCTION("""COMPUTED_VALUE"""),"CEMEI PROFESSORA MARLUCIA EVANGELISTA DE SOUZA")</f>
        <v>CEMEI PROFESSORA MARLUCIA EVANGELISTA DE SOUZA</v>
      </c>
      <c r="D176" s="1" t="str">
        <f>IFERROR(__xludf.DUMMYFUNCTION("""COMPUTED_VALUE"""),"26187078")</f>
        <v>26187078</v>
      </c>
      <c r="E176" s="1" t="str">
        <f>IFERROR(__xludf.DUMMYFUNCTION("""COMPUTED_VALUE"""),"INFANTIL 4")</f>
        <v>INFANTIL 4</v>
      </c>
      <c r="F176" s="1" t="str">
        <f>IFERROR(__xludf.DUMMYFUNCTION("""COMPUTED_VALUE"""),"Matutino/Manhã")</f>
        <v>Matutino/Manhã</v>
      </c>
      <c r="G176" s="1" t="str">
        <f>IFERROR(__xludf.DUMMYFUNCTION("""COMPUTED_VALUE"""),"Comum")</f>
        <v>Comum</v>
      </c>
      <c r="H176" s="1" t="str">
        <f>IFERROR(__xludf.DUMMYFUNCTION("""COMPUTED_VALUE"""),"2")</f>
        <v>2</v>
      </c>
      <c r="I176" s="6" t="str">
        <f>IFERROR(__xludf.DUMMYFUNCTION("""COMPUTED_VALUE"""),"26032393004")</f>
        <v>26032393004</v>
      </c>
      <c r="J176" s="1" t="str">
        <f>IFERROR(__xludf.DUMMYFUNCTION("""COMPUTED_VALUE"""),"18/03/2026 10:20:58")</f>
        <v>18/03/2026 10:20:58</v>
      </c>
      <c r="K176" s="1" t="str">
        <f>IFERROR(__xludf.DUMMYFUNCTION("""COMPUTED_VALUE"""),"ELLENA SILVA DE LIMA")</f>
        <v>ELLENA SILVA DE LIMA</v>
      </c>
      <c r="L176" s="5" t="str">
        <f>IFERROR(__xludf.DUMMYFUNCTION("""COMPUTED_VALUE"""),"179.048.964-43")</f>
        <v>179.048.964-43</v>
      </c>
      <c r="M176" s="5" t="str">
        <f>IFERROR(__xludf.DUMMYFUNCTION("""COMPUTED_VALUE"""),"05/11/2021")</f>
        <v>05/11/2021</v>
      </c>
      <c r="N176" s="1"/>
      <c r="O176" s="1" t="str">
        <f>IFERROR(__xludf.DUMMYFUNCTION("""COMPUTED_VALUE"""),"0")</f>
        <v>0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5.75" customHeight="1">
      <c r="A177" s="1"/>
      <c r="B177" s="1" t="str">
        <f t="array" ref="B177">XLOOKUP(C177,Tabela_1[NOME ESCOLA PONTO ID],Tabela_1[REGIONAL],"NE",0)</f>
        <v>REGIONAL 6</v>
      </c>
      <c r="C177" s="3" t="str">
        <f>IFERROR(__xludf.DUMMYFUNCTION("""COMPUTED_VALUE"""),"CEMEI PROFESSORA MARLUCIA EVANGELISTA DE SOUZA")</f>
        <v>CEMEI PROFESSORA MARLUCIA EVANGELISTA DE SOUZA</v>
      </c>
      <c r="D177" s="1" t="str">
        <f>IFERROR(__xludf.DUMMYFUNCTION("""COMPUTED_VALUE"""),"26187078")</f>
        <v>26187078</v>
      </c>
      <c r="E177" s="1" t="str">
        <f>IFERROR(__xludf.DUMMYFUNCTION("""COMPUTED_VALUE"""),"INFANTIL 4")</f>
        <v>INFANTIL 4</v>
      </c>
      <c r="F177" s="1" t="str">
        <f>IFERROR(__xludf.DUMMYFUNCTION("""COMPUTED_VALUE"""),"Matutino/Manhã")</f>
        <v>Matutino/Manhã</v>
      </c>
      <c r="G177" s="1" t="str">
        <f>IFERROR(__xludf.DUMMYFUNCTION("""COMPUTED_VALUE"""),"Comum")</f>
        <v>Comum</v>
      </c>
      <c r="H177" s="1" t="str">
        <f>IFERROR(__xludf.DUMMYFUNCTION("""COMPUTED_VALUE"""),"3")</f>
        <v>3</v>
      </c>
      <c r="I177" s="6" t="str">
        <f>IFERROR(__xludf.DUMMYFUNCTION("""COMPUTED_VALUE"""),"26032605140")</f>
        <v>26032605140</v>
      </c>
      <c r="J177" s="1" t="str">
        <f>IFERROR(__xludf.DUMMYFUNCTION("""COMPUTED_VALUE"""),"31/03/2026 08:44:00")</f>
        <v>31/03/2026 08:44:00</v>
      </c>
      <c r="K177" s="1" t="str">
        <f>IFERROR(__xludf.DUMMYFUNCTION("""COMPUTED_VALUE"""),"GEOVANNA HELOÁ MARTINS RODRIGUES")</f>
        <v>GEOVANNA HELOÁ MARTINS RODRIGUES</v>
      </c>
      <c r="L177" s="5" t="str">
        <f>IFERROR(__xludf.DUMMYFUNCTION("""COMPUTED_VALUE"""),"160.602.139-79")</f>
        <v>160.602.139-79</v>
      </c>
      <c r="M177" s="5" t="str">
        <f>IFERROR(__xludf.DUMMYFUNCTION("""COMPUTED_VALUE"""),"18/09/2021")</f>
        <v>18/09/2021</v>
      </c>
      <c r="N177" s="1"/>
      <c r="O177" s="1" t="str">
        <f>IFERROR(__xludf.DUMMYFUNCTION("""COMPUTED_VALUE"""),"0")</f>
        <v>0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5.75" customHeight="1">
      <c r="A178" s="1"/>
      <c r="B178" s="1" t="str">
        <f t="array" ref="B178">XLOOKUP(C178,Tabela_1[NOME ESCOLA PONTO ID],Tabela_1[REGIONAL],"NE",0)</f>
        <v>REGIONAL 6</v>
      </c>
      <c r="C178" s="3" t="str">
        <f>IFERROR(__xludf.DUMMYFUNCTION("""COMPUTED_VALUE"""),"CEMEI PROFESSORA MARLUCIA EVANGELISTA DE SOUZA")</f>
        <v>CEMEI PROFESSORA MARLUCIA EVANGELISTA DE SOUZA</v>
      </c>
      <c r="D178" s="1" t="str">
        <f>IFERROR(__xludf.DUMMYFUNCTION("""COMPUTED_VALUE"""),"26187078")</f>
        <v>26187078</v>
      </c>
      <c r="E178" s="1" t="str">
        <f>IFERROR(__xludf.DUMMYFUNCTION("""COMPUTED_VALUE"""),"INFANTIL 4")</f>
        <v>INFANTIL 4</v>
      </c>
      <c r="F178" s="1" t="str">
        <f>IFERROR(__xludf.DUMMYFUNCTION("""COMPUTED_VALUE"""),"Matutino/Manhã")</f>
        <v>Matutino/Manhã</v>
      </c>
      <c r="G178" s="1" t="str">
        <f>IFERROR(__xludf.DUMMYFUNCTION("""COMPUTED_VALUE"""),"Comum")</f>
        <v>Comum</v>
      </c>
      <c r="H178" s="1" t="str">
        <f>IFERROR(__xludf.DUMMYFUNCTION("""COMPUTED_VALUE"""),"4")</f>
        <v>4</v>
      </c>
      <c r="I178" s="6" t="str">
        <f>IFERROR(__xludf.DUMMYFUNCTION("""COMPUTED_VALUE"""),"26042498422")</f>
        <v>26042498422</v>
      </c>
      <c r="J178" s="1" t="str">
        <f>IFERROR(__xludf.DUMMYFUNCTION("""COMPUTED_VALUE"""),"15/04/2026 09:10:01")</f>
        <v>15/04/2026 09:10:01</v>
      </c>
      <c r="K178" s="1" t="str">
        <f>IFERROR(__xludf.DUMMYFUNCTION("""COMPUTED_VALUE"""),"MATHEUS HENRIQUE OLIVEIRA DE LIMA")</f>
        <v>MATHEUS HENRIQUE OLIVEIRA DE LIMA</v>
      </c>
      <c r="L178" s="5" t="str">
        <f>IFERROR(__xludf.DUMMYFUNCTION("""COMPUTED_VALUE"""),"177.768.694-65")</f>
        <v>177.768.694-65</v>
      </c>
      <c r="M178" s="5" t="str">
        <f>IFERROR(__xludf.DUMMYFUNCTION("""COMPUTED_VALUE"""),"04/05/2021")</f>
        <v>04/05/2021</v>
      </c>
      <c r="N178" s="1"/>
      <c r="O178" s="1" t="str">
        <f>IFERROR(__xludf.DUMMYFUNCTION("""COMPUTED_VALUE"""),"0")</f>
        <v>0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5.75" customHeight="1">
      <c r="A179" s="1"/>
      <c r="B179" s="1" t="str">
        <f t="array" ref="B179">XLOOKUP(C179,Tabela_1[NOME ESCOLA PONTO ID],Tabela_1[REGIONAL],"NE",0)</f>
        <v>REGIONAL 6</v>
      </c>
      <c r="C179" s="3" t="str">
        <f>IFERROR(__xludf.DUMMYFUNCTION("""COMPUTED_VALUE"""),"CEMEI PROFESSORA MARLUCIA EVANGELISTA DE SOUZA")</f>
        <v>CEMEI PROFESSORA MARLUCIA EVANGELISTA DE SOUZA</v>
      </c>
      <c r="D179" s="1" t="str">
        <f>IFERROR(__xludf.DUMMYFUNCTION("""COMPUTED_VALUE"""),"26187078")</f>
        <v>26187078</v>
      </c>
      <c r="E179" s="1" t="str">
        <f>IFERROR(__xludf.DUMMYFUNCTION("""COMPUTED_VALUE"""),"INFANTIL 4")</f>
        <v>INFANTIL 4</v>
      </c>
      <c r="F179" s="1" t="str">
        <f>IFERROR(__xludf.DUMMYFUNCTION("""COMPUTED_VALUE"""),"Vespertino/Tarde")</f>
        <v>Vespertino/Tarde</v>
      </c>
      <c r="G179" s="1" t="str">
        <f>IFERROR(__xludf.DUMMYFUNCTION("""COMPUTED_VALUE"""),"Comum")</f>
        <v>Comum</v>
      </c>
      <c r="H179" s="1" t="str">
        <f>IFERROR(__xludf.DUMMYFUNCTION("""COMPUTED_VALUE"""),"1")</f>
        <v>1</v>
      </c>
      <c r="I179" s="6" t="str">
        <f>IFERROR(__xludf.DUMMYFUNCTION("""COMPUTED_VALUE"""),"26022453072")</f>
        <v>26022453072</v>
      </c>
      <c r="J179" s="1" t="str">
        <f>IFERROR(__xludf.DUMMYFUNCTION("""COMPUTED_VALUE"""),"09/02/2026 12:53:59")</f>
        <v>09/02/2026 12:53:59</v>
      </c>
      <c r="K179" s="1" t="str">
        <f>IFERROR(__xludf.DUMMYFUNCTION("""COMPUTED_VALUE"""),"RHAVI TELES SILVA")</f>
        <v>RHAVI TELES SILVA</v>
      </c>
      <c r="L179" s="5" t="str">
        <f>IFERROR(__xludf.DUMMYFUNCTION("""COMPUTED_VALUE"""),"178.592.664-07")</f>
        <v>178.592.664-07</v>
      </c>
      <c r="M179" s="5" t="str">
        <f>IFERROR(__xludf.DUMMYFUNCTION("""COMPUTED_VALUE"""),"02/10/2021")</f>
        <v>02/10/2021</v>
      </c>
      <c r="N179" s="1"/>
      <c r="O179" s="1" t="str">
        <f>IFERROR(__xludf.DUMMYFUNCTION("""COMPUTED_VALUE"""),"0")</f>
        <v>0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5.75" customHeight="1">
      <c r="A180" s="1"/>
      <c r="B180" s="1" t="str">
        <f t="array" ref="B180">XLOOKUP(C180,Tabela_1[NOME ESCOLA PONTO ID],Tabela_1[REGIONAL],"NE",0)</f>
        <v>REGIONAL 6</v>
      </c>
      <c r="C180" s="3" t="str">
        <f>IFERROR(__xludf.DUMMYFUNCTION("""COMPUTED_VALUE"""),"CEMEI PROFESSORA MARLUCIA EVANGELISTA DE SOUZA")</f>
        <v>CEMEI PROFESSORA MARLUCIA EVANGELISTA DE SOUZA</v>
      </c>
      <c r="D180" s="1" t="str">
        <f>IFERROR(__xludf.DUMMYFUNCTION("""COMPUTED_VALUE"""),"26187078")</f>
        <v>26187078</v>
      </c>
      <c r="E180" s="1" t="str">
        <f>IFERROR(__xludf.DUMMYFUNCTION("""COMPUTED_VALUE"""),"INFANTIL 4")</f>
        <v>INFANTIL 4</v>
      </c>
      <c r="F180" s="1" t="str">
        <f>IFERROR(__xludf.DUMMYFUNCTION("""COMPUTED_VALUE"""),"Vespertino/Tarde")</f>
        <v>Vespertino/Tarde</v>
      </c>
      <c r="G180" s="1" t="str">
        <f>IFERROR(__xludf.DUMMYFUNCTION("""COMPUTED_VALUE"""),"Comum")</f>
        <v>Comum</v>
      </c>
      <c r="H180" s="1" t="str">
        <f>IFERROR(__xludf.DUMMYFUNCTION("""COMPUTED_VALUE"""),"2")</f>
        <v>2</v>
      </c>
      <c r="I180" s="6" t="str">
        <f>IFERROR(__xludf.DUMMYFUNCTION("""COMPUTED_VALUE"""),"26032122547")</f>
        <v>26032122547</v>
      </c>
      <c r="J180" s="1" t="str">
        <f>IFERROR(__xludf.DUMMYFUNCTION("""COMPUTED_VALUE"""),"18/03/2026 11:31:20")</f>
        <v>18/03/2026 11:31:20</v>
      </c>
      <c r="K180" s="1" t="str">
        <f>IFERROR(__xludf.DUMMYFUNCTION("""COMPUTED_VALUE"""),"MARIA AYLLA SOFIA CHAVIER SILVA")</f>
        <v>MARIA AYLLA SOFIA CHAVIER SILVA</v>
      </c>
      <c r="L180" s="5" t="str">
        <f>IFERROR(__xludf.DUMMYFUNCTION("""COMPUTED_VALUE"""),"177.533.574-76")</f>
        <v>177.533.574-76</v>
      </c>
      <c r="M180" s="5" t="str">
        <f>IFERROR(__xludf.DUMMYFUNCTION("""COMPUTED_VALUE"""),"30/06/2021")</f>
        <v>30/06/2021</v>
      </c>
      <c r="N180" s="1"/>
      <c r="O180" s="1" t="str">
        <f>IFERROR(__xludf.DUMMYFUNCTION("""COMPUTED_VALUE"""),"0")</f>
        <v>0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5.75" customHeight="1">
      <c r="A181" s="1"/>
      <c r="B181" s="1" t="str">
        <f t="array" ref="B181">XLOOKUP(C181,Tabela_1[NOME ESCOLA PONTO ID],Tabela_1[REGIONAL],"NE",0)</f>
        <v>REGIONAL 6</v>
      </c>
      <c r="C181" s="3" t="str">
        <f>IFERROR(__xludf.DUMMYFUNCTION("""COMPUTED_VALUE"""),"CEMEI PROFESSORA MARLUCIA EVANGELISTA DE SOUZA")</f>
        <v>CEMEI PROFESSORA MARLUCIA EVANGELISTA DE SOUZA</v>
      </c>
      <c r="D181" s="1" t="str">
        <f>IFERROR(__xludf.DUMMYFUNCTION("""COMPUTED_VALUE"""),"26187078")</f>
        <v>26187078</v>
      </c>
      <c r="E181" s="1" t="str">
        <f>IFERROR(__xludf.DUMMYFUNCTION("""COMPUTED_VALUE"""),"INFANTIL 5")</f>
        <v>INFANTIL 5</v>
      </c>
      <c r="F181" s="1" t="str">
        <f>IFERROR(__xludf.DUMMYFUNCTION("""COMPUTED_VALUE"""),"Vespertino/Tarde")</f>
        <v>Vespertino/Tarde</v>
      </c>
      <c r="G181" s="1" t="str">
        <f>IFERROR(__xludf.DUMMYFUNCTION("""COMPUTED_VALUE"""),"Comum")</f>
        <v>Comum</v>
      </c>
      <c r="H181" s="1" t="str">
        <f>IFERROR(__xludf.DUMMYFUNCTION("""COMPUTED_VALUE"""),"1")</f>
        <v>1</v>
      </c>
      <c r="I181" s="6" t="str">
        <f>IFERROR(__xludf.DUMMYFUNCTION("""COMPUTED_VALUE"""),"26052553062")</f>
        <v>26052553062</v>
      </c>
      <c r="J181" s="1" t="str">
        <f>IFERROR(__xludf.DUMMYFUNCTION("""COMPUTED_VALUE"""),"19/05/2026 10:08:03")</f>
        <v>19/05/2026 10:08:03</v>
      </c>
      <c r="K181" s="1" t="str">
        <f>IFERROR(__xludf.DUMMYFUNCTION("""COMPUTED_VALUE"""),"Ágatha Sofia da Silva")</f>
        <v>Ágatha Sofia da Silva</v>
      </c>
      <c r="L181" s="5" t="str">
        <f>IFERROR(__xludf.DUMMYFUNCTION("""COMPUTED_VALUE"""),"172.472.594-77")</f>
        <v>172.472.594-77</v>
      </c>
      <c r="M181" s="5" t="str">
        <f>IFERROR(__xludf.DUMMYFUNCTION("""COMPUTED_VALUE"""),"28/06/2020")</f>
        <v>28/06/2020</v>
      </c>
      <c r="N181" s="1"/>
      <c r="O181" s="1" t="str">
        <f>IFERROR(__xludf.DUMMYFUNCTION("""COMPUTED_VALUE"""),"0")</f>
        <v>0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5.75" customHeight="1">
      <c r="A182" s="1"/>
      <c r="B182" s="1" t="str">
        <f t="array" ref="B182">XLOOKUP(C182,Tabela_1[NOME ESCOLA PONTO ID],Tabela_1[REGIONAL],"NE",0)</f>
        <v>REGIONAL 6</v>
      </c>
      <c r="C182" s="3" t="str">
        <f>IFERROR(__xludf.DUMMYFUNCTION("""COMPUTED_VALUE"""),"CEMEI PROFESSORA RAKELLY NOGUEIRA DO NASCIMENTO")</f>
        <v>CEMEI PROFESSORA RAKELLY NOGUEIRA DO NASCIMENTO</v>
      </c>
      <c r="D182" s="1" t="str">
        <f>IFERROR(__xludf.DUMMYFUNCTION("""COMPUTED_VALUE"""),"26192420")</f>
        <v>26192420</v>
      </c>
      <c r="E182" s="1" t="str">
        <f>IFERROR(__xludf.DUMMYFUNCTION("""COMPUTED_VALUE"""),"INFANTIL 1")</f>
        <v>INFANTIL 1</v>
      </c>
      <c r="F182" s="1" t="str">
        <f>IFERROR(__xludf.DUMMYFUNCTION("""COMPUTED_VALUE"""),"Integral")</f>
        <v>Integral</v>
      </c>
      <c r="G182" s="1" t="str">
        <f>IFERROR(__xludf.DUMMYFUNCTION("""COMPUTED_VALUE"""),"Comum")</f>
        <v>Comum</v>
      </c>
      <c r="H182" s="1" t="str">
        <f>IFERROR(__xludf.DUMMYFUNCTION("""COMPUTED_VALUE"""),"1")</f>
        <v>1</v>
      </c>
      <c r="I182" s="6" t="str">
        <f>IFERROR(__xludf.DUMMYFUNCTION("""COMPUTED_VALUE"""),"26032717706")</f>
        <v>26032717706</v>
      </c>
      <c r="J182" s="1" t="str">
        <f>IFERROR(__xludf.DUMMYFUNCTION("""COMPUTED_VALUE"""),"17/03/2026 11:53:45")</f>
        <v>17/03/2026 11:53:45</v>
      </c>
      <c r="K182" s="1" t="str">
        <f>IFERROR(__xludf.DUMMYFUNCTION("""COMPUTED_VALUE"""),"SARA BATISTA DE SOUZA")</f>
        <v>SARA BATISTA DE SOUZA</v>
      </c>
      <c r="L182" s="5" t="str">
        <f>IFERROR(__xludf.DUMMYFUNCTION("""COMPUTED_VALUE"""),"005.859.174-50")</f>
        <v>005.859.174-50</v>
      </c>
      <c r="M182" s="7" t="str">
        <f>IFERROR(__xludf.DUMMYFUNCTION("""COMPUTED_VALUE"""),"09/04/2025")</f>
        <v>09/04/2025</v>
      </c>
      <c r="N182" s="1"/>
      <c r="O182" s="1" t="str">
        <f>IFERROR(__xludf.DUMMYFUNCTION("""COMPUTED_VALUE"""),"0")</f>
        <v>0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5.75" customHeight="1">
      <c r="A183" s="1"/>
      <c r="B183" s="1" t="str">
        <f t="array" ref="B183">XLOOKUP(C183,Tabela_1[NOME ESCOLA PONTO ID],Tabela_1[REGIONAL],"NE",0)</f>
        <v>REGIONAL 6</v>
      </c>
      <c r="C183" s="3" t="str">
        <f>IFERROR(__xludf.DUMMYFUNCTION("""COMPUTED_VALUE"""),"CEMEI PROFESSORA RAKELLY NOGUEIRA DO NASCIMENTO")</f>
        <v>CEMEI PROFESSORA RAKELLY NOGUEIRA DO NASCIMENTO</v>
      </c>
      <c r="D183" s="1" t="str">
        <f>IFERROR(__xludf.DUMMYFUNCTION("""COMPUTED_VALUE"""),"26192420")</f>
        <v>26192420</v>
      </c>
      <c r="E183" s="1" t="str">
        <f>IFERROR(__xludf.DUMMYFUNCTION("""COMPUTED_VALUE"""),"INFANTIL 1")</f>
        <v>INFANTIL 1</v>
      </c>
      <c r="F183" s="1" t="str">
        <f>IFERROR(__xludf.DUMMYFUNCTION("""COMPUTED_VALUE"""),"Integral")</f>
        <v>Integral</v>
      </c>
      <c r="G183" s="1" t="str">
        <f>IFERROR(__xludf.DUMMYFUNCTION("""COMPUTED_VALUE"""),"Comum")</f>
        <v>Comum</v>
      </c>
      <c r="H183" s="1" t="str">
        <f>IFERROR(__xludf.DUMMYFUNCTION("""COMPUTED_VALUE"""),"2")</f>
        <v>2</v>
      </c>
      <c r="I183" s="6" t="str">
        <f>IFERROR(__xludf.DUMMYFUNCTION("""COMPUTED_VALUE"""),"26052457217")</f>
        <v>26052457217</v>
      </c>
      <c r="J183" s="1" t="str">
        <f>IFERROR(__xludf.DUMMYFUNCTION("""COMPUTED_VALUE"""),"22/05/2026 09:50:12")</f>
        <v>22/05/2026 09:50:12</v>
      </c>
      <c r="K183" s="1" t="str">
        <f>IFERROR(__xludf.DUMMYFUNCTION("""COMPUTED_VALUE"""),"Théo Vinícius Galdino dos Santos")</f>
        <v>Théo Vinícius Galdino dos Santos</v>
      </c>
      <c r="L183" s="5" t="str">
        <f>IFERROR(__xludf.DUMMYFUNCTION("""COMPUTED_VALUE"""),"006.594.094-61")</f>
        <v>006.594.094-61</v>
      </c>
      <c r="M183" s="5" t="str">
        <f>IFERROR(__xludf.DUMMYFUNCTION("""COMPUTED_VALUE"""),"28/06/2025")</f>
        <v>28/06/2025</v>
      </c>
      <c r="N183" s="1"/>
      <c r="O183" s="1" t="str">
        <f>IFERROR(__xludf.DUMMYFUNCTION("""COMPUTED_VALUE"""),"0")</f>
        <v>0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5.75" customHeight="1">
      <c r="A184" s="1"/>
      <c r="B184" s="1" t="str">
        <f t="array" ref="B184">XLOOKUP(C184,Tabela_1[NOME ESCOLA PONTO ID],Tabela_1[REGIONAL],"NE",0)</f>
        <v>REGIONAL 6</v>
      </c>
      <c r="C184" s="3" t="str">
        <f>IFERROR(__xludf.DUMMYFUNCTION("""COMPUTED_VALUE"""),"CEMEI PROFESSORA RAKELLY NOGUEIRA DO NASCIMENTO")</f>
        <v>CEMEI PROFESSORA RAKELLY NOGUEIRA DO NASCIMENTO</v>
      </c>
      <c r="D184" s="1" t="str">
        <f>IFERROR(__xludf.DUMMYFUNCTION("""COMPUTED_VALUE"""),"26192420")</f>
        <v>26192420</v>
      </c>
      <c r="E184" s="1" t="str">
        <f>IFERROR(__xludf.DUMMYFUNCTION("""COMPUTED_VALUE"""),"INFANTIL 2")</f>
        <v>INFANTIL 2</v>
      </c>
      <c r="F184" s="1" t="str">
        <f>IFERROR(__xludf.DUMMYFUNCTION("""COMPUTED_VALUE"""),"Integral")</f>
        <v>Integral</v>
      </c>
      <c r="G184" s="1" t="str">
        <f>IFERROR(__xludf.DUMMYFUNCTION("""COMPUTED_VALUE"""),"Comum")</f>
        <v>Comum</v>
      </c>
      <c r="H184" s="1" t="str">
        <f>IFERROR(__xludf.DUMMYFUNCTION("""COMPUTED_VALUE"""),"1")</f>
        <v>1</v>
      </c>
      <c r="I184" s="6" t="str">
        <f>IFERROR(__xludf.DUMMYFUNCTION("""COMPUTED_VALUE"""),"26032133194")</f>
        <v>26032133194</v>
      </c>
      <c r="J184" s="1" t="str">
        <f>IFERROR(__xludf.DUMMYFUNCTION("""COMPUTED_VALUE"""),"24/03/2026 08:53:08")</f>
        <v>24/03/2026 08:53:08</v>
      </c>
      <c r="K184" s="1" t="str">
        <f>IFERROR(__xludf.DUMMYFUNCTION("""COMPUTED_VALUE"""),"ANA RUANY SIDRONE VIEIRA DA SILVA")</f>
        <v>ANA RUANY SIDRONE VIEIRA DA SILVA</v>
      </c>
      <c r="L184" s="5" t="str">
        <f>IFERROR(__xludf.DUMMYFUNCTION("""COMPUTED_VALUE"""),"003.696.734-33")</f>
        <v>003.696.734-33</v>
      </c>
      <c r="M184" s="5" t="str">
        <f>IFERROR(__xludf.DUMMYFUNCTION("""COMPUTED_VALUE"""),"04/09/2023")</f>
        <v>04/09/2023</v>
      </c>
      <c r="N184" s="1"/>
      <c r="O184" s="1" t="str">
        <f>IFERROR(__xludf.DUMMYFUNCTION("""COMPUTED_VALUE"""),"0")</f>
        <v>0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5.75" customHeight="1">
      <c r="A185" s="1"/>
      <c r="B185" s="1" t="str">
        <f t="array" ref="B185">XLOOKUP(C185,Tabela_1[NOME ESCOLA PONTO ID],Tabela_1[REGIONAL],"NE",0)</f>
        <v>REGIONAL 6</v>
      </c>
      <c r="C185" s="3" t="str">
        <f>IFERROR(__xludf.DUMMYFUNCTION("""COMPUTED_VALUE"""),"CEMEI PROFESSORA RAKELLY NOGUEIRA DO NASCIMENTO")</f>
        <v>CEMEI PROFESSORA RAKELLY NOGUEIRA DO NASCIMENTO</v>
      </c>
      <c r="D185" s="1" t="str">
        <f>IFERROR(__xludf.DUMMYFUNCTION("""COMPUTED_VALUE"""),"26192420")</f>
        <v>26192420</v>
      </c>
      <c r="E185" s="1" t="str">
        <f>IFERROR(__xludf.DUMMYFUNCTION("""COMPUTED_VALUE"""),"INFANTIL 2")</f>
        <v>INFANTIL 2</v>
      </c>
      <c r="F185" s="1" t="str">
        <f>IFERROR(__xludf.DUMMYFUNCTION("""COMPUTED_VALUE"""),"Integral")</f>
        <v>Integral</v>
      </c>
      <c r="G185" s="1" t="str">
        <f>IFERROR(__xludf.DUMMYFUNCTION("""COMPUTED_VALUE"""),"Comum")</f>
        <v>Comum</v>
      </c>
      <c r="H185" s="1" t="str">
        <f>IFERROR(__xludf.DUMMYFUNCTION("""COMPUTED_VALUE"""),"2")</f>
        <v>2</v>
      </c>
      <c r="I185" s="6" t="str">
        <f>IFERROR(__xludf.DUMMYFUNCTION("""COMPUTED_VALUE"""),"26052068598")</f>
        <v>26052068598</v>
      </c>
      <c r="J185" s="1" t="str">
        <f>IFERROR(__xludf.DUMMYFUNCTION("""COMPUTED_VALUE"""),"13/05/2026 07:38:50")</f>
        <v>13/05/2026 07:38:50</v>
      </c>
      <c r="K185" s="1" t="str">
        <f>IFERROR(__xludf.DUMMYFUNCTION("""COMPUTED_VALUE"""),"ANTHONY GABRIEL ROLIM DE OLIVEIRA")</f>
        <v>ANTHONY GABRIEL ROLIM DE OLIVEIRA</v>
      </c>
      <c r="L185" s="5" t="str">
        <f>IFERROR(__xludf.DUMMYFUNCTION("""COMPUTED_VALUE"""),"185.879.424-25")</f>
        <v>185.879.424-25</v>
      </c>
      <c r="M185" s="5" t="str">
        <f>IFERROR(__xludf.DUMMYFUNCTION("""COMPUTED_VALUE"""),"07/07/2023")</f>
        <v>07/07/2023</v>
      </c>
      <c r="N185" s="1"/>
      <c r="O185" s="1" t="str">
        <f>IFERROR(__xludf.DUMMYFUNCTION("""COMPUTED_VALUE"""),"0")</f>
        <v>0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5.75" customHeight="1">
      <c r="A186" s="1"/>
      <c r="B186" s="1" t="str">
        <f t="array" ref="B186">XLOOKUP(C186,Tabela_1[NOME ESCOLA PONTO ID],Tabela_1[REGIONAL],"NE",0)</f>
        <v>REGIONAL 1</v>
      </c>
      <c r="C186" s="3" t="str">
        <f>IFERROR(__xludf.DUMMYFUNCTION("""COMPUTED_VALUE"""),"CEMEI SANTO AMARO")</f>
        <v>CEMEI SANTO AMARO</v>
      </c>
      <c r="D186" s="1" t="str">
        <f>IFERROR(__xludf.DUMMYFUNCTION("""COMPUTED_VALUE"""),"26147840")</f>
        <v>26147840</v>
      </c>
      <c r="E186" s="1" t="str">
        <f>IFERROR(__xludf.DUMMYFUNCTION("""COMPUTED_VALUE"""),"INFANTIL 3")</f>
        <v>INFANTIL 3</v>
      </c>
      <c r="F186" s="1" t="str">
        <f>IFERROR(__xludf.DUMMYFUNCTION("""COMPUTED_VALUE"""),"Matutino/Manhã")</f>
        <v>Matutino/Manhã</v>
      </c>
      <c r="G186" s="1" t="str">
        <f>IFERROR(__xludf.DUMMYFUNCTION("""COMPUTED_VALUE"""),"Comum")</f>
        <v>Comum</v>
      </c>
      <c r="H186" s="1" t="str">
        <f>IFERROR(__xludf.DUMMYFUNCTION("""COMPUTED_VALUE"""),"1")</f>
        <v>1</v>
      </c>
      <c r="I186" s="4" t="str">
        <f>IFERROR(__xludf.DUMMYFUNCTION("""COMPUTED_VALUE"""),"26022533091")</f>
        <v>26022533091</v>
      </c>
      <c r="J186" s="1" t="str">
        <f>IFERROR(__xludf.DUMMYFUNCTION("""COMPUTED_VALUE"""),"02/02/2026 15:26:58")</f>
        <v>02/02/2026 15:26:58</v>
      </c>
      <c r="K186" s="1" t="str">
        <f>IFERROR(__xludf.DUMMYFUNCTION("""COMPUTED_VALUE"""),"DANIEL LIMA DE ARAUJO")</f>
        <v>DANIEL LIMA DE ARAUJO</v>
      </c>
      <c r="L186" s="5" t="str">
        <f>IFERROR(__xludf.DUMMYFUNCTION("""COMPUTED_VALUE"""),"181.750.114-32")</f>
        <v>181.750.114-32</v>
      </c>
      <c r="M186" s="7" t="str">
        <f>IFERROR(__xludf.DUMMYFUNCTION("""COMPUTED_VALUE"""),"14/05/2022")</f>
        <v>14/05/2022</v>
      </c>
      <c r="N186" s="1"/>
      <c r="O186" s="1" t="str">
        <f>IFERROR(__xludf.DUMMYFUNCTION("""COMPUTED_VALUE"""),"0")</f>
        <v>0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5.75" customHeight="1">
      <c r="A187" s="1"/>
      <c r="B187" s="1" t="str">
        <f t="array" ref="B187">XLOOKUP(C187,Tabela_1[NOME ESCOLA PONTO ID],Tabela_1[REGIONAL],"NE",0)</f>
        <v>REGIONAL 1</v>
      </c>
      <c r="C187" s="3" t="str">
        <f>IFERROR(__xludf.DUMMYFUNCTION("""COMPUTED_VALUE"""),"CEMEI SANTO AMARO")</f>
        <v>CEMEI SANTO AMARO</v>
      </c>
      <c r="D187" s="1" t="str">
        <f>IFERROR(__xludf.DUMMYFUNCTION("""COMPUTED_VALUE"""),"26147840")</f>
        <v>26147840</v>
      </c>
      <c r="E187" s="1" t="str">
        <f>IFERROR(__xludf.DUMMYFUNCTION("""COMPUTED_VALUE"""),"INFANTIL 3")</f>
        <v>INFANTIL 3</v>
      </c>
      <c r="F187" s="1" t="str">
        <f>IFERROR(__xludf.DUMMYFUNCTION("""COMPUTED_VALUE"""),"Matutino/Manhã")</f>
        <v>Matutino/Manhã</v>
      </c>
      <c r="G187" s="1" t="str">
        <f>IFERROR(__xludf.DUMMYFUNCTION("""COMPUTED_VALUE"""),"Comum")</f>
        <v>Comum</v>
      </c>
      <c r="H187" s="1" t="str">
        <f>IFERROR(__xludf.DUMMYFUNCTION("""COMPUTED_VALUE"""),"2")</f>
        <v>2</v>
      </c>
      <c r="I187" s="4" t="str">
        <f>IFERROR(__xludf.DUMMYFUNCTION("""COMPUTED_VALUE"""),"26022834716")</f>
        <v>26022834716</v>
      </c>
      <c r="J187" s="1" t="str">
        <f>IFERROR(__xludf.DUMMYFUNCTION("""COMPUTED_VALUE"""),"10/02/2026 08:09:45")</f>
        <v>10/02/2026 08:09:45</v>
      </c>
      <c r="K187" s="1" t="str">
        <f>IFERROR(__xludf.DUMMYFUNCTION("""COMPUTED_VALUE"""),"ELIZABETH SAMARA FRANÇA DA SILVA")</f>
        <v>ELIZABETH SAMARA FRANÇA DA SILVA</v>
      </c>
      <c r="L187" s="5" t="str">
        <f>IFERROR(__xludf.DUMMYFUNCTION("""COMPUTED_VALUE"""),"181.606.774-13")</f>
        <v>181.606.774-13</v>
      </c>
      <c r="M187" s="7" t="str">
        <f>IFERROR(__xludf.DUMMYFUNCTION("""COMPUTED_VALUE"""),"16/05/2022")</f>
        <v>16/05/2022</v>
      </c>
      <c r="N187" s="1"/>
      <c r="O187" s="1" t="str">
        <f>IFERROR(__xludf.DUMMYFUNCTION("""COMPUTED_VALUE"""),"0")</f>
        <v>0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5.75" customHeight="1">
      <c r="A188" s="1"/>
      <c r="B188" s="1" t="str">
        <f t="array" ref="B188">XLOOKUP(C188,Tabela_1[NOME ESCOLA PONTO ID],Tabela_1[REGIONAL],"NE",0)</f>
        <v>REGIONAL 1</v>
      </c>
      <c r="C188" s="3" t="str">
        <f>IFERROR(__xludf.DUMMYFUNCTION("""COMPUTED_VALUE"""),"CEMEI SANTO AMARO")</f>
        <v>CEMEI SANTO AMARO</v>
      </c>
      <c r="D188" s="1" t="str">
        <f>IFERROR(__xludf.DUMMYFUNCTION("""COMPUTED_VALUE"""),"26147840")</f>
        <v>26147840</v>
      </c>
      <c r="E188" s="1" t="str">
        <f>IFERROR(__xludf.DUMMYFUNCTION("""COMPUTED_VALUE"""),"INFANTIL 3")</f>
        <v>INFANTIL 3</v>
      </c>
      <c r="F188" s="1" t="str">
        <f>IFERROR(__xludf.DUMMYFUNCTION("""COMPUTED_VALUE"""),"Matutino/Manhã")</f>
        <v>Matutino/Manhã</v>
      </c>
      <c r="G188" s="1" t="str">
        <f>IFERROR(__xludf.DUMMYFUNCTION("""COMPUTED_VALUE"""),"Comum")</f>
        <v>Comum</v>
      </c>
      <c r="H188" s="1" t="str">
        <f>IFERROR(__xludf.DUMMYFUNCTION("""COMPUTED_VALUE"""),"3")</f>
        <v>3</v>
      </c>
      <c r="I188" s="4" t="str">
        <f>IFERROR(__xludf.DUMMYFUNCTION("""COMPUTED_VALUE"""),"26022024449")</f>
        <v>26022024449</v>
      </c>
      <c r="J188" s="1" t="str">
        <f>IFERROR(__xludf.DUMMYFUNCTION("""COMPUTED_VALUE"""),"24/02/2026 18:34:28")</f>
        <v>24/02/2026 18:34:28</v>
      </c>
      <c r="K188" s="1" t="str">
        <f>IFERROR(__xludf.DUMMYFUNCTION("""COMPUTED_VALUE"""),"TAIANE FIGUEIRA LIMA DE SOUZA")</f>
        <v>TAIANE FIGUEIRA LIMA DE SOUZA</v>
      </c>
      <c r="L188" s="5" t="str">
        <f>IFERROR(__xludf.DUMMYFUNCTION("""COMPUTED_VALUE"""),"181.335.914-81")</f>
        <v>181.335.914-81</v>
      </c>
      <c r="M188" s="5" t="str">
        <f>IFERROR(__xludf.DUMMYFUNCTION("""COMPUTED_VALUE"""),"12/04/2022")</f>
        <v>12/04/2022</v>
      </c>
      <c r="N188" s="1"/>
      <c r="O188" s="1" t="str">
        <f>IFERROR(__xludf.DUMMYFUNCTION("""COMPUTED_VALUE"""),"0")</f>
        <v>0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5.75" customHeight="1">
      <c r="A189" s="1"/>
      <c r="B189" s="1" t="str">
        <f t="array" ref="B189">XLOOKUP(C189,Tabela_1[NOME ESCOLA PONTO ID],Tabela_1[REGIONAL],"NE",0)</f>
        <v>REGIONAL 1</v>
      </c>
      <c r="C189" s="3" t="str">
        <f>IFERROR(__xludf.DUMMYFUNCTION("""COMPUTED_VALUE"""),"CEMEI SANTO AMARO")</f>
        <v>CEMEI SANTO AMARO</v>
      </c>
      <c r="D189" s="1" t="str">
        <f>IFERROR(__xludf.DUMMYFUNCTION("""COMPUTED_VALUE"""),"26147840")</f>
        <v>26147840</v>
      </c>
      <c r="E189" s="1" t="str">
        <f>IFERROR(__xludf.DUMMYFUNCTION("""COMPUTED_VALUE"""),"INFANTIL 3")</f>
        <v>INFANTIL 3</v>
      </c>
      <c r="F189" s="1" t="str">
        <f>IFERROR(__xludf.DUMMYFUNCTION("""COMPUTED_VALUE"""),"Vespertino/Tarde")</f>
        <v>Vespertino/Tarde</v>
      </c>
      <c r="G189" s="1" t="str">
        <f>IFERROR(__xludf.DUMMYFUNCTION("""COMPUTED_VALUE"""),"Comum")</f>
        <v>Comum</v>
      </c>
      <c r="H189" s="1" t="str">
        <f>IFERROR(__xludf.DUMMYFUNCTION("""COMPUTED_VALUE"""),"1")</f>
        <v>1</v>
      </c>
      <c r="I189" s="4" t="str">
        <f>IFERROR(__xludf.DUMMYFUNCTION("""COMPUTED_VALUE"""),"26012657623")</f>
        <v>26012657623</v>
      </c>
      <c r="J189" s="1" t="str">
        <f>IFERROR(__xludf.DUMMYFUNCTION("""COMPUTED_VALUE"""),"28/01/2026 10:34:12")</f>
        <v>28/01/2026 10:34:12</v>
      </c>
      <c r="K189" s="1" t="str">
        <f>IFERROR(__xludf.DUMMYFUNCTION("""COMPUTED_VALUE"""),"SAMUEL LIMA")</f>
        <v>SAMUEL LIMA</v>
      </c>
      <c r="L189" s="5" t="str">
        <f>IFERROR(__xludf.DUMMYFUNCTION("""COMPUTED_VALUE"""),"183.346.314-56")</f>
        <v>183.346.314-56</v>
      </c>
      <c r="M189" s="7" t="str">
        <f>IFERROR(__xludf.DUMMYFUNCTION("""COMPUTED_VALUE"""),"30/08/2022")</f>
        <v>30/08/2022</v>
      </c>
      <c r="N189" s="1"/>
      <c r="O189" s="1" t="str">
        <f>IFERROR(__xludf.DUMMYFUNCTION("""COMPUTED_VALUE"""),"0")</f>
        <v>0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5.75" customHeight="1">
      <c r="A190" s="1"/>
      <c r="B190" s="1" t="str">
        <f t="array" ref="B190">XLOOKUP(C190,Tabela_1[NOME ESCOLA PONTO ID],Tabela_1[REGIONAL],"NE",0)</f>
        <v>REGIONAL 1</v>
      </c>
      <c r="C190" s="3" t="str">
        <f>IFERROR(__xludf.DUMMYFUNCTION("""COMPUTED_VALUE"""),"CEMEI SANTO AMARO")</f>
        <v>CEMEI SANTO AMARO</v>
      </c>
      <c r="D190" s="1" t="str">
        <f>IFERROR(__xludf.DUMMYFUNCTION("""COMPUTED_VALUE"""),"26147840")</f>
        <v>26147840</v>
      </c>
      <c r="E190" s="1" t="str">
        <f>IFERROR(__xludf.DUMMYFUNCTION("""COMPUTED_VALUE"""),"INFANTIL 3")</f>
        <v>INFANTIL 3</v>
      </c>
      <c r="F190" s="1" t="str">
        <f>IFERROR(__xludf.DUMMYFUNCTION("""COMPUTED_VALUE"""),"Vespertino/Tarde")</f>
        <v>Vespertino/Tarde</v>
      </c>
      <c r="G190" s="1" t="str">
        <f>IFERROR(__xludf.DUMMYFUNCTION("""COMPUTED_VALUE"""),"Comum")</f>
        <v>Comum</v>
      </c>
      <c r="H190" s="1" t="str">
        <f>IFERROR(__xludf.DUMMYFUNCTION("""COMPUTED_VALUE"""),"2")</f>
        <v>2</v>
      </c>
      <c r="I190" s="4" t="str">
        <f>IFERROR(__xludf.DUMMYFUNCTION("""COMPUTED_VALUE"""),"26022032319")</f>
        <v>26022032319</v>
      </c>
      <c r="J190" s="1" t="str">
        <f>IFERROR(__xludf.DUMMYFUNCTION("""COMPUTED_VALUE"""),"24/02/2026 13:10:10")</f>
        <v>24/02/2026 13:10:10</v>
      </c>
      <c r="K190" s="1" t="str">
        <f>IFERROR(__xludf.DUMMYFUNCTION("""COMPUTED_VALUE"""),"GAEL GEOVANNE DE SOUZA RODRIGUES")</f>
        <v>GAEL GEOVANNE DE SOUZA RODRIGUES</v>
      </c>
      <c r="L190" s="5" t="str">
        <f>IFERROR(__xludf.DUMMYFUNCTION("""COMPUTED_VALUE"""),"607.094.828-92")</f>
        <v>607.094.828-92</v>
      </c>
      <c r="M190" s="5" t="str">
        <f>IFERROR(__xludf.DUMMYFUNCTION("""COMPUTED_VALUE"""),"12/12/2022")</f>
        <v>12/12/2022</v>
      </c>
      <c r="N190" s="1"/>
      <c r="O190" s="1" t="str">
        <f>IFERROR(__xludf.DUMMYFUNCTION("""COMPUTED_VALUE"""),"0")</f>
        <v>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5.75" customHeight="1">
      <c r="A191" s="1"/>
      <c r="B191" s="1" t="str">
        <f t="array" ref="B191">XLOOKUP(C191,Tabela_1[NOME ESCOLA PONTO ID],Tabela_1[REGIONAL],"NE",0)</f>
        <v>REGIONAL 1</v>
      </c>
      <c r="C191" s="3" t="str">
        <f>IFERROR(__xludf.DUMMYFUNCTION("""COMPUTED_VALUE"""),"CEMEI SANTO AMARO")</f>
        <v>CEMEI SANTO AMARO</v>
      </c>
      <c r="D191" s="1" t="str">
        <f>IFERROR(__xludf.DUMMYFUNCTION("""COMPUTED_VALUE"""),"26147840")</f>
        <v>26147840</v>
      </c>
      <c r="E191" s="1" t="str">
        <f>IFERROR(__xludf.DUMMYFUNCTION("""COMPUTED_VALUE"""),"INFANTIL 3")</f>
        <v>INFANTIL 3</v>
      </c>
      <c r="F191" s="1" t="str">
        <f>IFERROR(__xludf.DUMMYFUNCTION("""COMPUTED_VALUE"""),"Vespertino/Tarde")</f>
        <v>Vespertino/Tarde</v>
      </c>
      <c r="G191" s="1" t="str">
        <f>IFERROR(__xludf.DUMMYFUNCTION("""COMPUTED_VALUE"""),"Comum")</f>
        <v>Comum</v>
      </c>
      <c r="H191" s="1" t="str">
        <f>IFERROR(__xludf.DUMMYFUNCTION("""COMPUTED_VALUE"""),"3")</f>
        <v>3</v>
      </c>
      <c r="I191" s="4" t="str">
        <f>IFERROR(__xludf.DUMMYFUNCTION("""COMPUTED_VALUE"""),"26052659495")</f>
        <v>26052659495</v>
      </c>
      <c r="J191" s="1" t="str">
        <f>IFERROR(__xludf.DUMMYFUNCTION("""COMPUTED_VALUE"""),"13/05/2026 19:48:23")</f>
        <v>13/05/2026 19:48:23</v>
      </c>
      <c r="K191" s="1" t="str">
        <f>IFERROR(__xludf.DUMMYFUNCTION("""COMPUTED_VALUE"""),"HELLEN VITÓRIA SILVA RODRIGUES")</f>
        <v>HELLEN VITÓRIA SILVA RODRIGUES</v>
      </c>
      <c r="L191" s="5" t="str">
        <f>IFERROR(__xludf.DUMMYFUNCTION("""COMPUTED_VALUE"""),"181.887.774-04")</f>
        <v>181.887.774-04</v>
      </c>
      <c r="M191" s="5" t="str">
        <f>IFERROR(__xludf.DUMMYFUNCTION("""COMPUTED_VALUE"""),"09/06/2022")</f>
        <v>09/06/2022</v>
      </c>
      <c r="N191" s="1"/>
      <c r="O191" s="1" t="str">
        <f>IFERROR(__xludf.DUMMYFUNCTION("""COMPUTED_VALUE"""),"0")</f>
        <v>0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5.75" customHeight="1">
      <c r="A192" s="1"/>
      <c r="B192" s="1" t="str">
        <f t="array" ref="B192">XLOOKUP(C192,Tabela_1[NOME ESCOLA PONTO ID],Tabela_1[REGIONAL],"NE",0)</f>
        <v>REGIONAL 1</v>
      </c>
      <c r="C192" s="3" t="str">
        <f>IFERROR(__xludf.DUMMYFUNCTION("""COMPUTED_VALUE"""),"CEMEI SANTO AMARO")</f>
        <v>CEMEI SANTO AMARO</v>
      </c>
      <c r="D192" s="1" t="str">
        <f>IFERROR(__xludf.DUMMYFUNCTION("""COMPUTED_VALUE"""),"26147840")</f>
        <v>26147840</v>
      </c>
      <c r="E192" s="1" t="str">
        <f>IFERROR(__xludf.DUMMYFUNCTION("""COMPUTED_VALUE"""),"INFANTIL 3")</f>
        <v>INFANTIL 3</v>
      </c>
      <c r="F192" s="1" t="str">
        <f>IFERROR(__xludf.DUMMYFUNCTION("""COMPUTED_VALUE"""),"Vespertino/Tarde")</f>
        <v>Vespertino/Tarde</v>
      </c>
      <c r="G192" s="1" t="str">
        <f>IFERROR(__xludf.DUMMYFUNCTION("""COMPUTED_VALUE"""),"Comum")</f>
        <v>Comum</v>
      </c>
      <c r="H192" s="1" t="str">
        <f>IFERROR(__xludf.DUMMYFUNCTION("""COMPUTED_VALUE"""),"4")</f>
        <v>4</v>
      </c>
      <c r="I192" s="4" t="str">
        <f>IFERROR(__xludf.DUMMYFUNCTION("""COMPUTED_VALUE"""),"26052824128")</f>
        <v>26052824128</v>
      </c>
      <c r="J192" s="1" t="str">
        <f>IFERROR(__xludf.DUMMYFUNCTION("""COMPUTED_VALUE"""),"20/05/2026 10:33:36")</f>
        <v>20/05/2026 10:33:36</v>
      </c>
      <c r="K192" s="1" t="str">
        <f>IFERROR(__xludf.DUMMYFUNCTION("""COMPUTED_VALUE"""),"BRUNA CECÍLIA DOS IMPOSSÍVEIS GOMES")</f>
        <v>BRUNA CECÍLIA DOS IMPOSSÍVEIS GOMES</v>
      </c>
      <c r="L192" s="5" t="str">
        <f>IFERROR(__xludf.DUMMYFUNCTION("""COMPUTED_VALUE"""),"183.419.034-74")</f>
        <v>183.419.034-74</v>
      </c>
      <c r="M192" s="5" t="str">
        <f>IFERROR(__xludf.DUMMYFUNCTION("""COMPUTED_VALUE"""),"02/11/2022")</f>
        <v>02/11/2022</v>
      </c>
      <c r="N192" s="1"/>
      <c r="O192" s="1" t="str">
        <f>IFERROR(__xludf.DUMMYFUNCTION("""COMPUTED_VALUE"""),"0")</f>
        <v>0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5.75" customHeight="1">
      <c r="A193" s="1"/>
      <c r="B193" s="1" t="str">
        <f t="array" ref="B193">XLOOKUP(C193,Tabela_1[NOME ESCOLA PONTO ID],Tabela_1[REGIONAL],"NE",0)</f>
        <v>REGIONAL 1</v>
      </c>
      <c r="C193" s="3" t="str">
        <f>IFERROR(__xludf.DUMMYFUNCTION("""COMPUTED_VALUE"""),"CEMEI SANTO AMARO")</f>
        <v>CEMEI SANTO AMARO</v>
      </c>
      <c r="D193" s="1" t="str">
        <f>IFERROR(__xludf.DUMMYFUNCTION("""COMPUTED_VALUE"""),"26147840")</f>
        <v>26147840</v>
      </c>
      <c r="E193" s="1" t="str">
        <f>IFERROR(__xludf.DUMMYFUNCTION("""COMPUTED_VALUE"""),"INFANTIL 3")</f>
        <v>INFANTIL 3</v>
      </c>
      <c r="F193" s="1" t="str">
        <f>IFERROR(__xludf.DUMMYFUNCTION("""COMPUTED_VALUE"""),"Vespertino/Tarde")</f>
        <v>Vespertino/Tarde</v>
      </c>
      <c r="G193" s="1" t="str">
        <f>IFERROR(__xludf.DUMMYFUNCTION("""COMPUTED_VALUE"""),"Comum")</f>
        <v>Comum</v>
      </c>
      <c r="H193" s="1" t="str">
        <f>IFERROR(__xludf.DUMMYFUNCTION("""COMPUTED_VALUE"""),"5")</f>
        <v>5</v>
      </c>
      <c r="I193" s="4" t="str">
        <f>IFERROR(__xludf.DUMMYFUNCTION("""COMPUTED_VALUE"""),"26052071068")</f>
        <v>26052071068</v>
      </c>
      <c r="J193" s="1" t="str">
        <f>IFERROR(__xludf.DUMMYFUNCTION("""COMPUTED_VALUE"""),"25/05/2026 08:40:05")</f>
        <v>25/05/2026 08:40:05</v>
      </c>
      <c r="K193" s="1" t="str">
        <f>IFERROR(__xludf.DUMMYFUNCTION("""COMPUTED_VALUE"""),"Eloá Maria de Moraes prazeres")</f>
        <v>Eloá Maria de Moraes prazeres</v>
      </c>
      <c r="L193" s="5" t="str">
        <f>IFERROR(__xludf.DUMMYFUNCTION("""COMPUTED_VALUE"""),"184.570.414-28")</f>
        <v>184.570.414-28</v>
      </c>
      <c r="M193" s="5" t="str">
        <f>IFERROR(__xludf.DUMMYFUNCTION("""COMPUTED_VALUE"""),"25/02/2023")</f>
        <v>25/02/2023</v>
      </c>
      <c r="N193" s="1"/>
      <c r="O193" s="1" t="str">
        <f>IFERROR(__xludf.DUMMYFUNCTION("""COMPUTED_VALUE"""),"0")</f>
        <v>0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5.75" customHeight="1">
      <c r="A194" s="1"/>
      <c r="B194" s="1" t="str">
        <f t="array" ref="B194">XLOOKUP(C194,Tabela_1[NOME ESCOLA PONTO ID],Tabela_1[REGIONAL],"NE",0)</f>
        <v>REGIONAL 1</v>
      </c>
      <c r="C194" s="3" t="str">
        <f>IFERROR(__xludf.DUMMYFUNCTION("""COMPUTED_VALUE"""),"CEMEI SANTO AMARO")</f>
        <v>CEMEI SANTO AMARO</v>
      </c>
      <c r="D194" s="1" t="str">
        <f>IFERROR(__xludf.DUMMYFUNCTION("""COMPUTED_VALUE"""),"26147840")</f>
        <v>26147840</v>
      </c>
      <c r="E194" s="1" t="str">
        <f>IFERROR(__xludf.DUMMYFUNCTION("""COMPUTED_VALUE"""),"INFANTIL 3")</f>
        <v>INFANTIL 3</v>
      </c>
      <c r="F194" s="1" t="str">
        <f>IFERROR(__xludf.DUMMYFUNCTION("""COMPUTED_VALUE"""),"Vespertino/Tarde")</f>
        <v>Vespertino/Tarde</v>
      </c>
      <c r="G194" s="1" t="str">
        <f>IFERROR(__xludf.DUMMYFUNCTION("""COMPUTED_VALUE"""),"Comum")</f>
        <v>Comum</v>
      </c>
      <c r="H194" s="1" t="str">
        <f>IFERROR(__xludf.DUMMYFUNCTION("""COMPUTED_VALUE"""),"6")</f>
        <v>6</v>
      </c>
      <c r="I194" s="4" t="str">
        <f>IFERROR(__xludf.DUMMYFUNCTION("""COMPUTED_VALUE"""),"26062982749")</f>
        <v>26062982749</v>
      </c>
      <c r="J194" s="1" t="str">
        <f>IFERROR(__xludf.DUMMYFUNCTION("""COMPUTED_VALUE"""),"10/06/2026 07:16:18")</f>
        <v>10/06/2026 07:16:18</v>
      </c>
      <c r="K194" s="1" t="str">
        <f>IFERROR(__xludf.DUMMYFUNCTION("""COMPUTED_VALUE"""),"APOLO FERRAZ BARBOSA RODRIGUES")</f>
        <v>APOLO FERRAZ BARBOSA RODRIGUES</v>
      </c>
      <c r="L194" s="5" t="str">
        <f>IFERROR(__xludf.DUMMYFUNCTION("""COMPUTED_VALUE"""),"184.564.184-12")</f>
        <v>184.564.184-12</v>
      </c>
      <c r="M194" s="5" t="str">
        <f>IFERROR(__xludf.DUMMYFUNCTION("""COMPUTED_VALUE"""),"17/02/2023")</f>
        <v>17/02/2023</v>
      </c>
      <c r="N194" s="1"/>
      <c r="O194" s="1" t="str">
        <f>IFERROR(__xludf.DUMMYFUNCTION("""COMPUTED_VALUE"""),"0")</f>
        <v>0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5.75" customHeight="1">
      <c r="A195" s="1"/>
      <c r="B195" s="1" t="str">
        <f t="array" ref="B195">XLOOKUP(C195,Tabela_1[NOME ESCOLA PONTO ID],Tabela_1[REGIONAL],"NE",0)</f>
        <v>REGIONAL 5</v>
      </c>
      <c r="C195" s="3" t="str">
        <f>IFERROR(__xludf.DUMMYFUNCTION("""COMPUTED_VALUE"""),"CEMEI SILVIA MARIA DE OLIVEIRA")</f>
        <v>CEMEI SILVIA MARIA DE OLIVEIRA</v>
      </c>
      <c r="D195" s="1" t="str">
        <f>IFERROR(__xludf.DUMMYFUNCTION("""COMPUTED_VALUE"""),"26186080")</f>
        <v>26186080</v>
      </c>
      <c r="E195" s="1" t="str">
        <f>IFERROR(__xludf.DUMMYFUNCTION("""COMPUTED_VALUE"""),"INFANTIL 1")</f>
        <v>INFANTIL 1</v>
      </c>
      <c r="F195" s="1" t="str">
        <f>IFERROR(__xludf.DUMMYFUNCTION("""COMPUTED_VALUE"""),"Integral")</f>
        <v>Integral</v>
      </c>
      <c r="G195" s="1" t="str">
        <f>IFERROR(__xludf.DUMMYFUNCTION("""COMPUTED_VALUE"""),"Comum")</f>
        <v>Comum</v>
      </c>
      <c r="H195" s="1" t="str">
        <f>IFERROR(__xludf.DUMMYFUNCTION("""COMPUTED_VALUE"""),"1")</f>
        <v>1</v>
      </c>
      <c r="I195" s="4" t="str">
        <f>IFERROR(__xludf.DUMMYFUNCTION("""COMPUTED_VALUE"""),"26012525884")</f>
        <v>26012525884</v>
      </c>
      <c r="J195" s="1" t="str">
        <f>IFERROR(__xludf.DUMMYFUNCTION("""COMPUTED_VALUE"""),"28/01/2026 21:43:18")</f>
        <v>28/01/2026 21:43:18</v>
      </c>
      <c r="K195" s="1" t="str">
        <f>IFERROR(__xludf.DUMMYFUNCTION("""COMPUTED_VALUE"""),"ALLEFF DAVI DE OLIVEIRA ALVES")</f>
        <v>ALLEFF DAVI DE OLIVEIRA ALVES</v>
      </c>
      <c r="L195" s="5" t="str">
        <f>IFERROR(__xludf.DUMMYFUNCTION("""COMPUTED_VALUE"""),"005.136.884-63")</f>
        <v>005.136.884-63</v>
      </c>
      <c r="M195" s="5" t="str">
        <f>IFERROR(__xludf.DUMMYFUNCTION("""COMPUTED_VALUE"""),"10/10/2024")</f>
        <v>10/10/2024</v>
      </c>
      <c r="N195" s="1"/>
      <c r="O195" s="1" t="str">
        <f>IFERROR(__xludf.DUMMYFUNCTION("""COMPUTED_VALUE"""),"0")</f>
        <v>0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5.75" customHeight="1">
      <c r="A196" s="1"/>
      <c r="B196" s="1" t="str">
        <f t="array" ref="B196">XLOOKUP(C196,Tabela_1[NOME ESCOLA PONTO ID],Tabela_1[REGIONAL],"NE",0)</f>
        <v>REGIONAL 5</v>
      </c>
      <c r="C196" s="3" t="str">
        <f>IFERROR(__xludf.DUMMYFUNCTION("""COMPUTED_VALUE"""),"CEMEI SILVIA MARIA DE OLIVEIRA")</f>
        <v>CEMEI SILVIA MARIA DE OLIVEIRA</v>
      </c>
      <c r="D196" s="1" t="str">
        <f>IFERROR(__xludf.DUMMYFUNCTION("""COMPUTED_VALUE"""),"26186080")</f>
        <v>26186080</v>
      </c>
      <c r="E196" s="1" t="str">
        <f>IFERROR(__xludf.DUMMYFUNCTION("""COMPUTED_VALUE"""),"INFANTIL 2")</f>
        <v>INFANTIL 2</v>
      </c>
      <c r="F196" s="1" t="str">
        <f>IFERROR(__xludf.DUMMYFUNCTION("""COMPUTED_VALUE"""),"Integral")</f>
        <v>Integral</v>
      </c>
      <c r="G196" s="1" t="str">
        <f>IFERROR(__xludf.DUMMYFUNCTION("""COMPUTED_VALUE"""),"Comum")</f>
        <v>Comum</v>
      </c>
      <c r="H196" s="1" t="str">
        <f>IFERROR(__xludf.DUMMYFUNCTION("""COMPUTED_VALUE"""),"1")</f>
        <v>1</v>
      </c>
      <c r="I196" s="4" t="str">
        <f>IFERROR(__xludf.DUMMYFUNCTION("""COMPUTED_VALUE"""),"26052689284")</f>
        <v>26052689284</v>
      </c>
      <c r="J196" s="1" t="str">
        <f>IFERROR(__xludf.DUMMYFUNCTION("""COMPUTED_VALUE"""),"08/05/2026 18:02:36")</f>
        <v>08/05/2026 18:02:36</v>
      </c>
      <c r="K196" s="1" t="str">
        <f>IFERROR(__xludf.DUMMYFUNCTION("""COMPUTED_VALUE"""),"ARTHUR GABRIEL LIMA DA SILVA")</f>
        <v>ARTHUR GABRIEL LIMA DA SILVA</v>
      </c>
      <c r="L196" s="7" t="str">
        <f>IFERROR(__xludf.DUMMYFUNCTION("""COMPUTED_VALUE"""),"002.280.454-44")</f>
        <v>002.280.454-44</v>
      </c>
      <c r="M196" s="5" t="str">
        <f>IFERROR(__xludf.DUMMYFUNCTION("""COMPUTED_VALUE"""),"14/03/2024")</f>
        <v>14/03/2024</v>
      </c>
      <c r="N196" s="1"/>
      <c r="O196" s="1" t="str">
        <f>IFERROR(__xludf.DUMMYFUNCTION("""COMPUTED_VALUE"""),"0")</f>
        <v>0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5.75" customHeight="1">
      <c r="A197" s="1"/>
      <c r="B197" s="1" t="str">
        <f t="array" ref="B197">XLOOKUP(C197,Tabela_1[NOME ESCOLA PONTO ID],Tabela_1[REGIONAL],"NE",0)</f>
        <v>REGIONAL 4</v>
      </c>
      <c r="C197" s="3" t="str">
        <f>IFERROR(__xludf.DUMMYFUNCTION("""COMPUTED_VALUE"""),"CENTRO MUNICIPAL DE EDUCAÇÃO INFANTIL MARCOS FREIRE")</f>
        <v>CENTRO MUNICIPAL DE EDUCAÇÃO INFANTIL MARCOS FREIRE</v>
      </c>
      <c r="D197" s="1" t="str">
        <f>IFERROR(__xludf.DUMMYFUNCTION("""COMPUTED_VALUE"""),"26156288")</f>
        <v>26156288</v>
      </c>
      <c r="E197" s="1" t="str">
        <f>IFERROR(__xludf.DUMMYFUNCTION("""COMPUTED_VALUE"""),"INFANTIL 1")</f>
        <v>INFANTIL 1</v>
      </c>
      <c r="F197" s="1" t="str">
        <f>IFERROR(__xludf.DUMMYFUNCTION("""COMPUTED_VALUE"""),"Integral")</f>
        <v>Integral</v>
      </c>
      <c r="G197" s="1" t="str">
        <f>IFERROR(__xludf.DUMMYFUNCTION("""COMPUTED_VALUE"""),"Comum")</f>
        <v>Comum</v>
      </c>
      <c r="H197" s="1" t="str">
        <f>IFERROR(__xludf.DUMMYFUNCTION("""COMPUTED_VALUE"""),"1")</f>
        <v>1</v>
      </c>
      <c r="I197" s="4" t="str">
        <f>IFERROR(__xludf.DUMMYFUNCTION("""COMPUTED_VALUE"""),"26032416637")</f>
        <v>26032416637</v>
      </c>
      <c r="J197" s="1" t="str">
        <f>IFERROR(__xludf.DUMMYFUNCTION("""COMPUTED_VALUE"""),"02/03/2026 13:05:13")</f>
        <v>02/03/2026 13:05:13</v>
      </c>
      <c r="K197" s="1" t="str">
        <f>IFERROR(__xludf.DUMMYFUNCTION("""COMPUTED_VALUE"""),"ARIELLY VICTORIA DA SILVA LEANDRO")</f>
        <v>ARIELLY VICTORIA DA SILVA LEANDRO</v>
      </c>
      <c r="L197" s="5" t="str">
        <f>IFERROR(__xludf.DUMMYFUNCTION("""COMPUTED_VALUE"""),"024.884.774-00")</f>
        <v>024.884.774-00</v>
      </c>
      <c r="M197" s="5" t="str">
        <f>IFERROR(__xludf.DUMMYFUNCTION("""COMPUTED_VALUE"""),"15/11/2025")</f>
        <v>15/11/2025</v>
      </c>
      <c r="N197" s="1"/>
      <c r="O197" s="1" t="str">
        <f>IFERROR(__xludf.DUMMYFUNCTION("""COMPUTED_VALUE"""),"0")</f>
        <v>0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5.75" customHeight="1">
      <c r="A198" s="1"/>
      <c r="B198" s="1" t="str">
        <f t="array" ref="B198">XLOOKUP(C198,Tabela_1[NOME ESCOLA PONTO ID],Tabela_1[REGIONAL],"NE",0)</f>
        <v>REGIONAL 4</v>
      </c>
      <c r="C198" s="3" t="str">
        <f>IFERROR(__xludf.DUMMYFUNCTION("""COMPUTED_VALUE"""),"CENTRO MUNICIPAL DE EDUCAÇÃO INFANTIL MARCOS FREIRE")</f>
        <v>CENTRO MUNICIPAL DE EDUCAÇÃO INFANTIL MARCOS FREIRE</v>
      </c>
      <c r="D198" s="1" t="str">
        <f>IFERROR(__xludf.DUMMYFUNCTION("""COMPUTED_VALUE"""),"26156288")</f>
        <v>26156288</v>
      </c>
      <c r="E198" s="1" t="str">
        <f>IFERROR(__xludf.DUMMYFUNCTION("""COMPUTED_VALUE"""),"INFANTIL 1")</f>
        <v>INFANTIL 1</v>
      </c>
      <c r="F198" s="1" t="str">
        <f>IFERROR(__xludf.DUMMYFUNCTION("""COMPUTED_VALUE"""),"Integral")</f>
        <v>Integral</v>
      </c>
      <c r="G198" s="1" t="str">
        <f>IFERROR(__xludf.DUMMYFUNCTION("""COMPUTED_VALUE"""),"Comum")</f>
        <v>Comum</v>
      </c>
      <c r="H198" s="1" t="str">
        <f>IFERROR(__xludf.DUMMYFUNCTION("""COMPUTED_VALUE"""),"2")</f>
        <v>2</v>
      </c>
      <c r="I198" s="4" t="str">
        <f>IFERROR(__xludf.DUMMYFUNCTION("""COMPUTED_VALUE"""),"26032811718")</f>
        <v>26032811718</v>
      </c>
      <c r="J198" s="1" t="str">
        <f>IFERROR(__xludf.DUMMYFUNCTION("""COMPUTED_VALUE"""),"03/03/2026 09:31:27")</f>
        <v>03/03/2026 09:31:27</v>
      </c>
      <c r="K198" s="1" t="str">
        <f>IFERROR(__xludf.DUMMYFUNCTION("""COMPUTED_VALUE"""),"JADE KLARISSE GOMES DO NASCIMENTO")</f>
        <v>JADE KLARISSE GOMES DO NASCIMENTO</v>
      </c>
      <c r="L198" s="5" t="str">
        <f>IFERROR(__xludf.DUMMYFUNCTION("""COMPUTED_VALUE"""),"003.669.294-88")</f>
        <v>003.669.294-88</v>
      </c>
      <c r="M198" s="5" t="str">
        <f>IFERROR(__xludf.DUMMYFUNCTION("""COMPUTED_VALUE"""),"25/07/2024")</f>
        <v>25/07/2024</v>
      </c>
      <c r="N198" s="1"/>
      <c r="O198" s="1" t="str">
        <f>IFERROR(__xludf.DUMMYFUNCTION("""COMPUTED_VALUE"""),"0")</f>
        <v>0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5.75" customHeight="1">
      <c r="A199" s="1"/>
      <c r="B199" s="1" t="str">
        <f t="array" ref="B199">XLOOKUP(C199,Tabela_1[NOME ESCOLA PONTO ID],Tabela_1[REGIONAL],"NE",0)</f>
        <v>REGIONAL 4</v>
      </c>
      <c r="C199" s="3" t="str">
        <f>IFERROR(__xludf.DUMMYFUNCTION("""COMPUTED_VALUE"""),"CENTRO MUNICIPAL DE EDUCAÇÃO INFANTIL MARCOS FREIRE")</f>
        <v>CENTRO MUNICIPAL DE EDUCAÇÃO INFANTIL MARCOS FREIRE</v>
      </c>
      <c r="D199" s="1" t="str">
        <f>IFERROR(__xludf.DUMMYFUNCTION("""COMPUTED_VALUE"""),"26156288")</f>
        <v>26156288</v>
      </c>
      <c r="E199" s="1" t="str">
        <f>IFERROR(__xludf.DUMMYFUNCTION("""COMPUTED_VALUE"""),"INFANTIL 1")</f>
        <v>INFANTIL 1</v>
      </c>
      <c r="F199" s="1" t="str">
        <f>IFERROR(__xludf.DUMMYFUNCTION("""COMPUTED_VALUE"""),"Integral")</f>
        <v>Integral</v>
      </c>
      <c r="G199" s="1" t="str">
        <f>IFERROR(__xludf.DUMMYFUNCTION("""COMPUTED_VALUE"""),"Comum")</f>
        <v>Comum</v>
      </c>
      <c r="H199" s="1" t="str">
        <f>IFERROR(__xludf.DUMMYFUNCTION("""COMPUTED_VALUE"""),"3")</f>
        <v>3</v>
      </c>
      <c r="I199" s="4" t="str">
        <f>IFERROR(__xludf.DUMMYFUNCTION("""COMPUTED_VALUE"""),"26032733195")</f>
        <v>26032733195</v>
      </c>
      <c r="J199" s="1" t="str">
        <f>IFERROR(__xludf.DUMMYFUNCTION("""COMPUTED_VALUE"""),"11/03/2026 16:45:43")</f>
        <v>11/03/2026 16:45:43</v>
      </c>
      <c r="K199" s="1" t="str">
        <f>IFERROR(__xludf.DUMMYFUNCTION("""COMPUTED_VALUE"""),"JOSE CALLEB DA SILVA")</f>
        <v>JOSE CALLEB DA SILVA</v>
      </c>
      <c r="L199" s="5" t="str">
        <f>IFERROR(__xludf.DUMMYFUNCTION("""COMPUTED_VALUE"""),"007.131.994-82")</f>
        <v>007.131.994-82</v>
      </c>
      <c r="M199" s="5" t="str">
        <f>IFERROR(__xludf.DUMMYFUNCTION("""COMPUTED_VALUE"""),"13/08/2025")</f>
        <v>13/08/2025</v>
      </c>
      <c r="N199" s="1"/>
      <c r="O199" s="1" t="str">
        <f>IFERROR(__xludf.DUMMYFUNCTION("""COMPUTED_VALUE"""),"0")</f>
        <v>0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5.75" customHeight="1">
      <c r="A200" s="1"/>
      <c r="B200" s="1" t="str">
        <f t="array" ref="B200">XLOOKUP(C200,Tabela_1[NOME ESCOLA PONTO ID],Tabela_1[REGIONAL],"NE",0)</f>
        <v>REGIONAL 4</v>
      </c>
      <c r="C200" s="3" t="str">
        <f>IFERROR(__xludf.DUMMYFUNCTION("""COMPUTED_VALUE"""),"CENTRO MUNICIPAL DE EDUCAÇÃO INFANTIL MARCOS FREIRE")</f>
        <v>CENTRO MUNICIPAL DE EDUCAÇÃO INFANTIL MARCOS FREIRE</v>
      </c>
      <c r="D200" s="1" t="str">
        <f>IFERROR(__xludf.DUMMYFUNCTION("""COMPUTED_VALUE"""),"26156288")</f>
        <v>26156288</v>
      </c>
      <c r="E200" s="1" t="str">
        <f>IFERROR(__xludf.DUMMYFUNCTION("""COMPUTED_VALUE"""),"INFANTIL 1")</f>
        <v>INFANTIL 1</v>
      </c>
      <c r="F200" s="1" t="str">
        <f>IFERROR(__xludf.DUMMYFUNCTION("""COMPUTED_VALUE"""),"Integral")</f>
        <v>Integral</v>
      </c>
      <c r="G200" s="1" t="str">
        <f>IFERROR(__xludf.DUMMYFUNCTION("""COMPUTED_VALUE"""),"Comum")</f>
        <v>Comum</v>
      </c>
      <c r="H200" s="1" t="str">
        <f>IFERROR(__xludf.DUMMYFUNCTION("""COMPUTED_VALUE"""),"4")</f>
        <v>4</v>
      </c>
      <c r="I200" s="4" t="str">
        <f>IFERROR(__xludf.DUMMYFUNCTION("""COMPUTED_VALUE"""),"26032411794")</f>
        <v>26032411794</v>
      </c>
      <c r="J200" s="1" t="str">
        <f>IFERROR(__xludf.DUMMYFUNCTION("""COMPUTED_VALUE"""),"12/03/2026 06:29:35")</f>
        <v>12/03/2026 06:29:35</v>
      </c>
      <c r="K200" s="1" t="str">
        <f>IFERROR(__xludf.DUMMYFUNCTION("""COMPUTED_VALUE"""),"MARIA ISADORA ALBUQUERQUE DE SANTANA")</f>
        <v>MARIA ISADORA ALBUQUERQUE DE SANTANA</v>
      </c>
      <c r="L200" s="5" t="str">
        <f>IFERROR(__xludf.DUMMYFUNCTION("""COMPUTED_VALUE"""),"005.362.524-24")</f>
        <v>005.362.524-24</v>
      </c>
      <c r="M200" s="5" t="str">
        <f>IFERROR(__xludf.DUMMYFUNCTION("""COMPUTED_VALUE"""),"13/02/2025")</f>
        <v>13/02/2025</v>
      </c>
      <c r="N200" s="1"/>
      <c r="O200" s="1" t="str">
        <f>IFERROR(__xludf.DUMMYFUNCTION("""COMPUTED_VALUE"""),"0")</f>
        <v>0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5.75" customHeight="1">
      <c r="A201" s="1"/>
      <c r="B201" s="1" t="str">
        <f t="array" ref="B201">XLOOKUP(C201,Tabela_1[NOME ESCOLA PONTO ID],Tabela_1[REGIONAL],"NE",0)</f>
        <v>REGIONAL 4</v>
      </c>
      <c r="C201" s="3" t="str">
        <f>IFERROR(__xludf.DUMMYFUNCTION("""COMPUTED_VALUE"""),"CENTRO MUNICIPAL DE EDUCAÇÃO INFANTIL MARCOS FREIRE")</f>
        <v>CENTRO MUNICIPAL DE EDUCAÇÃO INFANTIL MARCOS FREIRE</v>
      </c>
      <c r="D201" s="1" t="str">
        <f>IFERROR(__xludf.DUMMYFUNCTION("""COMPUTED_VALUE"""),"26156288")</f>
        <v>26156288</v>
      </c>
      <c r="E201" s="1" t="str">
        <f>IFERROR(__xludf.DUMMYFUNCTION("""COMPUTED_VALUE"""),"INFANTIL 1")</f>
        <v>INFANTIL 1</v>
      </c>
      <c r="F201" s="1" t="str">
        <f>IFERROR(__xludf.DUMMYFUNCTION("""COMPUTED_VALUE"""),"Integral")</f>
        <v>Integral</v>
      </c>
      <c r="G201" s="1" t="str">
        <f>IFERROR(__xludf.DUMMYFUNCTION("""COMPUTED_VALUE"""),"Comum")</f>
        <v>Comum</v>
      </c>
      <c r="H201" s="1" t="str">
        <f>IFERROR(__xludf.DUMMYFUNCTION("""COMPUTED_VALUE"""),"5")</f>
        <v>5</v>
      </c>
      <c r="I201" s="4" t="str">
        <f>IFERROR(__xludf.DUMMYFUNCTION("""COMPUTED_VALUE"""),"26032317348")</f>
        <v>26032317348</v>
      </c>
      <c r="J201" s="1" t="str">
        <f>IFERROR(__xludf.DUMMYFUNCTION("""COMPUTED_VALUE"""),"18/03/2026 11:00:34")</f>
        <v>18/03/2026 11:00:34</v>
      </c>
      <c r="K201" s="1" t="str">
        <f>IFERROR(__xludf.DUMMYFUNCTION("""COMPUTED_VALUE"""),"BRYAN CALEB DOS SANTOS CORREIA")</f>
        <v>BRYAN CALEB DOS SANTOS CORREIA</v>
      </c>
      <c r="L201" s="5" t="str">
        <f>IFERROR(__xludf.DUMMYFUNCTION("""COMPUTED_VALUE"""),"006.316.154-07")</f>
        <v>006.316.154-07</v>
      </c>
      <c r="M201" s="5" t="str">
        <f>IFERROR(__xludf.DUMMYFUNCTION("""COMPUTED_VALUE"""),"28/05/2025")</f>
        <v>28/05/2025</v>
      </c>
      <c r="N201" s="1"/>
      <c r="O201" s="1" t="str">
        <f>IFERROR(__xludf.DUMMYFUNCTION("""COMPUTED_VALUE"""),"0")</f>
        <v>0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5.75" customHeight="1">
      <c r="A202" s="1"/>
      <c r="B202" s="1" t="str">
        <f t="array" ref="B202">XLOOKUP(C202,Tabela_1[NOME ESCOLA PONTO ID],Tabela_1[REGIONAL],"NE",0)</f>
        <v>REGIONAL 4</v>
      </c>
      <c r="C202" s="3" t="str">
        <f>IFERROR(__xludf.DUMMYFUNCTION("""COMPUTED_VALUE"""),"CENTRO MUNICIPAL DE EDUCAÇÃO INFANTIL MARCOS FREIRE")</f>
        <v>CENTRO MUNICIPAL DE EDUCAÇÃO INFANTIL MARCOS FREIRE</v>
      </c>
      <c r="D202" s="1" t="str">
        <f>IFERROR(__xludf.DUMMYFUNCTION("""COMPUTED_VALUE"""),"26156288")</f>
        <v>26156288</v>
      </c>
      <c r="E202" s="1" t="str">
        <f>IFERROR(__xludf.DUMMYFUNCTION("""COMPUTED_VALUE"""),"INFANTIL 1")</f>
        <v>INFANTIL 1</v>
      </c>
      <c r="F202" s="1" t="str">
        <f>IFERROR(__xludf.DUMMYFUNCTION("""COMPUTED_VALUE"""),"Integral")</f>
        <v>Integral</v>
      </c>
      <c r="G202" s="1" t="str">
        <f>IFERROR(__xludf.DUMMYFUNCTION("""COMPUTED_VALUE"""),"Comum")</f>
        <v>Comum</v>
      </c>
      <c r="H202" s="1" t="str">
        <f>IFERROR(__xludf.DUMMYFUNCTION("""COMPUTED_VALUE"""),"6")</f>
        <v>6</v>
      </c>
      <c r="I202" s="4" t="str">
        <f>IFERROR(__xludf.DUMMYFUNCTION("""COMPUTED_VALUE"""),"26032058550")</f>
        <v>26032058550</v>
      </c>
      <c r="J202" s="1" t="str">
        <f>IFERROR(__xludf.DUMMYFUNCTION("""COMPUTED_VALUE"""),"23/03/2026 12:20:04")</f>
        <v>23/03/2026 12:20:04</v>
      </c>
      <c r="K202" s="1" t="str">
        <f>IFERROR(__xludf.DUMMYFUNCTION("""COMPUTED_VALUE"""),"DALILA DOS SANTOS")</f>
        <v>DALILA DOS SANTOS</v>
      </c>
      <c r="L202" s="7" t="str">
        <f>IFERROR(__xludf.DUMMYFUNCTION("""COMPUTED_VALUE"""),"002.673.744-29")</f>
        <v>002.673.744-29</v>
      </c>
      <c r="M202" s="5" t="str">
        <f>IFERROR(__xludf.DUMMYFUNCTION("""COMPUTED_VALUE"""),"09/04/2024")</f>
        <v>09/04/2024</v>
      </c>
      <c r="N202" s="1"/>
      <c r="O202" s="1" t="str">
        <f>IFERROR(__xludf.DUMMYFUNCTION("""COMPUTED_VALUE"""),"0")</f>
        <v>0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5.75" customHeight="1">
      <c r="A203" s="1"/>
      <c r="B203" s="1" t="str">
        <f t="array" ref="B203">XLOOKUP(C203,Tabela_1[NOME ESCOLA PONTO ID],Tabela_1[REGIONAL],"NE",0)</f>
        <v>REGIONAL 4</v>
      </c>
      <c r="C203" s="3" t="str">
        <f>IFERROR(__xludf.DUMMYFUNCTION("""COMPUTED_VALUE"""),"CENTRO MUNICIPAL DE EDUCAÇÃO INFANTIL MARCOS FREIRE")</f>
        <v>CENTRO MUNICIPAL DE EDUCAÇÃO INFANTIL MARCOS FREIRE</v>
      </c>
      <c r="D203" s="1" t="str">
        <f>IFERROR(__xludf.DUMMYFUNCTION("""COMPUTED_VALUE"""),"26156288")</f>
        <v>26156288</v>
      </c>
      <c r="E203" s="1" t="str">
        <f>IFERROR(__xludf.DUMMYFUNCTION("""COMPUTED_VALUE"""),"INFANTIL 1")</f>
        <v>INFANTIL 1</v>
      </c>
      <c r="F203" s="1" t="str">
        <f>IFERROR(__xludf.DUMMYFUNCTION("""COMPUTED_VALUE"""),"Integral")</f>
        <v>Integral</v>
      </c>
      <c r="G203" s="1" t="str">
        <f>IFERROR(__xludf.DUMMYFUNCTION("""COMPUTED_VALUE"""),"Comum")</f>
        <v>Comum</v>
      </c>
      <c r="H203" s="1" t="str">
        <f>IFERROR(__xludf.DUMMYFUNCTION("""COMPUTED_VALUE"""),"7")</f>
        <v>7</v>
      </c>
      <c r="I203" s="4" t="str">
        <f>IFERROR(__xludf.DUMMYFUNCTION("""COMPUTED_VALUE"""),"26032656769")</f>
        <v>26032656769</v>
      </c>
      <c r="J203" s="1" t="str">
        <f>IFERROR(__xludf.DUMMYFUNCTION("""COMPUTED_VALUE"""),"27/03/2026 14:19:05")</f>
        <v>27/03/2026 14:19:05</v>
      </c>
      <c r="K203" s="1" t="str">
        <f>IFERROR(__xludf.DUMMYFUNCTION("""COMPUTED_VALUE"""),"RAVILA LOUISE CUSTÓDIO ALVES DA SILVA")</f>
        <v>RAVILA LOUISE CUSTÓDIO ALVES DA SILVA</v>
      </c>
      <c r="L203" s="5" t="str">
        <f>IFERROR(__xludf.DUMMYFUNCTION("""COMPUTED_VALUE"""),"004.783.134-03")</f>
        <v>004.783.134-03</v>
      </c>
      <c r="M203" s="7" t="str">
        <f>IFERROR(__xludf.DUMMYFUNCTION("""COMPUTED_VALUE"""),"05/12/2024")</f>
        <v>05/12/2024</v>
      </c>
      <c r="N203" s="1"/>
      <c r="O203" s="1" t="str">
        <f>IFERROR(__xludf.DUMMYFUNCTION("""COMPUTED_VALUE"""),"0")</f>
        <v>0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5.75" customHeight="1">
      <c r="A204" s="1"/>
      <c r="B204" s="1" t="str">
        <f t="array" ref="B204">XLOOKUP(C204,Tabela_1[NOME ESCOLA PONTO ID],Tabela_1[REGIONAL],"NE",0)</f>
        <v>REGIONAL 4</v>
      </c>
      <c r="C204" s="3" t="str">
        <f>IFERROR(__xludf.DUMMYFUNCTION("""COMPUTED_VALUE"""),"CENTRO MUNICIPAL DE EDUCAÇÃO INFANTIL MARCOS FREIRE")</f>
        <v>CENTRO MUNICIPAL DE EDUCAÇÃO INFANTIL MARCOS FREIRE</v>
      </c>
      <c r="D204" s="1" t="str">
        <f>IFERROR(__xludf.DUMMYFUNCTION("""COMPUTED_VALUE"""),"26156288")</f>
        <v>26156288</v>
      </c>
      <c r="E204" s="1" t="str">
        <f>IFERROR(__xludf.DUMMYFUNCTION("""COMPUTED_VALUE"""),"INFANTIL 1")</f>
        <v>INFANTIL 1</v>
      </c>
      <c r="F204" s="1" t="str">
        <f>IFERROR(__xludf.DUMMYFUNCTION("""COMPUTED_VALUE"""),"Integral")</f>
        <v>Integral</v>
      </c>
      <c r="G204" s="1" t="str">
        <f>IFERROR(__xludf.DUMMYFUNCTION("""COMPUTED_VALUE"""),"Comum")</f>
        <v>Comum</v>
      </c>
      <c r="H204" s="1" t="str">
        <f>IFERROR(__xludf.DUMMYFUNCTION("""COMPUTED_VALUE"""),"8")</f>
        <v>8</v>
      </c>
      <c r="I204" s="4" t="str">
        <f>IFERROR(__xludf.DUMMYFUNCTION("""COMPUTED_VALUE"""),"26042102490")</f>
        <v>26042102490</v>
      </c>
      <c r="J204" s="1" t="str">
        <f>IFERROR(__xludf.DUMMYFUNCTION("""COMPUTED_VALUE"""),"08/04/2026 10:45:14")</f>
        <v>08/04/2026 10:45:14</v>
      </c>
      <c r="K204" s="1" t="str">
        <f>IFERROR(__xludf.DUMMYFUNCTION("""COMPUTED_VALUE"""),"THOMÁS SANTIAGO DE LIMA")</f>
        <v>THOMÁS SANTIAGO DE LIMA</v>
      </c>
      <c r="L204" s="5" t="str">
        <f>IFERROR(__xludf.DUMMYFUNCTION("""COMPUTED_VALUE"""),"004.437.094-67")</f>
        <v>004.437.094-67</v>
      </c>
      <c r="M204" s="7" t="str">
        <f>IFERROR(__xludf.DUMMYFUNCTION("""COMPUTED_VALUE"""),"28/10/2024")</f>
        <v>28/10/2024</v>
      </c>
      <c r="N204" s="1"/>
      <c r="O204" s="1" t="str">
        <f>IFERROR(__xludf.DUMMYFUNCTION("""COMPUTED_VALUE"""),"0")</f>
        <v>0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5.75" customHeight="1">
      <c r="A205" s="1"/>
      <c r="B205" s="1" t="str">
        <f t="array" ref="B205">XLOOKUP(C205,Tabela_1[NOME ESCOLA PONTO ID],Tabela_1[REGIONAL],"NE",0)</f>
        <v>REGIONAL 4</v>
      </c>
      <c r="C205" s="3" t="str">
        <f>IFERROR(__xludf.DUMMYFUNCTION("""COMPUTED_VALUE"""),"CENTRO MUNICIPAL DE EDUCAÇÃO INFANTIL MARCOS FREIRE")</f>
        <v>CENTRO MUNICIPAL DE EDUCAÇÃO INFANTIL MARCOS FREIRE</v>
      </c>
      <c r="D205" s="1" t="str">
        <f>IFERROR(__xludf.DUMMYFUNCTION("""COMPUTED_VALUE"""),"26156288")</f>
        <v>26156288</v>
      </c>
      <c r="E205" s="1" t="str">
        <f>IFERROR(__xludf.DUMMYFUNCTION("""COMPUTED_VALUE"""),"INFANTIL 1")</f>
        <v>INFANTIL 1</v>
      </c>
      <c r="F205" s="1" t="str">
        <f>IFERROR(__xludf.DUMMYFUNCTION("""COMPUTED_VALUE"""),"Integral")</f>
        <v>Integral</v>
      </c>
      <c r="G205" s="1" t="str">
        <f>IFERROR(__xludf.DUMMYFUNCTION("""COMPUTED_VALUE"""),"Comum")</f>
        <v>Comum</v>
      </c>
      <c r="H205" s="1" t="str">
        <f>IFERROR(__xludf.DUMMYFUNCTION("""COMPUTED_VALUE"""),"9")</f>
        <v>9</v>
      </c>
      <c r="I205" s="4" t="str">
        <f>IFERROR(__xludf.DUMMYFUNCTION("""COMPUTED_VALUE"""),"26042789546")</f>
        <v>26042789546</v>
      </c>
      <c r="J205" s="1" t="str">
        <f>IFERROR(__xludf.DUMMYFUNCTION("""COMPUTED_VALUE"""),"14/04/2026 09:51:21")</f>
        <v>14/04/2026 09:51:21</v>
      </c>
      <c r="K205" s="1" t="str">
        <f>IFERROR(__xludf.DUMMYFUNCTION("""COMPUTED_VALUE"""),"MAYAH GABRYELLY PATRIARCA DE LIMA")</f>
        <v>MAYAH GABRYELLY PATRIARCA DE LIMA</v>
      </c>
      <c r="L205" s="5" t="str">
        <f>IFERROR(__xludf.DUMMYFUNCTION("""COMPUTED_VALUE"""),"014.136.034-83")</f>
        <v>014.136.034-83</v>
      </c>
      <c r="M205" s="5" t="str">
        <f>IFERROR(__xludf.DUMMYFUNCTION("""COMPUTED_VALUE"""),"25/08/2025")</f>
        <v>25/08/2025</v>
      </c>
      <c r="N205" s="1"/>
      <c r="O205" s="1" t="str">
        <f>IFERROR(__xludf.DUMMYFUNCTION("""COMPUTED_VALUE"""),"0")</f>
        <v>0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5.75" customHeight="1">
      <c r="A206" s="1"/>
      <c r="B206" s="1" t="str">
        <f t="array" ref="B206">XLOOKUP(C206,Tabela_1[NOME ESCOLA PONTO ID],Tabela_1[REGIONAL],"NE",0)</f>
        <v>REGIONAL 4</v>
      </c>
      <c r="C206" s="3" t="str">
        <f>IFERROR(__xludf.DUMMYFUNCTION("""COMPUTED_VALUE"""),"CENTRO MUNICIPAL DE EDUCAÇÃO INFANTIL MARCOS FREIRE")</f>
        <v>CENTRO MUNICIPAL DE EDUCAÇÃO INFANTIL MARCOS FREIRE</v>
      </c>
      <c r="D206" s="1" t="str">
        <f>IFERROR(__xludf.DUMMYFUNCTION("""COMPUTED_VALUE"""),"26156288")</f>
        <v>26156288</v>
      </c>
      <c r="E206" s="1" t="str">
        <f>IFERROR(__xludf.DUMMYFUNCTION("""COMPUTED_VALUE"""),"INFANTIL 1")</f>
        <v>INFANTIL 1</v>
      </c>
      <c r="F206" s="1" t="str">
        <f>IFERROR(__xludf.DUMMYFUNCTION("""COMPUTED_VALUE"""),"Integral")</f>
        <v>Integral</v>
      </c>
      <c r="G206" s="1" t="str">
        <f>IFERROR(__xludf.DUMMYFUNCTION("""COMPUTED_VALUE"""),"Comum")</f>
        <v>Comum</v>
      </c>
      <c r="H206" s="1" t="str">
        <f>IFERROR(__xludf.DUMMYFUNCTION("""COMPUTED_VALUE"""),"10")</f>
        <v>10</v>
      </c>
      <c r="I206" s="4" t="str">
        <f>IFERROR(__xludf.DUMMYFUNCTION("""COMPUTED_VALUE"""),"26042234675")</f>
        <v>26042234675</v>
      </c>
      <c r="J206" s="1" t="str">
        <f>IFERROR(__xludf.DUMMYFUNCTION("""COMPUTED_VALUE"""),"15/04/2026 16:58:08")</f>
        <v>15/04/2026 16:58:08</v>
      </c>
      <c r="K206" s="1" t="str">
        <f>IFERROR(__xludf.DUMMYFUNCTION("""COMPUTED_VALUE"""),"EVANGELINE MENDES DA SILVA")</f>
        <v>EVANGELINE MENDES DA SILVA</v>
      </c>
      <c r="L206" s="5" t="str">
        <f>IFERROR(__xludf.DUMMYFUNCTION("""COMPUTED_VALUE"""),"050.824.554-00")</f>
        <v>050.824.554-00</v>
      </c>
      <c r="M206" s="5" t="str">
        <f>IFERROR(__xludf.DUMMYFUNCTION("""COMPUTED_VALUE"""),"12/02/2025")</f>
        <v>12/02/2025</v>
      </c>
      <c r="N206" s="1"/>
      <c r="O206" s="1" t="str">
        <f>IFERROR(__xludf.DUMMYFUNCTION("""COMPUTED_VALUE"""),"0")</f>
        <v>0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5.75" customHeight="1">
      <c r="A207" s="1"/>
      <c r="B207" s="1" t="str">
        <f t="array" ref="B207">XLOOKUP(C207,Tabela_1[NOME ESCOLA PONTO ID],Tabela_1[REGIONAL],"NE",0)</f>
        <v>REGIONAL 4</v>
      </c>
      <c r="C207" s="3" t="str">
        <f>IFERROR(__xludf.DUMMYFUNCTION("""COMPUTED_VALUE"""),"CENTRO MUNICIPAL DE EDUCAÇÃO INFANTIL MARCOS FREIRE")</f>
        <v>CENTRO MUNICIPAL DE EDUCAÇÃO INFANTIL MARCOS FREIRE</v>
      </c>
      <c r="D207" s="1" t="str">
        <f>IFERROR(__xludf.DUMMYFUNCTION("""COMPUTED_VALUE"""),"26156288")</f>
        <v>26156288</v>
      </c>
      <c r="E207" s="1" t="str">
        <f>IFERROR(__xludf.DUMMYFUNCTION("""COMPUTED_VALUE"""),"INFANTIL 1")</f>
        <v>INFANTIL 1</v>
      </c>
      <c r="F207" s="1" t="str">
        <f>IFERROR(__xludf.DUMMYFUNCTION("""COMPUTED_VALUE"""),"Integral")</f>
        <v>Integral</v>
      </c>
      <c r="G207" s="1" t="str">
        <f>IFERROR(__xludf.DUMMYFUNCTION("""COMPUTED_VALUE"""),"Comum")</f>
        <v>Comum</v>
      </c>
      <c r="H207" s="1" t="str">
        <f>IFERROR(__xludf.DUMMYFUNCTION("""COMPUTED_VALUE"""),"11")</f>
        <v>11</v>
      </c>
      <c r="I207" s="4" t="str">
        <f>IFERROR(__xludf.DUMMYFUNCTION("""COMPUTED_VALUE"""),"26052886541")</f>
        <v>26052886541</v>
      </c>
      <c r="J207" s="1" t="str">
        <f>IFERROR(__xludf.DUMMYFUNCTION("""COMPUTED_VALUE"""),"11/05/2026 14:39:32")</f>
        <v>11/05/2026 14:39:32</v>
      </c>
      <c r="K207" s="1" t="str">
        <f>IFERROR(__xludf.DUMMYFUNCTION("""COMPUTED_VALUE"""),"JADE HELENA PARAISO DE ASSIS")</f>
        <v>JADE HELENA PARAISO DE ASSIS</v>
      </c>
      <c r="L207" s="5" t="str">
        <f>IFERROR(__xludf.DUMMYFUNCTION("""COMPUTED_VALUE"""),"003.489.334-28")</f>
        <v>003.489.334-28</v>
      </c>
      <c r="M207" s="5" t="str">
        <f>IFERROR(__xludf.DUMMYFUNCTION("""COMPUTED_VALUE"""),"11/07/2024")</f>
        <v>11/07/2024</v>
      </c>
      <c r="N207" s="1"/>
      <c r="O207" s="1" t="str">
        <f>IFERROR(__xludf.DUMMYFUNCTION("""COMPUTED_VALUE"""),"0")</f>
        <v>0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5.75" customHeight="1">
      <c r="A208" s="1"/>
      <c r="B208" s="1" t="str">
        <f t="array" ref="B208">XLOOKUP(C208,Tabela_1[NOME ESCOLA PONTO ID],Tabela_1[REGIONAL],"NE",0)</f>
        <v>REGIONAL 4</v>
      </c>
      <c r="C208" s="3" t="str">
        <f>IFERROR(__xludf.DUMMYFUNCTION("""COMPUTED_VALUE"""),"CENTRO MUNICIPAL DE EDUCAÇÃO INFANTIL MARCOS FREIRE")</f>
        <v>CENTRO MUNICIPAL DE EDUCAÇÃO INFANTIL MARCOS FREIRE</v>
      </c>
      <c r="D208" s="1" t="str">
        <f>IFERROR(__xludf.DUMMYFUNCTION("""COMPUTED_VALUE"""),"26156288")</f>
        <v>26156288</v>
      </c>
      <c r="E208" s="1" t="str">
        <f>IFERROR(__xludf.DUMMYFUNCTION("""COMPUTED_VALUE"""),"INFANTIL 1")</f>
        <v>INFANTIL 1</v>
      </c>
      <c r="F208" s="1" t="str">
        <f>IFERROR(__xludf.DUMMYFUNCTION("""COMPUTED_VALUE"""),"Integral")</f>
        <v>Integral</v>
      </c>
      <c r="G208" s="1" t="str">
        <f>IFERROR(__xludf.DUMMYFUNCTION("""COMPUTED_VALUE"""),"Comum")</f>
        <v>Comum</v>
      </c>
      <c r="H208" s="1" t="str">
        <f>IFERROR(__xludf.DUMMYFUNCTION("""COMPUTED_VALUE"""),"12")</f>
        <v>12</v>
      </c>
      <c r="I208" s="4" t="str">
        <f>IFERROR(__xludf.DUMMYFUNCTION("""COMPUTED_VALUE"""),"26052806799")</f>
        <v>26052806799</v>
      </c>
      <c r="J208" s="1" t="str">
        <f>IFERROR(__xludf.DUMMYFUNCTION("""COMPUTED_VALUE"""),"26/05/2026 13:30:04")</f>
        <v>26/05/2026 13:30:04</v>
      </c>
      <c r="K208" s="1" t="str">
        <f>IFERROR(__xludf.DUMMYFUNCTION("""COMPUTED_VALUE"""),"MERLYA VITORIA DA SILVA FERNANDES")</f>
        <v>MERLYA VITORIA DA SILVA FERNANDES</v>
      </c>
      <c r="L208" s="5" t="str">
        <f>IFERROR(__xludf.DUMMYFUNCTION("""COMPUTED_VALUE"""),"006.677.104-85")</f>
        <v>006.677.104-85</v>
      </c>
      <c r="M208" s="5" t="str">
        <f>IFERROR(__xludf.DUMMYFUNCTION("""COMPUTED_VALUE"""),"14/05/2025")</f>
        <v>14/05/2025</v>
      </c>
      <c r="N208" s="1"/>
      <c r="O208" s="1" t="str">
        <f>IFERROR(__xludf.DUMMYFUNCTION("""COMPUTED_VALUE"""),"0")</f>
        <v>0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5.75" customHeight="1">
      <c r="A209" s="1"/>
      <c r="B209" s="1" t="str">
        <f t="array" ref="B209">XLOOKUP(C209,Tabela_1[NOME ESCOLA PONTO ID],Tabela_1[REGIONAL],"NE",0)</f>
        <v>REGIONAL 4</v>
      </c>
      <c r="C209" s="3" t="str">
        <f>IFERROR(__xludf.DUMMYFUNCTION("""COMPUTED_VALUE"""),"CENTRO MUNICIPAL DE EDUCAÇÃO INFANTIL MARCOS FREIRE")</f>
        <v>CENTRO MUNICIPAL DE EDUCAÇÃO INFANTIL MARCOS FREIRE</v>
      </c>
      <c r="D209" s="1" t="str">
        <f>IFERROR(__xludf.DUMMYFUNCTION("""COMPUTED_VALUE"""),"26156288")</f>
        <v>26156288</v>
      </c>
      <c r="E209" s="1" t="str">
        <f>IFERROR(__xludf.DUMMYFUNCTION("""COMPUTED_VALUE"""),"INFANTIL 1")</f>
        <v>INFANTIL 1</v>
      </c>
      <c r="F209" s="1" t="str">
        <f>IFERROR(__xludf.DUMMYFUNCTION("""COMPUTED_VALUE"""),"Integral")</f>
        <v>Integral</v>
      </c>
      <c r="G209" s="1" t="str">
        <f>IFERROR(__xludf.DUMMYFUNCTION("""COMPUTED_VALUE"""),"Comum")</f>
        <v>Comum</v>
      </c>
      <c r="H209" s="1" t="str">
        <f>IFERROR(__xludf.DUMMYFUNCTION("""COMPUTED_VALUE"""),"13")</f>
        <v>13</v>
      </c>
      <c r="I209" s="4" t="str">
        <f>IFERROR(__xludf.DUMMYFUNCTION("""COMPUTED_VALUE"""),"26062507959")</f>
        <v>26062507959</v>
      </c>
      <c r="J209" s="1" t="str">
        <f>IFERROR(__xludf.DUMMYFUNCTION("""COMPUTED_VALUE"""),"03/06/2026 08:39:17")</f>
        <v>03/06/2026 08:39:17</v>
      </c>
      <c r="K209" s="1" t="str">
        <f>IFERROR(__xludf.DUMMYFUNCTION("""COMPUTED_VALUE"""),"BRYAN GABRIEL CARNEIRO DE LIMA")</f>
        <v>BRYAN GABRIEL CARNEIRO DE LIMA</v>
      </c>
      <c r="L209" s="5" t="str">
        <f>IFERROR(__xludf.DUMMYFUNCTION("""COMPUTED_VALUE"""),"003.558.374-63")</f>
        <v>003.558.374-63</v>
      </c>
      <c r="M209" s="5" t="str">
        <f>IFERROR(__xludf.DUMMYFUNCTION("""COMPUTED_VALUE"""),"21/07/2024")</f>
        <v>21/07/2024</v>
      </c>
      <c r="N209" s="1"/>
      <c r="O209" s="1" t="str">
        <f>IFERROR(__xludf.DUMMYFUNCTION("""COMPUTED_VALUE"""),"0")</f>
        <v>0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5.75" customHeight="1">
      <c r="A210" s="1"/>
      <c r="B210" s="1" t="str">
        <f t="array" ref="B210">XLOOKUP(C210,Tabela_1[NOME ESCOLA PONTO ID],Tabela_1[REGIONAL],"NE",0)</f>
        <v>REGIONAL 4</v>
      </c>
      <c r="C210" s="3" t="str">
        <f>IFERROR(__xludf.DUMMYFUNCTION("""COMPUTED_VALUE"""),"CENTRO MUNICIPAL DE EDUCAÇÃO INFANTIL MARCOS FREIRE")</f>
        <v>CENTRO MUNICIPAL DE EDUCAÇÃO INFANTIL MARCOS FREIRE</v>
      </c>
      <c r="D210" s="1" t="str">
        <f>IFERROR(__xludf.DUMMYFUNCTION("""COMPUTED_VALUE"""),"26156288")</f>
        <v>26156288</v>
      </c>
      <c r="E210" s="1" t="str">
        <f>IFERROR(__xludf.DUMMYFUNCTION("""COMPUTED_VALUE"""),"INFANTIL 1")</f>
        <v>INFANTIL 1</v>
      </c>
      <c r="F210" s="1" t="str">
        <f>IFERROR(__xludf.DUMMYFUNCTION("""COMPUTED_VALUE"""),"Integral")</f>
        <v>Integral</v>
      </c>
      <c r="G210" s="1" t="str">
        <f>IFERROR(__xludf.DUMMYFUNCTION("""COMPUTED_VALUE"""),"Comum")</f>
        <v>Comum</v>
      </c>
      <c r="H210" s="1" t="str">
        <f>IFERROR(__xludf.DUMMYFUNCTION("""COMPUTED_VALUE"""),"14")</f>
        <v>14</v>
      </c>
      <c r="I210" s="4" t="str">
        <f>IFERROR(__xludf.DUMMYFUNCTION("""COMPUTED_VALUE"""),"26062472717")</f>
        <v>26062472717</v>
      </c>
      <c r="J210" s="1" t="str">
        <f>IFERROR(__xludf.DUMMYFUNCTION("""COMPUTED_VALUE"""),"13/06/2026 12:51:02")</f>
        <v>13/06/2026 12:51:02</v>
      </c>
      <c r="K210" s="1" t="str">
        <f>IFERROR(__xludf.DUMMYFUNCTION("""COMPUTED_VALUE"""),"Liz Helena de Lima Ferreira")</f>
        <v>Liz Helena de Lima Ferreira</v>
      </c>
      <c r="L210" s="5" t="str">
        <f>IFERROR(__xludf.DUMMYFUNCTION("""COMPUTED_VALUE"""),"006.363.494-54")</f>
        <v>006.363.494-54</v>
      </c>
      <c r="M210" s="5" t="str">
        <f>IFERROR(__xludf.DUMMYFUNCTION("""COMPUTED_VALUE"""),"29/05/2025")</f>
        <v>29/05/2025</v>
      </c>
      <c r="N210" s="1"/>
      <c r="O210" s="1" t="str">
        <f>IFERROR(__xludf.DUMMYFUNCTION("""COMPUTED_VALUE"""),"0")</f>
        <v>0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5.75" customHeight="1">
      <c r="A211" s="1"/>
      <c r="B211" s="1" t="str">
        <f t="array" ref="B211">XLOOKUP(C211,Tabela_1[NOME ESCOLA PONTO ID],Tabela_1[REGIONAL],"NE",0)</f>
        <v>REGIONAL 4</v>
      </c>
      <c r="C211" s="3" t="str">
        <f>IFERROR(__xludf.DUMMYFUNCTION("""COMPUTED_VALUE"""),"CENTRO MUNICIPAL DE EDUCAÇÃO INFANTIL MARCOS FREIRE")</f>
        <v>CENTRO MUNICIPAL DE EDUCAÇÃO INFANTIL MARCOS FREIRE</v>
      </c>
      <c r="D211" s="1" t="str">
        <f>IFERROR(__xludf.DUMMYFUNCTION("""COMPUTED_VALUE"""),"26156288")</f>
        <v>26156288</v>
      </c>
      <c r="E211" s="1" t="str">
        <f>IFERROR(__xludf.DUMMYFUNCTION("""COMPUTED_VALUE"""),"INFANTIL 2")</f>
        <v>INFANTIL 2</v>
      </c>
      <c r="F211" s="1" t="str">
        <f>IFERROR(__xludf.DUMMYFUNCTION("""COMPUTED_VALUE"""),"Integral")</f>
        <v>Integral</v>
      </c>
      <c r="G211" s="1" t="str">
        <f>IFERROR(__xludf.DUMMYFUNCTION("""COMPUTED_VALUE"""),"Comum")</f>
        <v>Comum</v>
      </c>
      <c r="H211" s="1" t="str">
        <f>IFERROR(__xludf.DUMMYFUNCTION("""COMPUTED_VALUE"""),"1")</f>
        <v>1</v>
      </c>
      <c r="I211" s="4" t="str">
        <f>IFERROR(__xludf.DUMMYFUNCTION("""COMPUTED_VALUE"""),"26032887986")</f>
        <v>26032887986</v>
      </c>
      <c r="J211" s="1" t="str">
        <f>IFERROR(__xludf.DUMMYFUNCTION("""COMPUTED_VALUE"""),"03/03/2026 12:34:10")</f>
        <v>03/03/2026 12:34:10</v>
      </c>
      <c r="K211" s="1" t="str">
        <f>IFERROR(__xludf.DUMMYFUNCTION("""COMPUTED_VALUE"""),"GAEL ALEXANDRE SOARES DE LUNA")</f>
        <v>GAEL ALEXANDRE SOARES DE LUNA</v>
      </c>
      <c r="L211" s="5" t="str">
        <f>IFERROR(__xludf.DUMMYFUNCTION("""COMPUTED_VALUE"""),"001.591.704-51")</f>
        <v>001.591.704-51</v>
      </c>
      <c r="M211" s="5" t="str">
        <f>IFERROR(__xludf.DUMMYFUNCTION("""COMPUTED_VALUE"""),"16/01/2024")</f>
        <v>16/01/2024</v>
      </c>
      <c r="N211" s="1"/>
      <c r="O211" s="1" t="str">
        <f>IFERROR(__xludf.DUMMYFUNCTION("""COMPUTED_VALUE"""),"0")</f>
        <v>0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5.75" customHeight="1">
      <c r="A212" s="1"/>
      <c r="B212" s="1" t="str">
        <f t="array" ref="B212">XLOOKUP(C212,Tabela_1[NOME ESCOLA PONTO ID],Tabela_1[REGIONAL],"NE",0)</f>
        <v>REGIONAL 4</v>
      </c>
      <c r="C212" s="3" t="str">
        <f>IFERROR(__xludf.DUMMYFUNCTION("""COMPUTED_VALUE"""),"CENTRO MUNICIPAL DE EDUCAÇÃO INFANTIL MARCOS FREIRE")</f>
        <v>CENTRO MUNICIPAL DE EDUCAÇÃO INFANTIL MARCOS FREIRE</v>
      </c>
      <c r="D212" s="1" t="str">
        <f>IFERROR(__xludf.DUMMYFUNCTION("""COMPUTED_VALUE"""),"26156288")</f>
        <v>26156288</v>
      </c>
      <c r="E212" s="1" t="str">
        <f>IFERROR(__xludf.DUMMYFUNCTION("""COMPUTED_VALUE"""),"INFANTIL 2")</f>
        <v>INFANTIL 2</v>
      </c>
      <c r="F212" s="1" t="str">
        <f>IFERROR(__xludf.DUMMYFUNCTION("""COMPUTED_VALUE"""),"Integral")</f>
        <v>Integral</v>
      </c>
      <c r="G212" s="1" t="str">
        <f>IFERROR(__xludf.DUMMYFUNCTION("""COMPUTED_VALUE"""),"Comum")</f>
        <v>Comum</v>
      </c>
      <c r="H212" s="1" t="str">
        <f>IFERROR(__xludf.DUMMYFUNCTION("""COMPUTED_VALUE"""),"2")</f>
        <v>2</v>
      </c>
      <c r="I212" s="4" t="str">
        <f>IFERROR(__xludf.DUMMYFUNCTION("""COMPUTED_VALUE"""),"26032326701")</f>
        <v>26032326701</v>
      </c>
      <c r="J212" s="1" t="str">
        <f>IFERROR(__xludf.DUMMYFUNCTION("""COMPUTED_VALUE"""),"04/03/2026 14:46:15")</f>
        <v>04/03/2026 14:46:15</v>
      </c>
      <c r="K212" s="1" t="str">
        <f>IFERROR(__xludf.DUMMYFUNCTION("""COMPUTED_VALUE"""),"JOÃO MIGUEL DE LIMA CAVALCANTI")</f>
        <v>JOÃO MIGUEL DE LIMA CAVALCANTI</v>
      </c>
      <c r="L212" s="5" t="str">
        <f>IFERROR(__xludf.DUMMYFUNCTION("""COMPUTED_VALUE"""),"234.344.727-62")</f>
        <v>234.344.727-62</v>
      </c>
      <c r="M212" s="5" t="str">
        <f>IFERROR(__xludf.DUMMYFUNCTION("""COMPUTED_VALUE"""),"22/07/2023")</f>
        <v>22/07/2023</v>
      </c>
      <c r="N212" s="1"/>
      <c r="O212" s="1" t="str">
        <f>IFERROR(__xludf.DUMMYFUNCTION("""COMPUTED_VALUE"""),"0")</f>
        <v>0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5.75" customHeight="1">
      <c r="A213" s="1"/>
      <c r="B213" s="1" t="str">
        <f t="array" ref="B213">XLOOKUP(C213,Tabela_1[NOME ESCOLA PONTO ID],Tabela_1[REGIONAL],"NE",0)</f>
        <v>REGIONAL 4</v>
      </c>
      <c r="C213" s="3" t="str">
        <f>IFERROR(__xludf.DUMMYFUNCTION("""COMPUTED_VALUE"""),"CENTRO MUNICIPAL DE EDUCAÇÃO INFANTIL MARCOS FREIRE")</f>
        <v>CENTRO MUNICIPAL DE EDUCAÇÃO INFANTIL MARCOS FREIRE</v>
      </c>
      <c r="D213" s="1" t="str">
        <f>IFERROR(__xludf.DUMMYFUNCTION("""COMPUTED_VALUE"""),"26156288")</f>
        <v>26156288</v>
      </c>
      <c r="E213" s="1" t="str">
        <f>IFERROR(__xludf.DUMMYFUNCTION("""COMPUTED_VALUE"""),"INFANTIL 2")</f>
        <v>INFANTIL 2</v>
      </c>
      <c r="F213" s="1" t="str">
        <f>IFERROR(__xludf.DUMMYFUNCTION("""COMPUTED_VALUE"""),"Integral")</f>
        <v>Integral</v>
      </c>
      <c r="G213" s="1" t="str">
        <f>IFERROR(__xludf.DUMMYFUNCTION("""COMPUTED_VALUE"""),"Comum")</f>
        <v>Comum</v>
      </c>
      <c r="H213" s="1" t="str">
        <f>IFERROR(__xludf.DUMMYFUNCTION("""COMPUTED_VALUE"""),"3")</f>
        <v>3</v>
      </c>
      <c r="I213" s="4" t="str">
        <f>IFERROR(__xludf.DUMMYFUNCTION("""COMPUTED_VALUE"""),"26032157099")</f>
        <v>26032157099</v>
      </c>
      <c r="J213" s="1" t="str">
        <f>IFERROR(__xludf.DUMMYFUNCTION("""COMPUTED_VALUE"""),"20/03/2026 08:02:42")</f>
        <v>20/03/2026 08:02:42</v>
      </c>
      <c r="K213" s="1" t="str">
        <f>IFERROR(__xludf.DUMMYFUNCTION("""COMPUTED_VALUE"""),"DAVI PIETRO DA SILVA BARBOSA")</f>
        <v>DAVI PIETRO DA SILVA BARBOSA</v>
      </c>
      <c r="L213" s="5" t="str">
        <f>IFERROR(__xludf.DUMMYFUNCTION("""COMPUTED_VALUE"""),"001.594.054-32")</f>
        <v>001.594.054-32</v>
      </c>
      <c r="M213" s="5" t="str">
        <f>IFERROR(__xludf.DUMMYFUNCTION("""COMPUTED_VALUE"""),"17/01/2024")</f>
        <v>17/01/2024</v>
      </c>
      <c r="N213" s="1"/>
      <c r="O213" s="1" t="str">
        <f>IFERROR(__xludf.DUMMYFUNCTION("""COMPUTED_VALUE"""),"0")</f>
        <v>0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5.75" customHeight="1">
      <c r="A214" s="1"/>
      <c r="B214" s="1" t="str">
        <f t="array" ref="B214">XLOOKUP(C214,Tabela_1[NOME ESCOLA PONTO ID],Tabela_1[REGIONAL],"NE",0)</f>
        <v>REGIONAL 4</v>
      </c>
      <c r="C214" s="3" t="str">
        <f>IFERROR(__xludf.DUMMYFUNCTION("""COMPUTED_VALUE"""),"CENTRO MUNICIPAL DE EDUCAÇÃO INFANTIL MARCOS FREIRE")</f>
        <v>CENTRO MUNICIPAL DE EDUCAÇÃO INFANTIL MARCOS FREIRE</v>
      </c>
      <c r="D214" s="1" t="str">
        <f>IFERROR(__xludf.DUMMYFUNCTION("""COMPUTED_VALUE"""),"26156288")</f>
        <v>26156288</v>
      </c>
      <c r="E214" s="1" t="str">
        <f>IFERROR(__xludf.DUMMYFUNCTION("""COMPUTED_VALUE"""),"INFANTIL 2")</f>
        <v>INFANTIL 2</v>
      </c>
      <c r="F214" s="1" t="str">
        <f>IFERROR(__xludf.DUMMYFUNCTION("""COMPUTED_VALUE"""),"Integral")</f>
        <v>Integral</v>
      </c>
      <c r="G214" s="1" t="str">
        <f>IFERROR(__xludf.DUMMYFUNCTION("""COMPUTED_VALUE"""),"Comum")</f>
        <v>Comum</v>
      </c>
      <c r="H214" s="1" t="str">
        <f>IFERROR(__xludf.DUMMYFUNCTION("""COMPUTED_VALUE"""),"4")</f>
        <v>4</v>
      </c>
      <c r="I214" s="4" t="str">
        <f>IFERROR(__xludf.DUMMYFUNCTION("""COMPUTED_VALUE"""),"26032593218")</f>
        <v>26032593218</v>
      </c>
      <c r="J214" s="1" t="str">
        <f>IFERROR(__xludf.DUMMYFUNCTION("""COMPUTED_VALUE"""),"20/03/2026 23:02:44")</f>
        <v>20/03/2026 23:02:44</v>
      </c>
      <c r="K214" s="1" t="str">
        <f>IFERROR(__xludf.DUMMYFUNCTION("""COMPUTED_VALUE"""),"LEVI BRYAN DE OLIVEIRA REIS")</f>
        <v>LEVI BRYAN DE OLIVEIRA REIS</v>
      </c>
      <c r="L214" s="5" t="str">
        <f>IFERROR(__xludf.DUMMYFUNCTION("""COMPUTED_VALUE"""),"002.077.824-40")</f>
        <v>002.077.824-40</v>
      </c>
      <c r="M214" s="5" t="str">
        <f>IFERROR(__xludf.DUMMYFUNCTION("""COMPUTED_VALUE"""),"22/02/2024")</f>
        <v>22/02/2024</v>
      </c>
      <c r="N214" s="1"/>
      <c r="O214" s="1" t="str">
        <f>IFERROR(__xludf.DUMMYFUNCTION("""COMPUTED_VALUE"""),"0")</f>
        <v>0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5.75" customHeight="1">
      <c r="A215" s="1"/>
      <c r="B215" s="1" t="str">
        <f t="array" ref="B215">XLOOKUP(C215,Tabela_1[NOME ESCOLA PONTO ID],Tabela_1[REGIONAL],"NE",0)</f>
        <v>REGIONAL 4</v>
      </c>
      <c r="C215" s="3" t="str">
        <f>IFERROR(__xludf.DUMMYFUNCTION("""COMPUTED_VALUE"""),"CENTRO MUNICIPAL DE EDUCAÇÃO INFANTIL MARCOS FREIRE")</f>
        <v>CENTRO MUNICIPAL DE EDUCAÇÃO INFANTIL MARCOS FREIRE</v>
      </c>
      <c r="D215" s="1" t="str">
        <f>IFERROR(__xludf.DUMMYFUNCTION("""COMPUTED_VALUE"""),"26156288")</f>
        <v>26156288</v>
      </c>
      <c r="E215" s="1" t="str">
        <f>IFERROR(__xludf.DUMMYFUNCTION("""COMPUTED_VALUE"""),"INFANTIL 2")</f>
        <v>INFANTIL 2</v>
      </c>
      <c r="F215" s="1" t="str">
        <f>IFERROR(__xludf.DUMMYFUNCTION("""COMPUTED_VALUE"""),"Integral")</f>
        <v>Integral</v>
      </c>
      <c r="G215" s="1" t="str">
        <f>IFERROR(__xludf.DUMMYFUNCTION("""COMPUTED_VALUE"""),"Comum")</f>
        <v>Comum</v>
      </c>
      <c r="H215" s="1" t="str">
        <f>IFERROR(__xludf.DUMMYFUNCTION("""COMPUTED_VALUE"""),"5")</f>
        <v>5</v>
      </c>
      <c r="I215" s="4" t="str">
        <f>IFERROR(__xludf.DUMMYFUNCTION("""COMPUTED_VALUE"""),"26042036184")</f>
        <v>26042036184</v>
      </c>
      <c r="J215" s="1" t="str">
        <f>IFERROR(__xludf.DUMMYFUNCTION("""COMPUTED_VALUE"""),"08/04/2026 13:49:21")</f>
        <v>08/04/2026 13:49:21</v>
      </c>
      <c r="K215" s="1" t="str">
        <f>IFERROR(__xludf.DUMMYFUNCTION("""COMPUTED_VALUE"""),"JORGE MIGUEL DA SILVA NASCIMENTO")</f>
        <v>JORGE MIGUEL DA SILVA NASCIMENTO</v>
      </c>
      <c r="L215" s="5" t="str">
        <f>IFERROR(__xludf.DUMMYFUNCTION("""COMPUTED_VALUE"""),"186.203.064-21")</f>
        <v>186.203.064-21</v>
      </c>
      <c r="M215" s="5" t="str">
        <f>IFERROR(__xludf.DUMMYFUNCTION("""COMPUTED_VALUE"""),"23/07/2023")</f>
        <v>23/07/2023</v>
      </c>
      <c r="N215" s="1"/>
      <c r="O215" s="1" t="str">
        <f>IFERROR(__xludf.DUMMYFUNCTION("""COMPUTED_VALUE"""),"0")</f>
        <v>0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5.75" customHeight="1">
      <c r="A216" s="1"/>
      <c r="B216" s="1" t="str">
        <f t="array" ref="B216">XLOOKUP(C216,Tabela_1[NOME ESCOLA PONTO ID],Tabela_1[REGIONAL],"NE",0)</f>
        <v>REGIONAL 4</v>
      </c>
      <c r="C216" s="3" t="str">
        <f>IFERROR(__xludf.DUMMYFUNCTION("""COMPUTED_VALUE"""),"CENTRO MUNICIPAL DE EDUCAÇÃO INFANTIL MARCOS FREIRE")</f>
        <v>CENTRO MUNICIPAL DE EDUCAÇÃO INFANTIL MARCOS FREIRE</v>
      </c>
      <c r="D216" s="1" t="str">
        <f>IFERROR(__xludf.DUMMYFUNCTION("""COMPUTED_VALUE"""),"26156288")</f>
        <v>26156288</v>
      </c>
      <c r="E216" s="1" t="str">
        <f>IFERROR(__xludf.DUMMYFUNCTION("""COMPUTED_VALUE"""),"INFANTIL 3")</f>
        <v>INFANTIL 3</v>
      </c>
      <c r="F216" s="1" t="str">
        <f>IFERROR(__xludf.DUMMYFUNCTION("""COMPUTED_VALUE"""),"Integral")</f>
        <v>Integral</v>
      </c>
      <c r="G216" s="1" t="str">
        <f>IFERROR(__xludf.DUMMYFUNCTION("""COMPUTED_VALUE"""),"Comum")</f>
        <v>Comum</v>
      </c>
      <c r="H216" s="1" t="str">
        <f>IFERROR(__xludf.DUMMYFUNCTION("""COMPUTED_VALUE"""),"1")</f>
        <v>1</v>
      </c>
      <c r="I216" s="4" t="str">
        <f>IFERROR(__xludf.DUMMYFUNCTION("""COMPUTED_VALUE"""),"26032855253")</f>
        <v>26032855253</v>
      </c>
      <c r="J216" s="1" t="str">
        <f>IFERROR(__xludf.DUMMYFUNCTION("""COMPUTED_VALUE"""),"17/03/2026 12:24:13")</f>
        <v>17/03/2026 12:24:13</v>
      </c>
      <c r="K216" s="1" t="str">
        <f>IFERROR(__xludf.DUMMYFUNCTION("""COMPUTED_VALUE"""),"HELOISA VITÓRIA DA SILVA NASCIMENTO")</f>
        <v>HELOISA VITÓRIA DA SILVA NASCIMENTO</v>
      </c>
      <c r="L216" s="5" t="str">
        <f>IFERROR(__xludf.DUMMYFUNCTION("""COMPUTED_VALUE"""),"185.357.664-64")</f>
        <v>185.357.664-64</v>
      </c>
      <c r="M216" s="5" t="str">
        <f>IFERROR(__xludf.DUMMYFUNCTION("""COMPUTED_VALUE"""),"30/03/2023")</f>
        <v>30/03/2023</v>
      </c>
      <c r="N216" s="1"/>
      <c r="O216" s="1" t="str">
        <f>IFERROR(__xludf.DUMMYFUNCTION("""COMPUTED_VALUE"""),"0")</f>
        <v>0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5.75" customHeight="1">
      <c r="A217" s="1"/>
      <c r="B217" s="1" t="str">
        <f t="array" ref="B217">XLOOKUP(C217,Tabela_1[NOME ESCOLA PONTO ID],Tabela_1[REGIONAL],"NE",0)</f>
        <v>REGIONAL 4</v>
      </c>
      <c r="C217" s="3" t="str">
        <f>IFERROR(__xludf.DUMMYFUNCTION("""COMPUTED_VALUE"""),"CENTRO MUNICIPAL DE EDUCAÇÃO INFANTIL MARCOS FREIRE")</f>
        <v>CENTRO MUNICIPAL DE EDUCAÇÃO INFANTIL MARCOS FREIRE</v>
      </c>
      <c r="D217" s="1" t="str">
        <f>IFERROR(__xludf.DUMMYFUNCTION("""COMPUTED_VALUE"""),"26156288")</f>
        <v>26156288</v>
      </c>
      <c r="E217" s="1" t="str">
        <f>IFERROR(__xludf.DUMMYFUNCTION("""COMPUTED_VALUE"""),"INFANTIL 3")</f>
        <v>INFANTIL 3</v>
      </c>
      <c r="F217" s="1" t="str">
        <f>IFERROR(__xludf.DUMMYFUNCTION("""COMPUTED_VALUE"""),"Integral")</f>
        <v>Integral</v>
      </c>
      <c r="G217" s="1" t="str">
        <f>IFERROR(__xludf.DUMMYFUNCTION("""COMPUTED_VALUE"""),"Comum")</f>
        <v>Comum</v>
      </c>
      <c r="H217" s="1" t="str">
        <f>IFERROR(__xludf.DUMMYFUNCTION("""COMPUTED_VALUE"""),"2")</f>
        <v>2</v>
      </c>
      <c r="I217" s="4" t="str">
        <f>IFERROR(__xludf.DUMMYFUNCTION("""COMPUTED_VALUE"""),"26032786613")</f>
        <v>26032786613</v>
      </c>
      <c r="J217" s="1" t="str">
        <f>IFERROR(__xludf.DUMMYFUNCTION("""COMPUTED_VALUE"""),"19/03/2026 09:22:32")</f>
        <v>19/03/2026 09:22:32</v>
      </c>
      <c r="K217" s="1" t="str">
        <f>IFERROR(__xludf.DUMMYFUNCTION("""COMPUTED_VALUE"""),"THÉO LACERDA ALVES")</f>
        <v>THÉO LACERDA ALVES</v>
      </c>
      <c r="L217" s="5" t="str">
        <f>IFERROR(__xludf.DUMMYFUNCTION("""COMPUTED_VALUE"""),"605.546.128-52")</f>
        <v>605.546.128-52</v>
      </c>
      <c r="M217" s="5" t="str">
        <f>IFERROR(__xludf.DUMMYFUNCTION("""COMPUTED_VALUE"""),"28/09/2022")</f>
        <v>28/09/2022</v>
      </c>
      <c r="N217" s="1"/>
      <c r="O217" s="1" t="str">
        <f>IFERROR(__xludf.DUMMYFUNCTION("""COMPUTED_VALUE"""),"0")</f>
        <v>0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5.75" customHeight="1">
      <c r="A218" s="1"/>
      <c r="B218" s="1" t="str">
        <f t="array" ref="B218">XLOOKUP(C218,Tabela_1[NOME ESCOLA PONTO ID],Tabela_1[REGIONAL],"NE",0)</f>
        <v>REGIONAL 4</v>
      </c>
      <c r="C218" s="3" t="str">
        <f>IFERROR(__xludf.DUMMYFUNCTION("""COMPUTED_VALUE"""),"CENTRO MUNICIPAL DE EDUCAÇÃO INFANTIL MARCOS FREIRE")</f>
        <v>CENTRO MUNICIPAL DE EDUCAÇÃO INFANTIL MARCOS FREIRE</v>
      </c>
      <c r="D218" s="1" t="str">
        <f>IFERROR(__xludf.DUMMYFUNCTION("""COMPUTED_VALUE"""),"26156288")</f>
        <v>26156288</v>
      </c>
      <c r="E218" s="1" t="str">
        <f>IFERROR(__xludf.DUMMYFUNCTION("""COMPUTED_VALUE"""),"INFANTIL 3")</f>
        <v>INFANTIL 3</v>
      </c>
      <c r="F218" s="1" t="str">
        <f>IFERROR(__xludf.DUMMYFUNCTION("""COMPUTED_VALUE"""),"Integral")</f>
        <v>Integral</v>
      </c>
      <c r="G218" s="1" t="str">
        <f>IFERROR(__xludf.DUMMYFUNCTION("""COMPUTED_VALUE"""),"Comum")</f>
        <v>Comum</v>
      </c>
      <c r="H218" s="1" t="str">
        <f>IFERROR(__xludf.DUMMYFUNCTION("""COMPUTED_VALUE"""),"3")</f>
        <v>3</v>
      </c>
      <c r="I218" s="4" t="str">
        <f>IFERROR(__xludf.DUMMYFUNCTION("""COMPUTED_VALUE"""),"26042136154")</f>
        <v>26042136154</v>
      </c>
      <c r="J218" s="1" t="str">
        <f>IFERROR(__xludf.DUMMYFUNCTION("""COMPUTED_VALUE"""),"06/04/2026 11:03:43")</f>
        <v>06/04/2026 11:03:43</v>
      </c>
      <c r="K218" s="1" t="str">
        <f>IFERROR(__xludf.DUMMYFUNCTION("""COMPUTED_VALUE"""),"SOPHIA CATARINA BARBOSA DOS SANTOS")</f>
        <v>SOPHIA CATARINA BARBOSA DOS SANTOS</v>
      </c>
      <c r="L218" s="5" t="str">
        <f>IFERROR(__xludf.DUMMYFUNCTION("""COMPUTED_VALUE"""),"181.986.654-80")</f>
        <v>181.986.654-80</v>
      </c>
      <c r="M218" s="5" t="str">
        <f>IFERROR(__xludf.DUMMYFUNCTION("""COMPUTED_VALUE"""),"13/06/2022")</f>
        <v>13/06/2022</v>
      </c>
      <c r="N218" s="1"/>
      <c r="O218" s="1" t="str">
        <f>IFERROR(__xludf.DUMMYFUNCTION("""COMPUTED_VALUE"""),"0")</f>
        <v>0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5.75" customHeight="1">
      <c r="A219" s="1"/>
      <c r="B219" s="1" t="str">
        <f t="array" ref="B219">XLOOKUP(C219,Tabela_1[NOME ESCOLA PONTO ID],Tabela_1[REGIONAL],"NE",0)</f>
        <v>REGIONAL 4</v>
      </c>
      <c r="C219" s="3" t="str">
        <f>IFERROR(__xludf.DUMMYFUNCTION("""COMPUTED_VALUE"""),"CENTRO MUNICIPAL DE EDUCAÇÃO INFANTIL MARCOS FREIRE")</f>
        <v>CENTRO MUNICIPAL DE EDUCAÇÃO INFANTIL MARCOS FREIRE</v>
      </c>
      <c r="D219" s="1" t="str">
        <f>IFERROR(__xludf.DUMMYFUNCTION("""COMPUTED_VALUE"""),"26156288")</f>
        <v>26156288</v>
      </c>
      <c r="E219" s="1" t="str">
        <f>IFERROR(__xludf.DUMMYFUNCTION("""COMPUTED_VALUE"""),"INFANTIL 4")</f>
        <v>INFANTIL 4</v>
      </c>
      <c r="F219" s="1" t="str">
        <f>IFERROR(__xludf.DUMMYFUNCTION("""COMPUTED_VALUE"""),"Matutino/Manhã")</f>
        <v>Matutino/Manhã</v>
      </c>
      <c r="G219" s="1" t="str">
        <f>IFERROR(__xludf.DUMMYFUNCTION("""COMPUTED_VALUE"""),"Comum")</f>
        <v>Comum</v>
      </c>
      <c r="H219" s="1" t="str">
        <f>IFERROR(__xludf.DUMMYFUNCTION("""COMPUTED_VALUE"""),"1")</f>
        <v>1</v>
      </c>
      <c r="I219" s="4" t="str">
        <f>IFERROR(__xludf.DUMMYFUNCTION("""COMPUTED_VALUE"""),"26032052532")</f>
        <v>26032052532</v>
      </c>
      <c r="J219" s="1" t="str">
        <f>IFERROR(__xludf.DUMMYFUNCTION("""COMPUTED_VALUE"""),"25/03/2026 11:36:43")</f>
        <v>25/03/2026 11:36:43</v>
      </c>
      <c r="K219" s="1" t="str">
        <f>IFERROR(__xludf.DUMMYFUNCTION("""COMPUTED_VALUE"""),"DANIEL FERREIRA DE MOURA")</f>
        <v>DANIEL FERREIRA DE MOURA</v>
      </c>
      <c r="L219" s="5" t="str">
        <f>IFERROR(__xludf.DUMMYFUNCTION("""COMPUTED_VALUE"""),"181.283.674-04")</f>
        <v>181.283.674-04</v>
      </c>
      <c r="M219" s="5" t="str">
        <f>IFERROR(__xludf.DUMMYFUNCTION("""COMPUTED_VALUE"""),"25/03/2022")</f>
        <v>25/03/2022</v>
      </c>
      <c r="N219" s="1"/>
      <c r="O219" s="1" t="str">
        <f>IFERROR(__xludf.DUMMYFUNCTION("""COMPUTED_VALUE"""),"0")</f>
        <v>0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5.75" customHeight="1">
      <c r="A220" s="1"/>
      <c r="B220" s="1" t="str">
        <f t="array" ref="B220">XLOOKUP(C220,Tabela_1[NOME ESCOLA PONTO ID],Tabela_1[REGIONAL],"NE",0)</f>
        <v>REGIONAL 4</v>
      </c>
      <c r="C220" s="3" t="str">
        <f>IFERROR(__xludf.DUMMYFUNCTION("""COMPUTED_VALUE"""),"CENTRO MUNICIPAL DE EDUCAÇÃO INFANTIL MARCOS FREIRE")</f>
        <v>CENTRO MUNICIPAL DE EDUCAÇÃO INFANTIL MARCOS FREIRE</v>
      </c>
      <c r="D220" s="1" t="str">
        <f>IFERROR(__xludf.DUMMYFUNCTION("""COMPUTED_VALUE"""),"26156288")</f>
        <v>26156288</v>
      </c>
      <c r="E220" s="1" t="str">
        <f>IFERROR(__xludf.DUMMYFUNCTION("""COMPUTED_VALUE"""),"INFANTIL 4")</f>
        <v>INFANTIL 4</v>
      </c>
      <c r="F220" s="1" t="str">
        <f>IFERROR(__xludf.DUMMYFUNCTION("""COMPUTED_VALUE"""),"Matutino/Manhã")</f>
        <v>Matutino/Manhã</v>
      </c>
      <c r="G220" s="1" t="str">
        <f>IFERROR(__xludf.DUMMYFUNCTION("""COMPUTED_VALUE"""),"Comum")</f>
        <v>Comum</v>
      </c>
      <c r="H220" s="1" t="str">
        <f>IFERROR(__xludf.DUMMYFUNCTION("""COMPUTED_VALUE"""),"2")</f>
        <v>2</v>
      </c>
      <c r="I220" s="4" t="str">
        <f>IFERROR(__xludf.DUMMYFUNCTION("""COMPUTED_VALUE"""),"26052184589")</f>
        <v>26052184589</v>
      </c>
      <c r="J220" s="1" t="str">
        <f>IFERROR(__xludf.DUMMYFUNCTION("""COMPUTED_VALUE"""),"26/05/2026 15:44:48")</f>
        <v>26/05/2026 15:44:48</v>
      </c>
      <c r="K220" s="1" t="str">
        <f>IFERROR(__xludf.DUMMYFUNCTION("""COMPUTED_VALUE"""),"BRYAN LEVI FEITOSA ROCHA")</f>
        <v>BRYAN LEVI FEITOSA ROCHA</v>
      </c>
      <c r="L220" s="5" t="str">
        <f>IFERROR(__xludf.DUMMYFUNCTION("""COMPUTED_VALUE"""),"181.828.334-42")</f>
        <v>181.828.334-42</v>
      </c>
      <c r="M220" s="5" t="str">
        <f>IFERROR(__xludf.DUMMYFUNCTION("""COMPUTED_VALUE"""),"30/03/2022")</f>
        <v>30/03/2022</v>
      </c>
      <c r="N220" s="1"/>
      <c r="O220" s="1" t="str">
        <f>IFERROR(__xludf.DUMMYFUNCTION("""COMPUTED_VALUE"""),"0")</f>
        <v>0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5.75" customHeight="1">
      <c r="A221" s="1"/>
      <c r="B221" s="1" t="str">
        <f t="array" ref="B221">XLOOKUP(C221,Tabela_1[NOME ESCOLA PONTO ID],Tabela_1[REGIONAL],"NE",0)</f>
        <v>REGIONAL 4</v>
      </c>
      <c r="C221" s="3" t="str">
        <f>IFERROR(__xludf.DUMMYFUNCTION("""COMPUTED_VALUE"""),"CENTRO MUNICIPAL DE EDUCAÇÃO INFANTIL MARCOS FREIRE")</f>
        <v>CENTRO MUNICIPAL DE EDUCAÇÃO INFANTIL MARCOS FREIRE</v>
      </c>
      <c r="D221" s="1" t="str">
        <f>IFERROR(__xludf.DUMMYFUNCTION("""COMPUTED_VALUE"""),"26156288")</f>
        <v>26156288</v>
      </c>
      <c r="E221" s="1" t="str">
        <f>IFERROR(__xludf.DUMMYFUNCTION("""COMPUTED_VALUE"""),"INFANTIL 4")</f>
        <v>INFANTIL 4</v>
      </c>
      <c r="F221" s="1" t="str">
        <f>IFERROR(__xludf.DUMMYFUNCTION("""COMPUTED_VALUE"""),"Matutino/Manhã")</f>
        <v>Matutino/Manhã</v>
      </c>
      <c r="G221" s="1" t="str">
        <f>IFERROR(__xludf.DUMMYFUNCTION("""COMPUTED_VALUE"""),"Comum")</f>
        <v>Comum</v>
      </c>
      <c r="H221" s="1" t="str">
        <f>IFERROR(__xludf.DUMMYFUNCTION("""COMPUTED_VALUE"""),"3")</f>
        <v>3</v>
      </c>
      <c r="I221" s="4" t="str">
        <f>IFERROR(__xludf.DUMMYFUNCTION("""COMPUTED_VALUE"""),"26062771704")</f>
        <v>26062771704</v>
      </c>
      <c r="J221" s="1" t="str">
        <f>IFERROR(__xludf.DUMMYFUNCTION("""COMPUTED_VALUE"""),"12/06/2026 11:07:22")</f>
        <v>12/06/2026 11:07:22</v>
      </c>
      <c r="K221" s="1" t="str">
        <f>IFERROR(__xludf.DUMMYFUNCTION("""COMPUTED_VALUE"""),"SHEFORA RAABE DOS SANTOS NASCIMENTO")</f>
        <v>SHEFORA RAABE DOS SANTOS NASCIMENTO</v>
      </c>
      <c r="L221" s="5" t="str">
        <f>IFERROR(__xludf.DUMMYFUNCTION("""COMPUTED_VALUE"""),"177.992.424-00")</f>
        <v>177.992.424-00</v>
      </c>
      <c r="M221" s="5" t="str">
        <f>IFERROR(__xludf.DUMMYFUNCTION("""COMPUTED_VALUE"""),"19/08/2021")</f>
        <v>19/08/2021</v>
      </c>
      <c r="N221" s="1"/>
      <c r="O221" s="1" t="str">
        <f>IFERROR(__xludf.DUMMYFUNCTION("""COMPUTED_VALUE"""),"0")</f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5.75" customHeight="1">
      <c r="A222" s="1"/>
      <c r="B222" s="1" t="str">
        <f t="array" ref="B222">XLOOKUP(C222,Tabela_1[NOME ESCOLA PONTO ID],Tabela_1[REGIONAL],"NE",0)</f>
        <v>REGIONAL 4</v>
      </c>
      <c r="C222" s="3" t="str">
        <f>IFERROR(__xludf.DUMMYFUNCTION("""COMPUTED_VALUE"""),"CENTRO MUNICIPAL DE EDUCAÇÃO INFANTIL MARCOS FREIRE")</f>
        <v>CENTRO MUNICIPAL DE EDUCAÇÃO INFANTIL MARCOS FREIRE</v>
      </c>
      <c r="D222" s="1" t="str">
        <f>IFERROR(__xludf.DUMMYFUNCTION("""COMPUTED_VALUE"""),"26156288")</f>
        <v>26156288</v>
      </c>
      <c r="E222" s="1" t="str">
        <f>IFERROR(__xludf.DUMMYFUNCTION("""COMPUTED_VALUE"""),"INFANTIL 4")</f>
        <v>INFANTIL 4</v>
      </c>
      <c r="F222" s="1" t="str">
        <f>IFERROR(__xludf.DUMMYFUNCTION("""COMPUTED_VALUE"""),"Vespertino/Tarde")</f>
        <v>Vespertino/Tarde</v>
      </c>
      <c r="G222" s="1" t="str">
        <f>IFERROR(__xludf.DUMMYFUNCTION("""COMPUTED_VALUE"""),"Comum")</f>
        <v>Comum</v>
      </c>
      <c r="H222" s="1" t="str">
        <f>IFERROR(__xludf.DUMMYFUNCTION("""COMPUTED_VALUE"""),"1")</f>
        <v>1</v>
      </c>
      <c r="I222" s="4" t="str">
        <f>IFERROR(__xludf.DUMMYFUNCTION("""COMPUTED_VALUE"""),"26042564916")</f>
        <v>26042564916</v>
      </c>
      <c r="J222" s="1" t="str">
        <f>IFERROR(__xludf.DUMMYFUNCTION("""COMPUTED_VALUE"""),"22/04/2026 14:55:06")</f>
        <v>22/04/2026 14:55:06</v>
      </c>
      <c r="K222" s="1" t="str">
        <f>IFERROR(__xludf.DUMMYFUNCTION("""COMPUTED_VALUE"""),"MARIA ELOAH DA PAIXÃO SILVA")</f>
        <v>MARIA ELOAH DA PAIXÃO SILVA</v>
      </c>
      <c r="L222" s="5" t="str">
        <f>IFERROR(__xludf.DUMMYFUNCTION("""COMPUTED_VALUE"""),"180.884.274-01")</f>
        <v>180.884.274-01</v>
      </c>
      <c r="M222" s="5" t="str">
        <f>IFERROR(__xludf.DUMMYFUNCTION("""COMPUTED_VALUE"""),"28/12/2021")</f>
        <v>28/12/2021</v>
      </c>
      <c r="N222" s="1"/>
      <c r="O222" s="1" t="str">
        <f>IFERROR(__xludf.DUMMYFUNCTION("""COMPUTED_VALUE"""),"0")</f>
        <v>0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5.75" customHeight="1">
      <c r="A223" s="1"/>
      <c r="B223" s="1" t="str">
        <f t="array" ref="B223">XLOOKUP(C223,Tabela_1[NOME ESCOLA PONTO ID],Tabela_1[REGIONAL],"NE",0)</f>
        <v>REGIONAL 4</v>
      </c>
      <c r="C223" s="3" t="str">
        <f>IFERROR(__xludf.DUMMYFUNCTION("""COMPUTED_VALUE"""),"CENTRO MUNICIPAL DE EDUCAÇÃO INFANTIL MARCOS FREIRE")</f>
        <v>CENTRO MUNICIPAL DE EDUCAÇÃO INFANTIL MARCOS FREIRE</v>
      </c>
      <c r="D223" s="1" t="str">
        <f>IFERROR(__xludf.DUMMYFUNCTION("""COMPUTED_VALUE"""),"26156288")</f>
        <v>26156288</v>
      </c>
      <c r="E223" s="1" t="str">
        <f>IFERROR(__xludf.DUMMYFUNCTION("""COMPUTED_VALUE"""),"INFANTIL 4")</f>
        <v>INFANTIL 4</v>
      </c>
      <c r="F223" s="1" t="str">
        <f>IFERROR(__xludf.DUMMYFUNCTION("""COMPUTED_VALUE"""),"Vespertino/Tarde")</f>
        <v>Vespertino/Tarde</v>
      </c>
      <c r="G223" s="1" t="str">
        <f>IFERROR(__xludf.DUMMYFUNCTION("""COMPUTED_VALUE"""),"Comum")</f>
        <v>Comum</v>
      </c>
      <c r="H223" s="1" t="str">
        <f>IFERROR(__xludf.DUMMYFUNCTION("""COMPUTED_VALUE"""),"2")</f>
        <v>2</v>
      </c>
      <c r="I223" s="4" t="str">
        <f>IFERROR(__xludf.DUMMYFUNCTION("""COMPUTED_VALUE"""),"26042889902")</f>
        <v>26042889902</v>
      </c>
      <c r="J223" s="1" t="str">
        <f>IFERROR(__xludf.DUMMYFUNCTION("""COMPUTED_VALUE"""),"30/04/2026 10:58:54")</f>
        <v>30/04/2026 10:58:54</v>
      </c>
      <c r="K223" s="1" t="str">
        <f>IFERROR(__xludf.DUMMYFUNCTION("""COMPUTED_VALUE"""),"ELLENA VITÓRIA ARAÚJO DOS SANTOS")</f>
        <v>ELLENA VITÓRIA ARAÚJO DOS SANTOS</v>
      </c>
      <c r="L223" s="5" t="str">
        <f>IFERROR(__xludf.DUMMYFUNCTION("""COMPUTED_VALUE"""),"180.500.794-73")</f>
        <v>180.500.794-73</v>
      </c>
      <c r="M223" s="5" t="str">
        <f>IFERROR(__xludf.DUMMYFUNCTION("""COMPUTED_VALUE"""),"18/01/2022")</f>
        <v>18/01/2022</v>
      </c>
      <c r="N223" s="1"/>
      <c r="O223" s="1" t="str">
        <f>IFERROR(__xludf.DUMMYFUNCTION("""COMPUTED_VALUE"""),"0")</f>
        <v>0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5.75" customHeight="1">
      <c r="A224" s="1"/>
      <c r="B224" s="1" t="str">
        <f t="array" ref="B224">XLOOKUP(C224,Tabela_1[NOME ESCOLA PONTO ID],Tabela_1[REGIONAL],"NE",0)</f>
        <v>REGIONAL 4</v>
      </c>
      <c r="C224" s="3" t="str">
        <f>IFERROR(__xludf.DUMMYFUNCTION("""COMPUTED_VALUE"""),"CENTRO MUNICIPAL DE EDUCAÇÃO INFANTIL MARCOS FREIRE")</f>
        <v>CENTRO MUNICIPAL DE EDUCAÇÃO INFANTIL MARCOS FREIRE</v>
      </c>
      <c r="D224" s="1" t="str">
        <f>IFERROR(__xludf.DUMMYFUNCTION("""COMPUTED_VALUE"""),"26156288")</f>
        <v>26156288</v>
      </c>
      <c r="E224" s="1" t="str">
        <f>IFERROR(__xludf.DUMMYFUNCTION("""COMPUTED_VALUE"""),"INFANTIL 4")</f>
        <v>INFANTIL 4</v>
      </c>
      <c r="F224" s="1" t="str">
        <f>IFERROR(__xludf.DUMMYFUNCTION("""COMPUTED_VALUE"""),"Vespertino/Tarde")</f>
        <v>Vespertino/Tarde</v>
      </c>
      <c r="G224" s="1" t="str">
        <f>IFERROR(__xludf.DUMMYFUNCTION("""COMPUTED_VALUE"""),"Comum")</f>
        <v>Comum</v>
      </c>
      <c r="H224" s="1" t="str">
        <f>IFERROR(__xludf.DUMMYFUNCTION("""COMPUTED_VALUE"""),"3")</f>
        <v>3</v>
      </c>
      <c r="I224" s="4" t="str">
        <f>IFERROR(__xludf.DUMMYFUNCTION("""COMPUTED_VALUE"""),"26052026820")</f>
        <v>26052026820</v>
      </c>
      <c r="J224" s="1" t="str">
        <f>IFERROR(__xludf.DUMMYFUNCTION("""COMPUTED_VALUE"""),"14/05/2026 11:23:24")</f>
        <v>14/05/2026 11:23:24</v>
      </c>
      <c r="K224" s="1" t="str">
        <f>IFERROR(__xludf.DUMMYFUNCTION("""COMPUTED_VALUE"""),"MATHIAS RIQUELME BARBOSA VIDAL SOARES DA SILVA")</f>
        <v>MATHIAS RIQUELME BARBOSA VIDAL SOARES DA SILVA</v>
      </c>
      <c r="L224" s="5" t="str">
        <f>IFERROR(__xludf.DUMMYFUNCTION("""COMPUTED_VALUE"""),"180.988.804-27")</f>
        <v>180.988.804-27</v>
      </c>
      <c r="M224" s="5" t="str">
        <f>IFERROR(__xludf.DUMMYFUNCTION("""COMPUTED_VALUE"""),"25/03/2022")</f>
        <v>25/03/2022</v>
      </c>
      <c r="N224" s="1"/>
      <c r="O224" s="1" t="str">
        <f>IFERROR(__xludf.DUMMYFUNCTION("""COMPUTED_VALUE"""),"0")</f>
        <v>0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5.75" customHeight="1">
      <c r="A225" s="1"/>
      <c r="B225" s="1" t="str">
        <f t="array" ref="B225">XLOOKUP(C225,Tabela_1[NOME ESCOLA PONTO ID],Tabela_1[REGIONAL],"NE",0)</f>
        <v>REGIONAL 4</v>
      </c>
      <c r="C225" s="3" t="str">
        <f>IFERROR(__xludf.DUMMYFUNCTION("""COMPUTED_VALUE"""),"CENTRO MUNICIPAL DE EDUCAÇÃO INFANTIL MARCOS FREIRE")</f>
        <v>CENTRO MUNICIPAL DE EDUCAÇÃO INFANTIL MARCOS FREIRE</v>
      </c>
      <c r="D225" s="1" t="str">
        <f>IFERROR(__xludf.DUMMYFUNCTION("""COMPUTED_VALUE"""),"26156288")</f>
        <v>26156288</v>
      </c>
      <c r="E225" s="1" t="str">
        <f>IFERROR(__xludf.DUMMYFUNCTION("""COMPUTED_VALUE"""),"INFANTIL 5")</f>
        <v>INFANTIL 5</v>
      </c>
      <c r="F225" s="1" t="str">
        <f>IFERROR(__xludf.DUMMYFUNCTION("""COMPUTED_VALUE"""),"Matutino/Manhã")</f>
        <v>Matutino/Manhã</v>
      </c>
      <c r="G225" s="1" t="str">
        <f>IFERROR(__xludf.DUMMYFUNCTION("""COMPUTED_VALUE"""),"Comum")</f>
        <v>Comum</v>
      </c>
      <c r="H225" s="1" t="str">
        <f>IFERROR(__xludf.DUMMYFUNCTION("""COMPUTED_VALUE"""),"1")</f>
        <v>1</v>
      </c>
      <c r="I225" s="4" t="str">
        <f>IFERROR(__xludf.DUMMYFUNCTION("""COMPUTED_VALUE"""),"26062673674")</f>
        <v>26062673674</v>
      </c>
      <c r="J225" s="1" t="str">
        <f>IFERROR(__xludf.DUMMYFUNCTION("""COMPUTED_VALUE"""),"17/06/2026 07:49:41")</f>
        <v>17/06/2026 07:49:41</v>
      </c>
      <c r="K225" s="1" t="str">
        <f>IFERROR(__xludf.DUMMYFUNCTION("""COMPUTED_VALUE"""),"Heloise Gomes de araujo")</f>
        <v>Heloise Gomes de araujo</v>
      </c>
      <c r="L225" s="5" t="str">
        <f>IFERROR(__xludf.DUMMYFUNCTION("""COMPUTED_VALUE"""),"171.806.184-62")</f>
        <v>171.806.184-62</v>
      </c>
      <c r="M225" s="5" t="str">
        <f>IFERROR(__xludf.DUMMYFUNCTION("""COMPUTED_VALUE"""),"11/05/2020")</f>
        <v>11/05/2020</v>
      </c>
      <c r="N225" s="1"/>
      <c r="O225" s="1" t="str">
        <f>IFERROR(__xludf.DUMMYFUNCTION("""COMPUTED_VALUE"""),"0")</f>
        <v>0</v>
      </c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5.75" customHeight="1">
      <c r="A226" s="1"/>
      <c r="B226" s="1" t="str">
        <f t="array" ref="B226">XLOOKUP(C226,Tabela_1[NOME ESCOLA PONTO ID],Tabela_1[REGIONAL],"NE",0)</f>
        <v>REGIONAL 4</v>
      </c>
      <c r="C226" s="3" t="str">
        <f>IFERROR(__xludf.DUMMYFUNCTION("""COMPUTED_VALUE"""),"CENTRO MUNICIPAL DE EDUCAÇÃO INFANTIL MARCOS FREIRE")</f>
        <v>CENTRO MUNICIPAL DE EDUCAÇÃO INFANTIL MARCOS FREIRE</v>
      </c>
      <c r="D226" s="1" t="str">
        <f>IFERROR(__xludf.DUMMYFUNCTION("""COMPUTED_VALUE"""),"26156288")</f>
        <v>26156288</v>
      </c>
      <c r="E226" s="1" t="str">
        <f>IFERROR(__xludf.DUMMYFUNCTION("""COMPUTED_VALUE"""),"INFANTIL 5")</f>
        <v>INFANTIL 5</v>
      </c>
      <c r="F226" s="1" t="str">
        <f>IFERROR(__xludf.DUMMYFUNCTION("""COMPUTED_VALUE"""),"Vespertino/Tarde")</f>
        <v>Vespertino/Tarde</v>
      </c>
      <c r="G226" s="1" t="str">
        <f>IFERROR(__xludf.DUMMYFUNCTION("""COMPUTED_VALUE"""),"Comum")</f>
        <v>Comum</v>
      </c>
      <c r="H226" s="1" t="str">
        <f>IFERROR(__xludf.DUMMYFUNCTION("""COMPUTED_VALUE"""),"1")</f>
        <v>1</v>
      </c>
      <c r="I226" s="4" t="str">
        <f>IFERROR(__xludf.DUMMYFUNCTION("""COMPUTED_VALUE"""),"26032121073")</f>
        <v>26032121073</v>
      </c>
      <c r="J226" s="1" t="str">
        <f>IFERROR(__xludf.DUMMYFUNCTION("""COMPUTED_VALUE"""),"23/03/2026 08:54:29")</f>
        <v>23/03/2026 08:54:29</v>
      </c>
      <c r="K226" s="1" t="str">
        <f>IFERROR(__xludf.DUMMYFUNCTION("""COMPUTED_VALUE"""),"BRAYAN GABRIEL DA SILVA FALCÃO")</f>
        <v>BRAYAN GABRIEL DA SILVA FALCÃO</v>
      </c>
      <c r="L226" s="5" t="str">
        <f>IFERROR(__xludf.DUMMYFUNCTION("""COMPUTED_VALUE"""),"179.040.614-57")</f>
        <v>179.040.614-57</v>
      </c>
      <c r="M226" s="5" t="str">
        <f>IFERROR(__xludf.DUMMYFUNCTION("""COMPUTED_VALUE"""),"17/10/2020")</f>
        <v>17/10/2020</v>
      </c>
      <c r="N226" s="1"/>
      <c r="O226" s="1" t="str">
        <f>IFERROR(__xludf.DUMMYFUNCTION("""COMPUTED_VALUE"""),"0")</f>
        <v>0</v>
      </c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5.75" customHeight="1">
      <c r="A227" s="1"/>
      <c r="B227" s="1" t="str">
        <f t="array" ref="B227">XLOOKUP(C227,Tabela_1[NOME ESCOLA PONTO ID],Tabela_1[REGIONAL],"NE",0)</f>
        <v>REGIONAL 4</v>
      </c>
      <c r="C227" s="3" t="str">
        <f>IFERROR(__xludf.DUMMYFUNCTION("""COMPUTED_VALUE"""),"CENTRO MUNICIPAL DE EDUCAÇÃO INFANTIL MARCOS FREIRE")</f>
        <v>CENTRO MUNICIPAL DE EDUCAÇÃO INFANTIL MARCOS FREIRE</v>
      </c>
      <c r="D227" s="1" t="str">
        <f>IFERROR(__xludf.DUMMYFUNCTION("""COMPUTED_VALUE"""),"26156288")</f>
        <v>26156288</v>
      </c>
      <c r="E227" s="1" t="str">
        <f>IFERROR(__xludf.DUMMYFUNCTION("""COMPUTED_VALUE"""),"INFANTIL 5")</f>
        <v>INFANTIL 5</v>
      </c>
      <c r="F227" s="1" t="str">
        <f>IFERROR(__xludf.DUMMYFUNCTION("""COMPUTED_VALUE"""),"Vespertino/Tarde")</f>
        <v>Vespertino/Tarde</v>
      </c>
      <c r="G227" s="1" t="str">
        <f>IFERROR(__xludf.DUMMYFUNCTION("""COMPUTED_VALUE"""),"Comum")</f>
        <v>Comum</v>
      </c>
      <c r="H227" s="1" t="str">
        <f>IFERROR(__xludf.DUMMYFUNCTION("""COMPUTED_VALUE"""),"2")</f>
        <v>2</v>
      </c>
      <c r="I227" s="4" t="str">
        <f>IFERROR(__xludf.DUMMYFUNCTION("""COMPUTED_VALUE"""),"26052140691")</f>
        <v>26052140691</v>
      </c>
      <c r="J227" s="1" t="str">
        <f>IFERROR(__xludf.DUMMYFUNCTION("""COMPUTED_VALUE"""),"18/05/2026 10:51:50")</f>
        <v>18/05/2026 10:51:50</v>
      </c>
      <c r="K227" s="1" t="str">
        <f>IFERROR(__xludf.DUMMYFUNCTION("""COMPUTED_VALUE"""),"ALLYSON MIGUEL DA SILVA RAMOS")</f>
        <v>ALLYSON MIGUEL DA SILVA RAMOS</v>
      </c>
      <c r="L227" s="7" t="str">
        <f>IFERROR(__xludf.DUMMYFUNCTION("""COMPUTED_VALUE"""),"175.737.404-33")</f>
        <v>175.737.404-33</v>
      </c>
      <c r="M227" s="5" t="str">
        <f>IFERROR(__xludf.DUMMYFUNCTION("""COMPUTED_VALUE"""),"25/12/2020")</f>
        <v>25/12/2020</v>
      </c>
      <c r="N227" s="1"/>
      <c r="O227" s="1" t="str">
        <f>IFERROR(__xludf.DUMMYFUNCTION("""COMPUTED_VALUE"""),"0")</f>
        <v>0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5.75" customHeight="1">
      <c r="A228" s="1"/>
      <c r="B228" s="1" t="str">
        <f t="array" ref="B228">XLOOKUP(C228,Tabela_1[NOME ESCOLA PONTO ID],Tabela_1[REGIONAL],"NE",0)</f>
        <v>REGIONAL 4</v>
      </c>
      <c r="C228" s="3" t="str">
        <f>IFERROR(__xludf.DUMMYFUNCTION("""COMPUTED_VALUE"""),"CENTRO MUNICIPAL DE EDUCAÇÃO INFANTIL MARCOS FREIRE")</f>
        <v>CENTRO MUNICIPAL DE EDUCAÇÃO INFANTIL MARCOS FREIRE</v>
      </c>
      <c r="D228" s="1" t="str">
        <f>IFERROR(__xludf.DUMMYFUNCTION("""COMPUTED_VALUE"""),"26156288")</f>
        <v>26156288</v>
      </c>
      <c r="E228" s="1" t="str">
        <f>IFERROR(__xludf.DUMMYFUNCTION("""COMPUTED_VALUE"""),"INFANTIL 5")</f>
        <v>INFANTIL 5</v>
      </c>
      <c r="F228" s="1" t="str">
        <f>IFERROR(__xludf.DUMMYFUNCTION("""COMPUTED_VALUE"""),"Vespertino/Tarde")</f>
        <v>Vespertino/Tarde</v>
      </c>
      <c r="G228" s="1" t="str">
        <f>IFERROR(__xludf.DUMMYFUNCTION("""COMPUTED_VALUE"""),"Comum")</f>
        <v>Comum</v>
      </c>
      <c r="H228" s="1" t="str">
        <f>IFERROR(__xludf.DUMMYFUNCTION("""COMPUTED_VALUE"""),"3")</f>
        <v>3</v>
      </c>
      <c r="I228" s="4" t="str">
        <f>IFERROR(__xludf.DUMMYFUNCTION("""COMPUTED_VALUE"""),"26052880133")</f>
        <v>26052880133</v>
      </c>
      <c r="J228" s="1" t="str">
        <f>IFERROR(__xludf.DUMMYFUNCTION("""COMPUTED_VALUE"""),"26/05/2026 15:36:10")</f>
        <v>26/05/2026 15:36:10</v>
      </c>
      <c r="K228" s="1" t="str">
        <f>IFERROR(__xludf.DUMMYFUNCTION("""COMPUTED_VALUE"""),"thalyson fernando feitosa da rocha")</f>
        <v>thalyson fernando feitosa da rocha</v>
      </c>
      <c r="L228" s="7" t="str">
        <f>IFERROR(__xludf.DUMMYFUNCTION("""COMPUTED_VALUE"""),"174.580.004-22")</f>
        <v>174.580.004-22</v>
      </c>
      <c r="M228" s="5" t="str">
        <f>IFERROR(__xludf.DUMMYFUNCTION("""COMPUTED_VALUE"""),"01/12/2020")</f>
        <v>01/12/2020</v>
      </c>
      <c r="N228" s="1"/>
      <c r="O228" s="1" t="str">
        <f>IFERROR(__xludf.DUMMYFUNCTION("""COMPUTED_VALUE"""),"0")</f>
        <v>0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5.75" customHeight="1">
      <c r="A229" s="1"/>
      <c r="B229" s="1" t="str">
        <f t="array" ref="B229">XLOOKUP(C229,Tabela_1[NOME ESCOLA PONTO ID],Tabela_1[REGIONAL],"NE",0)</f>
        <v>REGIONAL 4</v>
      </c>
      <c r="C229" s="3" t="str">
        <f>IFERROR(__xludf.DUMMYFUNCTION("""COMPUTED_VALUE"""),"CENTRO MUNICIPAL DE EDUCAÇÃO INFANTIL MARCOS FREIRE")</f>
        <v>CENTRO MUNICIPAL DE EDUCAÇÃO INFANTIL MARCOS FREIRE</v>
      </c>
      <c r="D229" s="1" t="str">
        <f>IFERROR(__xludf.DUMMYFUNCTION("""COMPUTED_VALUE"""),"26156288")</f>
        <v>26156288</v>
      </c>
      <c r="E229" s="1" t="str">
        <f>IFERROR(__xludf.DUMMYFUNCTION("""COMPUTED_VALUE"""),"INFANTIL 5")</f>
        <v>INFANTIL 5</v>
      </c>
      <c r="F229" s="1" t="str">
        <f>IFERROR(__xludf.DUMMYFUNCTION("""COMPUTED_VALUE"""),"Vespertino/Tarde")</f>
        <v>Vespertino/Tarde</v>
      </c>
      <c r="G229" s="1" t="str">
        <f>IFERROR(__xludf.DUMMYFUNCTION("""COMPUTED_VALUE"""),"Comum")</f>
        <v>Comum</v>
      </c>
      <c r="H229" s="1" t="str">
        <f>IFERROR(__xludf.DUMMYFUNCTION("""COMPUTED_VALUE"""),"4")</f>
        <v>4</v>
      </c>
      <c r="I229" s="4" t="str">
        <f>IFERROR(__xludf.DUMMYFUNCTION("""COMPUTED_VALUE"""),"26062112546")</f>
        <v>26062112546</v>
      </c>
      <c r="J229" s="1" t="str">
        <f>IFERROR(__xludf.DUMMYFUNCTION("""COMPUTED_VALUE"""),"05/06/2026 13:22:34")</f>
        <v>05/06/2026 13:22:34</v>
      </c>
      <c r="K229" s="1" t="str">
        <f>IFERROR(__xludf.DUMMYFUNCTION("""COMPUTED_VALUE"""),"PEDRO HENRIQUE LIMA DA SILVA")</f>
        <v>PEDRO HENRIQUE LIMA DA SILVA</v>
      </c>
      <c r="L229" s="5" t="str">
        <f>IFERROR(__xludf.DUMMYFUNCTION("""COMPUTED_VALUE"""),"175.884.704-29")</f>
        <v>175.884.704-29</v>
      </c>
      <c r="M229" s="5" t="str">
        <f>IFERROR(__xludf.DUMMYFUNCTION("""COMPUTED_VALUE"""),"28/01/2021")</f>
        <v>28/01/2021</v>
      </c>
      <c r="N229" s="1"/>
      <c r="O229" s="1" t="str">
        <f>IFERROR(__xludf.DUMMYFUNCTION("""COMPUTED_VALUE"""),"0")</f>
        <v>0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5.75" customHeight="1">
      <c r="A230" s="1"/>
      <c r="B230" s="1" t="str">
        <f t="array" ref="B230">XLOOKUP(C230,Tabela_1[NOME ESCOLA PONTO ID],Tabela_1[REGIONAL],"NE",0)</f>
        <v>REGIONAL 6</v>
      </c>
      <c r="C230" s="3" t="str">
        <f>IFERROR(__xludf.DUMMYFUNCTION("""COMPUTED_VALUE"""),"CENTRO MUNICIPAL PROFESSORA SIMONE PATRICIA FERREIRA DA SILVA")</f>
        <v>CENTRO MUNICIPAL PROFESSORA SIMONE PATRICIA FERREIRA DA SILVA</v>
      </c>
      <c r="D230" s="1" t="str">
        <f>IFERROR(__xludf.DUMMYFUNCTION("""COMPUTED_VALUE"""),"26137739")</f>
        <v>26137739</v>
      </c>
      <c r="E230" s="1" t="str">
        <f>IFERROR(__xludf.DUMMYFUNCTION("""COMPUTED_VALUE"""),"INFANTIL 5")</f>
        <v>INFANTIL 5</v>
      </c>
      <c r="F230" s="1" t="str">
        <f>IFERROR(__xludf.DUMMYFUNCTION("""COMPUTED_VALUE"""),"Matutino/Manhã")</f>
        <v>Matutino/Manhã</v>
      </c>
      <c r="G230" s="1" t="str">
        <f>IFERROR(__xludf.DUMMYFUNCTION("""COMPUTED_VALUE"""),"Comum")</f>
        <v>Comum</v>
      </c>
      <c r="H230" s="1" t="str">
        <f>IFERROR(__xludf.DUMMYFUNCTION("""COMPUTED_VALUE"""),"1")</f>
        <v>1</v>
      </c>
      <c r="I230" s="4" t="str">
        <f>IFERROR(__xludf.DUMMYFUNCTION("""COMPUTED_VALUE"""),"26062262729")</f>
        <v>26062262729</v>
      </c>
      <c r="J230" s="1" t="str">
        <f>IFERROR(__xludf.DUMMYFUNCTION("""COMPUTED_VALUE"""),"09/06/2026 11:30:09")</f>
        <v>09/06/2026 11:30:09</v>
      </c>
      <c r="K230" s="1" t="str">
        <f>IFERROR(__xludf.DUMMYFUNCTION("""COMPUTED_VALUE"""),"Yohanna Silva Garcez")</f>
        <v>Yohanna Silva Garcez</v>
      </c>
      <c r="L230" s="5" t="str">
        <f>IFERROR(__xludf.DUMMYFUNCTION("""COMPUTED_VALUE"""),"221.929.117-00")</f>
        <v>221.929.117-00</v>
      </c>
      <c r="M230" s="5" t="str">
        <f>IFERROR(__xludf.DUMMYFUNCTION("""COMPUTED_VALUE"""),"09/04/2020")</f>
        <v>09/04/2020</v>
      </c>
      <c r="N230" s="1"/>
      <c r="O230" s="1" t="str">
        <f>IFERROR(__xludf.DUMMYFUNCTION("""COMPUTED_VALUE"""),"0")</f>
        <v>0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5.75" customHeight="1">
      <c r="A231" s="1"/>
      <c r="B231" s="1" t="str">
        <f t="array" ref="B231">XLOOKUP(C231,Tabela_1[NOME ESCOLA PONTO ID],Tabela_1[REGIONAL],"NE",0)</f>
        <v>REGIONAL 6</v>
      </c>
      <c r="C231" s="3" t="str">
        <f>IFERROR(__xludf.DUMMYFUNCTION("""COMPUTED_VALUE"""),"CENTRO MUNICIPAL PROFESSORA SIMONE PATRICIA FERREIRA DA SILVA")</f>
        <v>CENTRO MUNICIPAL PROFESSORA SIMONE PATRICIA FERREIRA DA SILVA</v>
      </c>
      <c r="D231" s="1" t="str">
        <f>IFERROR(__xludf.DUMMYFUNCTION("""COMPUTED_VALUE"""),"26137739")</f>
        <v>26137739</v>
      </c>
      <c r="E231" s="1" t="str">
        <f>IFERROR(__xludf.DUMMYFUNCTION("""COMPUTED_VALUE"""),"INFANTIL 5")</f>
        <v>INFANTIL 5</v>
      </c>
      <c r="F231" s="1" t="str">
        <f>IFERROR(__xludf.DUMMYFUNCTION("""COMPUTED_VALUE"""),"Vespertino/Tarde")</f>
        <v>Vespertino/Tarde</v>
      </c>
      <c r="G231" s="1" t="str">
        <f>IFERROR(__xludf.DUMMYFUNCTION("""COMPUTED_VALUE"""),"Comum")</f>
        <v>Comum</v>
      </c>
      <c r="H231" s="1" t="str">
        <f>IFERROR(__xludf.DUMMYFUNCTION("""COMPUTED_VALUE"""),"1")</f>
        <v>1</v>
      </c>
      <c r="I231" s="4" t="str">
        <f>IFERROR(__xludf.DUMMYFUNCTION("""COMPUTED_VALUE"""),"26042773509")</f>
        <v>26042773509</v>
      </c>
      <c r="J231" s="1" t="str">
        <f>IFERROR(__xludf.DUMMYFUNCTION("""COMPUTED_VALUE"""),"25/04/2026 19:19:54")</f>
        <v>25/04/2026 19:19:54</v>
      </c>
      <c r="K231" s="1" t="str">
        <f>IFERROR(__xludf.DUMMYFUNCTION("""COMPUTED_VALUE"""),"LUA AINOÃ SANTOS DAS CHAGAS")</f>
        <v>LUA AINOÃ SANTOS DAS CHAGAS</v>
      </c>
      <c r="L231" s="5" t="str">
        <f>IFERROR(__xludf.DUMMYFUNCTION("""COMPUTED_VALUE"""),"172.004.454-60")</f>
        <v>172.004.454-60</v>
      </c>
      <c r="M231" s="5" t="str">
        <f>IFERROR(__xludf.DUMMYFUNCTION("""COMPUTED_VALUE"""),"15/04/2020")</f>
        <v>15/04/2020</v>
      </c>
      <c r="N231" s="1"/>
      <c r="O231" s="1" t="str">
        <f>IFERROR(__xludf.DUMMYFUNCTION("""COMPUTED_VALUE"""),"0")</f>
        <v>0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5.75" customHeight="1">
      <c r="A232" s="1"/>
      <c r="B232" s="1" t="str">
        <f t="array" ref="B232">XLOOKUP(C232,Tabela_1[NOME ESCOLA PONTO ID],Tabela_1[REGIONAL],"NE",0)</f>
        <v>REGIONAL 2</v>
      </c>
      <c r="C232" s="3" t="str">
        <f>IFERROR(__xludf.DUMMYFUNCTION("""COMPUTED_VALUE"""),"CRECHE ALAYDE MARIA DA CONCEICAO")</f>
        <v>CRECHE ALAYDE MARIA DA CONCEICAO</v>
      </c>
      <c r="D232" s="1" t="str">
        <f>IFERROR(__xludf.DUMMYFUNCTION("""COMPUTED_VALUE"""),"26109425")</f>
        <v>26109425</v>
      </c>
      <c r="E232" s="1" t="str">
        <f>IFERROR(__xludf.DUMMYFUNCTION("""COMPUTED_VALUE"""),"INFANTIL 1")</f>
        <v>INFANTIL 1</v>
      </c>
      <c r="F232" s="1" t="str">
        <f>IFERROR(__xludf.DUMMYFUNCTION("""COMPUTED_VALUE"""),"Integral")</f>
        <v>Integral</v>
      </c>
      <c r="G232" s="1" t="str">
        <f>IFERROR(__xludf.DUMMYFUNCTION("""COMPUTED_VALUE"""),"Comum")</f>
        <v>Comum</v>
      </c>
      <c r="H232" s="1" t="str">
        <f>IFERROR(__xludf.DUMMYFUNCTION("""COMPUTED_VALUE"""),"1")</f>
        <v>1</v>
      </c>
      <c r="I232" s="4" t="str">
        <f>IFERROR(__xludf.DUMMYFUNCTION("""COMPUTED_VALUE"""),"26022612593")</f>
        <v>26022612593</v>
      </c>
      <c r="J232" s="1" t="str">
        <f>IFERROR(__xludf.DUMMYFUNCTION("""COMPUTED_VALUE"""),"25/02/2026 12:49:56")</f>
        <v>25/02/2026 12:49:56</v>
      </c>
      <c r="K232" s="1" t="str">
        <f>IFERROR(__xludf.DUMMYFUNCTION("""COMPUTED_VALUE"""),"CR")</f>
        <v>CR</v>
      </c>
      <c r="L232" s="5" t="str">
        <f>IFERROR(__xludf.DUMMYFUNCTION("""COMPUTED_VALUE"""),"006.659.714-51")</f>
        <v>006.659.714-51</v>
      </c>
      <c r="M232" s="5" t="str">
        <f>IFERROR(__xludf.DUMMYFUNCTION("""COMPUTED_VALUE"""),"03/07/2025")</f>
        <v>03/07/2025</v>
      </c>
      <c r="N232" s="1"/>
      <c r="O232" s="1" t="str">
        <f>IFERROR(__xludf.DUMMYFUNCTION("""COMPUTED_VALUE"""),"0")</f>
        <v>0</v>
      </c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5.75" customHeight="1">
      <c r="A233" s="1"/>
      <c r="B233" s="1" t="str">
        <f t="array" ref="B233">XLOOKUP(C233,Tabela_1[NOME ESCOLA PONTO ID],Tabela_1[REGIONAL],"NE",0)</f>
        <v>REGIONAL 2</v>
      </c>
      <c r="C233" s="3" t="str">
        <f>IFERROR(__xludf.DUMMYFUNCTION("""COMPUTED_VALUE"""),"CRECHE ALAYDE MARIA DA CONCEICAO")</f>
        <v>CRECHE ALAYDE MARIA DA CONCEICAO</v>
      </c>
      <c r="D233" s="1" t="str">
        <f>IFERROR(__xludf.DUMMYFUNCTION("""COMPUTED_VALUE"""),"26109425")</f>
        <v>26109425</v>
      </c>
      <c r="E233" s="1" t="str">
        <f>IFERROR(__xludf.DUMMYFUNCTION("""COMPUTED_VALUE"""),"INFANTIL 1")</f>
        <v>INFANTIL 1</v>
      </c>
      <c r="F233" s="1" t="str">
        <f>IFERROR(__xludf.DUMMYFUNCTION("""COMPUTED_VALUE"""),"Integral")</f>
        <v>Integral</v>
      </c>
      <c r="G233" s="1" t="str">
        <f>IFERROR(__xludf.DUMMYFUNCTION("""COMPUTED_VALUE"""),"Comum")</f>
        <v>Comum</v>
      </c>
      <c r="H233" s="1" t="str">
        <f>IFERROR(__xludf.DUMMYFUNCTION("""COMPUTED_VALUE"""),"2")</f>
        <v>2</v>
      </c>
      <c r="I233" s="4" t="str">
        <f>IFERROR(__xludf.DUMMYFUNCTION("""COMPUTED_VALUE"""),"26032529005")</f>
        <v>26032529005</v>
      </c>
      <c r="J233" s="1" t="str">
        <f>IFERROR(__xludf.DUMMYFUNCTION("""COMPUTED_VALUE"""),"25/03/2026 16:34:54")</f>
        <v>25/03/2026 16:34:54</v>
      </c>
      <c r="K233" s="1" t="str">
        <f>IFERROR(__xludf.DUMMYFUNCTION("""COMPUTED_VALUE"""),"DAVY ALVES DA SILVA")</f>
        <v>DAVY ALVES DA SILVA</v>
      </c>
      <c r="L233" s="5" t="str">
        <f>IFERROR(__xludf.DUMMYFUNCTION("""COMPUTED_VALUE"""),"003.543.594-10")</f>
        <v>003.543.594-10</v>
      </c>
      <c r="M233" s="5" t="str">
        <f>IFERROR(__xludf.DUMMYFUNCTION("""COMPUTED_VALUE"""),"27/05/2025")</f>
        <v>27/05/2025</v>
      </c>
      <c r="N233" s="1"/>
      <c r="O233" s="1" t="str">
        <f>IFERROR(__xludf.DUMMYFUNCTION("""COMPUTED_VALUE"""),"0")</f>
        <v>0</v>
      </c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5.75" customHeight="1">
      <c r="A234" s="1"/>
      <c r="B234" s="1" t="str">
        <f t="array" ref="B234">XLOOKUP(C234,Tabela_1[NOME ESCOLA PONTO ID],Tabela_1[REGIONAL],"NE",0)</f>
        <v>REGIONAL 2</v>
      </c>
      <c r="C234" s="3" t="str">
        <f>IFERROR(__xludf.DUMMYFUNCTION("""COMPUTED_VALUE"""),"CRECHE ALAYDE MARIA DA CONCEICAO")</f>
        <v>CRECHE ALAYDE MARIA DA CONCEICAO</v>
      </c>
      <c r="D234" s="1" t="str">
        <f>IFERROR(__xludf.DUMMYFUNCTION("""COMPUTED_VALUE"""),"26109425")</f>
        <v>26109425</v>
      </c>
      <c r="E234" s="1" t="str">
        <f>IFERROR(__xludf.DUMMYFUNCTION("""COMPUTED_VALUE"""),"INFANTIL 1")</f>
        <v>INFANTIL 1</v>
      </c>
      <c r="F234" s="1" t="str">
        <f>IFERROR(__xludf.DUMMYFUNCTION("""COMPUTED_VALUE"""),"Integral")</f>
        <v>Integral</v>
      </c>
      <c r="G234" s="1" t="str">
        <f>IFERROR(__xludf.DUMMYFUNCTION("""COMPUTED_VALUE"""),"Comum")</f>
        <v>Comum</v>
      </c>
      <c r="H234" s="1" t="str">
        <f>IFERROR(__xludf.DUMMYFUNCTION("""COMPUTED_VALUE"""),"3")</f>
        <v>3</v>
      </c>
      <c r="I234" s="4" t="str">
        <f>IFERROR(__xludf.DUMMYFUNCTION("""COMPUTED_VALUE"""),"26062299697")</f>
        <v>26062299697</v>
      </c>
      <c r="J234" s="1" t="str">
        <f>IFERROR(__xludf.DUMMYFUNCTION("""COMPUTED_VALUE"""),"18/06/2026 11:42:52")</f>
        <v>18/06/2026 11:42:52</v>
      </c>
      <c r="K234" s="1" t="str">
        <f>IFERROR(__xludf.DUMMYFUNCTION("""COMPUTED_VALUE"""),"Hellena Sophia Souza da Silva")</f>
        <v>Hellena Sophia Souza da Silva</v>
      </c>
      <c r="L234" s="5" t="str">
        <f>IFERROR(__xludf.DUMMYFUNCTION("""COMPUTED_VALUE"""),"005.830.624-23")</f>
        <v>005.830.624-23</v>
      </c>
      <c r="M234" s="5" t="str">
        <f>IFERROR(__xludf.DUMMYFUNCTION("""COMPUTED_VALUE"""),"04/04/2025")</f>
        <v>04/04/2025</v>
      </c>
      <c r="N234" s="1"/>
      <c r="O234" s="1" t="str">
        <f>IFERROR(__xludf.DUMMYFUNCTION("""COMPUTED_VALUE"""),"0")</f>
        <v>0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5.75" customHeight="1">
      <c r="A235" s="1"/>
      <c r="B235" s="1" t="str">
        <f t="array" ref="B235">XLOOKUP(C235,Tabela_1[NOME ESCOLA PONTO ID],Tabela_1[REGIONAL],"NE",0)</f>
        <v>REGIONAL 2</v>
      </c>
      <c r="C235" s="3" t="str">
        <f>IFERROR(__xludf.DUMMYFUNCTION("""COMPUTED_VALUE"""),"CRECHE ALAYDE MARIA DA CONCEICAO")</f>
        <v>CRECHE ALAYDE MARIA DA CONCEICAO</v>
      </c>
      <c r="D235" s="1" t="str">
        <f>IFERROR(__xludf.DUMMYFUNCTION("""COMPUTED_VALUE"""),"26109425")</f>
        <v>26109425</v>
      </c>
      <c r="E235" s="1" t="str">
        <f>IFERROR(__xludf.DUMMYFUNCTION("""COMPUTED_VALUE"""),"INFANTIL 1")</f>
        <v>INFANTIL 1</v>
      </c>
      <c r="F235" s="1" t="str">
        <f>IFERROR(__xludf.DUMMYFUNCTION("""COMPUTED_VALUE"""),"Integral")</f>
        <v>Integral</v>
      </c>
      <c r="G235" s="1" t="str">
        <f>IFERROR(__xludf.DUMMYFUNCTION("""COMPUTED_VALUE"""),"Comum")</f>
        <v>Comum</v>
      </c>
      <c r="H235" s="1" t="str">
        <f>IFERROR(__xludf.DUMMYFUNCTION("""COMPUTED_VALUE"""),"4")</f>
        <v>4</v>
      </c>
      <c r="I235" s="6" t="str">
        <f>IFERROR(__xludf.DUMMYFUNCTION("""COMPUTED_VALUE"""),"26062154133")</f>
        <v>26062154133</v>
      </c>
      <c r="J235" s="1" t="str">
        <f>IFERROR(__xludf.DUMMYFUNCTION("""COMPUTED_VALUE"""),"23/06/2026 08:34:26")</f>
        <v>23/06/2026 08:34:26</v>
      </c>
      <c r="K235" s="1" t="str">
        <f>IFERROR(__xludf.DUMMYFUNCTION("""COMPUTED_VALUE"""),"Eloá Sofia pareia de Oliveira")</f>
        <v>Eloá Sofia pareia de Oliveira</v>
      </c>
      <c r="L235" s="5" t="str">
        <f>IFERROR(__xludf.DUMMYFUNCTION("""COMPUTED_VALUE"""),"003.450.224-67")</f>
        <v>003.450.224-67</v>
      </c>
      <c r="M235" s="5" t="str">
        <f>IFERROR(__xludf.DUMMYFUNCTION("""COMPUTED_VALUE"""),"08/07/2024")</f>
        <v>08/07/2024</v>
      </c>
      <c r="N235" s="1"/>
      <c r="O235" s="1" t="str">
        <f>IFERROR(__xludf.DUMMYFUNCTION("""COMPUTED_VALUE"""),"0")</f>
        <v>0</v>
      </c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5.75" customHeight="1">
      <c r="A236" s="1"/>
      <c r="B236" s="1" t="str">
        <f t="array" ref="B236">XLOOKUP(C236,Tabela_1[NOME ESCOLA PONTO ID],Tabela_1[REGIONAL],"NE",0)</f>
        <v>REGIONAL 2</v>
      </c>
      <c r="C236" s="3" t="str">
        <f>IFERROR(__xludf.DUMMYFUNCTION("""COMPUTED_VALUE"""),"CRECHE ALAYDE MARIA DA CONCEICAO")</f>
        <v>CRECHE ALAYDE MARIA DA CONCEICAO</v>
      </c>
      <c r="D236" s="1" t="str">
        <f>IFERROR(__xludf.DUMMYFUNCTION("""COMPUTED_VALUE"""),"26109425")</f>
        <v>26109425</v>
      </c>
      <c r="E236" s="1" t="str">
        <f>IFERROR(__xludf.DUMMYFUNCTION("""COMPUTED_VALUE"""),"INFANTIL 2")</f>
        <v>INFANTIL 2</v>
      </c>
      <c r="F236" s="1" t="str">
        <f>IFERROR(__xludf.DUMMYFUNCTION("""COMPUTED_VALUE"""),"Integral")</f>
        <v>Integral</v>
      </c>
      <c r="G236" s="1" t="str">
        <f>IFERROR(__xludf.DUMMYFUNCTION("""COMPUTED_VALUE"""),"Comum")</f>
        <v>Comum</v>
      </c>
      <c r="H236" s="1" t="str">
        <f>IFERROR(__xludf.DUMMYFUNCTION("""COMPUTED_VALUE"""),"1")</f>
        <v>1</v>
      </c>
      <c r="I236" s="6" t="str">
        <f>IFERROR(__xludf.DUMMYFUNCTION("""COMPUTED_VALUE"""),"26032219969")</f>
        <v>26032219969</v>
      </c>
      <c r="J236" s="1" t="str">
        <f>IFERROR(__xludf.DUMMYFUNCTION("""COMPUTED_VALUE"""),"19/03/2026 10:36:55")</f>
        <v>19/03/2026 10:36:55</v>
      </c>
      <c r="K236" s="1" t="str">
        <f>IFERROR(__xludf.DUMMYFUNCTION("""COMPUTED_VALUE"""),"ELLIZA EMANUELLEY MONTE DE LIMA")</f>
        <v>ELLIZA EMANUELLEY MONTE DE LIMA</v>
      </c>
      <c r="L236" s="5" t="str">
        <f>IFERROR(__xludf.DUMMYFUNCTION("""COMPUTED_VALUE"""),"185.171.144-93")</f>
        <v>185.171.144-93</v>
      </c>
      <c r="M236" s="5" t="str">
        <f>IFERROR(__xludf.DUMMYFUNCTION("""COMPUTED_VALUE"""),"21/04/2023")</f>
        <v>21/04/2023</v>
      </c>
      <c r="N236" s="1"/>
      <c r="O236" s="1" t="str">
        <f>IFERROR(__xludf.DUMMYFUNCTION("""COMPUTED_VALUE"""),"0")</f>
        <v>0</v>
      </c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5.75" customHeight="1">
      <c r="A237" s="1"/>
      <c r="B237" s="1" t="str">
        <f t="array" ref="B237">XLOOKUP(C237,Tabela_1[NOME ESCOLA PONTO ID],Tabela_1[REGIONAL],"NE",0)</f>
        <v>REGIONAL 2</v>
      </c>
      <c r="C237" s="3" t="str">
        <f>IFERROR(__xludf.DUMMYFUNCTION("""COMPUTED_VALUE"""),"CRECHE ALAYDE MARIA DA CONCEICAO")</f>
        <v>CRECHE ALAYDE MARIA DA CONCEICAO</v>
      </c>
      <c r="D237" s="1" t="str">
        <f>IFERROR(__xludf.DUMMYFUNCTION("""COMPUTED_VALUE"""),"26109425")</f>
        <v>26109425</v>
      </c>
      <c r="E237" s="1" t="str">
        <f>IFERROR(__xludf.DUMMYFUNCTION("""COMPUTED_VALUE"""),"INFANTIL 2")</f>
        <v>INFANTIL 2</v>
      </c>
      <c r="F237" s="1" t="str">
        <f>IFERROR(__xludf.DUMMYFUNCTION("""COMPUTED_VALUE"""),"Integral")</f>
        <v>Integral</v>
      </c>
      <c r="G237" s="1" t="str">
        <f>IFERROR(__xludf.DUMMYFUNCTION("""COMPUTED_VALUE"""),"Comum")</f>
        <v>Comum</v>
      </c>
      <c r="H237" s="1" t="str">
        <f>IFERROR(__xludf.DUMMYFUNCTION("""COMPUTED_VALUE"""),"2")</f>
        <v>2</v>
      </c>
      <c r="I237" s="6" t="str">
        <f>IFERROR(__xludf.DUMMYFUNCTION("""COMPUTED_VALUE"""),"26032637968")</f>
        <v>26032637968</v>
      </c>
      <c r="J237" s="1" t="str">
        <f>IFERROR(__xludf.DUMMYFUNCTION("""COMPUTED_VALUE"""),"31/03/2026 12:14:35")</f>
        <v>31/03/2026 12:14:35</v>
      </c>
      <c r="K237" s="1" t="str">
        <f>IFERROR(__xludf.DUMMYFUNCTION("""COMPUTED_VALUE"""),"HELLOÁ DANIELLY AMORIM FELIX")</f>
        <v>HELLOÁ DANIELLY AMORIM FELIX</v>
      </c>
      <c r="L237" s="5" t="str">
        <f>IFERROR(__xludf.DUMMYFUNCTION("""COMPUTED_VALUE"""),"002.685.434-10")</f>
        <v>002.685.434-10</v>
      </c>
      <c r="M237" s="5" t="str">
        <f>IFERROR(__xludf.DUMMYFUNCTION("""COMPUTED_VALUE"""),"04/03/2024")</f>
        <v>04/03/2024</v>
      </c>
      <c r="N237" s="1"/>
      <c r="O237" s="1" t="str">
        <f>IFERROR(__xludf.DUMMYFUNCTION("""COMPUTED_VALUE"""),"0")</f>
        <v>0</v>
      </c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5.75" customHeight="1">
      <c r="A238" s="1"/>
      <c r="B238" s="1" t="str">
        <f t="array" ref="B238">XLOOKUP(C238,Tabela_1[NOME ESCOLA PONTO ID],Tabela_1[REGIONAL],"NE",0)</f>
        <v>REGIONAL 2</v>
      </c>
      <c r="C238" s="3" t="str">
        <f>IFERROR(__xludf.DUMMYFUNCTION("""COMPUTED_VALUE"""),"CRECHE ALAYDE MARIA DA CONCEICAO")</f>
        <v>CRECHE ALAYDE MARIA DA CONCEICAO</v>
      </c>
      <c r="D238" s="1" t="str">
        <f>IFERROR(__xludf.DUMMYFUNCTION("""COMPUTED_VALUE"""),"26109425")</f>
        <v>26109425</v>
      </c>
      <c r="E238" s="1" t="str">
        <f>IFERROR(__xludf.DUMMYFUNCTION("""COMPUTED_VALUE"""),"INFANTIL 2")</f>
        <v>INFANTIL 2</v>
      </c>
      <c r="F238" s="1" t="str">
        <f>IFERROR(__xludf.DUMMYFUNCTION("""COMPUTED_VALUE"""),"Integral")</f>
        <v>Integral</v>
      </c>
      <c r="G238" s="1" t="str">
        <f>IFERROR(__xludf.DUMMYFUNCTION("""COMPUTED_VALUE"""),"Comum")</f>
        <v>Comum</v>
      </c>
      <c r="H238" s="1" t="str">
        <f>IFERROR(__xludf.DUMMYFUNCTION("""COMPUTED_VALUE"""),"3")</f>
        <v>3</v>
      </c>
      <c r="I238" s="6" t="str">
        <f>IFERROR(__xludf.DUMMYFUNCTION("""COMPUTED_VALUE"""),"26042667623")</f>
        <v>26042667623</v>
      </c>
      <c r="J238" s="1" t="str">
        <f>IFERROR(__xludf.DUMMYFUNCTION("""COMPUTED_VALUE"""),"27/04/2026 15:51:32")</f>
        <v>27/04/2026 15:51:32</v>
      </c>
      <c r="K238" s="1" t="str">
        <f>IFERROR(__xludf.DUMMYFUNCTION("""COMPUTED_VALUE"""),"EDRICK FELIPE MELO DOS SANTOS RODRIGUES")</f>
        <v>EDRICK FELIPE MELO DOS SANTOS RODRIGUES</v>
      </c>
      <c r="L238" s="5" t="str">
        <f>IFERROR(__xludf.DUMMYFUNCTION("""COMPUTED_VALUE"""),"001.939.124-22")</f>
        <v>001.939.124-22</v>
      </c>
      <c r="M238" s="5" t="str">
        <f>IFERROR(__xludf.DUMMYFUNCTION("""COMPUTED_VALUE"""),"11/02/2024")</f>
        <v>11/02/2024</v>
      </c>
      <c r="N238" s="1"/>
      <c r="O238" s="1" t="str">
        <f>IFERROR(__xludf.DUMMYFUNCTION("""COMPUTED_VALUE"""),"0")</f>
        <v>0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5.75" customHeight="1">
      <c r="A239" s="1"/>
      <c r="B239" s="1" t="str">
        <f t="array" ref="B239">XLOOKUP(C239,Tabela_1[NOME ESCOLA PONTO ID],Tabela_1[REGIONAL],"NE",0)</f>
        <v>REGIONAL 1</v>
      </c>
      <c r="C239" s="3" t="str">
        <f>IFERROR(__xludf.DUMMYFUNCTION("""COMPUTED_VALUE"""),"CRECHE CIRANDA CIRANDINHA")</f>
        <v>CRECHE CIRANDA CIRANDINHA</v>
      </c>
      <c r="D239" s="1" t="str">
        <f>IFERROR(__xludf.DUMMYFUNCTION("""COMPUTED_VALUE"""),"26156270")</f>
        <v>26156270</v>
      </c>
      <c r="E239" s="1" t="str">
        <f>IFERROR(__xludf.DUMMYFUNCTION("""COMPUTED_VALUE"""),"INFANTIL 1")</f>
        <v>INFANTIL 1</v>
      </c>
      <c r="F239" s="1" t="str">
        <f>IFERROR(__xludf.DUMMYFUNCTION("""COMPUTED_VALUE"""),"Integral")</f>
        <v>Integral</v>
      </c>
      <c r="G239" s="1" t="str">
        <f>IFERROR(__xludf.DUMMYFUNCTION("""COMPUTED_VALUE"""),"Comum")</f>
        <v>Comum</v>
      </c>
      <c r="H239" s="1" t="str">
        <f>IFERROR(__xludf.DUMMYFUNCTION("""COMPUTED_VALUE"""),"1")</f>
        <v>1</v>
      </c>
      <c r="I239" s="6" t="str">
        <f>IFERROR(__xludf.DUMMYFUNCTION("""COMPUTED_VALUE"""),"26022656798")</f>
        <v>26022656798</v>
      </c>
      <c r="J239" s="1" t="str">
        <f>IFERROR(__xludf.DUMMYFUNCTION("""COMPUTED_VALUE"""),"19/02/2026 09:00:23")</f>
        <v>19/02/2026 09:00:23</v>
      </c>
      <c r="K239" s="1" t="str">
        <f>IFERROR(__xludf.DUMMYFUNCTION("""COMPUTED_VALUE"""),"RHAVI LUCAS DA SILVA SANTANA")</f>
        <v>RHAVI LUCAS DA SILVA SANTANA</v>
      </c>
      <c r="L239" s="5" t="str">
        <f>IFERROR(__xludf.DUMMYFUNCTION("""COMPUTED_VALUE"""),"006.630.604-35")</f>
        <v>006.630.604-35</v>
      </c>
      <c r="M239" s="5" t="str">
        <f>IFERROR(__xludf.DUMMYFUNCTION("""COMPUTED_VALUE"""),"12/05/2025")</f>
        <v>12/05/2025</v>
      </c>
      <c r="N239" s="1"/>
      <c r="O239" s="1" t="str">
        <f>IFERROR(__xludf.DUMMYFUNCTION("""COMPUTED_VALUE"""),"0")</f>
        <v>0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5.75" customHeight="1">
      <c r="A240" s="1"/>
      <c r="B240" s="1" t="str">
        <f t="array" ref="B240">XLOOKUP(C240,Tabela_1[NOME ESCOLA PONTO ID],Tabela_1[REGIONAL],"NE",0)</f>
        <v>REGIONAL 1</v>
      </c>
      <c r="C240" s="3" t="str">
        <f>IFERROR(__xludf.DUMMYFUNCTION("""COMPUTED_VALUE"""),"CRECHE CIRANDA CIRANDINHA")</f>
        <v>CRECHE CIRANDA CIRANDINHA</v>
      </c>
      <c r="D240" s="1" t="str">
        <f>IFERROR(__xludf.DUMMYFUNCTION("""COMPUTED_VALUE"""),"26156270")</f>
        <v>26156270</v>
      </c>
      <c r="E240" s="1" t="str">
        <f>IFERROR(__xludf.DUMMYFUNCTION("""COMPUTED_VALUE"""),"INFANTIL 1")</f>
        <v>INFANTIL 1</v>
      </c>
      <c r="F240" s="1" t="str">
        <f>IFERROR(__xludf.DUMMYFUNCTION("""COMPUTED_VALUE"""),"Integral")</f>
        <v>Integral</v>
      </c>
      <c r="G240" s="1" t="str">
        <f>IFERROR(__xludf.DUMMYFUNCTION("""COMPUTED_VALUE"""),"Comum")</f>
        <v>Comum</v>
      </c>
      <c r="H240" s="1" t="str">
        <f>IFERROR(__xludf.DUMMYFUNCTION("""COMPUTED_VALUE"""),"2")</f>
        <v>2</v>
      </c>
      <c r="I240" s="6" t="str">
        <f>IFERROR(__xludf.DUMMYFUNCTION("""COMPUTED_VALUE"""),"26032361580")</f>
        <v>26032361580</v>
      </c>
      <c r="J240" s="1" t="str">
        <f>IFERROR(__xludf.DUMMYFUNCTION("""COMPUTED_VALUE"""),"14/03/2026 10:04:37")</f>
        <v>14/03/2026 10:04:37</v>
      </c>
      <c r="K240" s="1" t="str">
        <f>IFERROR(__xludf.DUMMYFUNCTION("""COMPUTED_VALUE"""),"BERNARDO CARVALHO")</f>
        <v>BERNARDO CARVALHO</v>
      </c>
      <c r="L240" s="5" t="str">
        <f>IFERROR(__xludf.DUMMYFUNCTION("""COMPUTED_VALUE"""),"003.334.034-01")</f>
        <v>003.334.034-01</v>
      </c>
      <c r="M240" s="5" t="str">
        <f>IFERROR(__xludf.DUMMYFUNCTION("""COMPUTED_VALUE"""),"27/06/2024")</f>
        <v>27/06/2024</v>
      </c>
      <c r="N240" s="1"/>
      <c r="O240" s="1" t="str">
        <f>IFERROR(__xludf.DUMMYFUNCTION("""COMPUTED_VALUE"""),"0")</f>
        <v>0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5.75" customHeight="1">
      <c r="A241" s="1"/>
      <c r="B241" s="1" t="str">
        <f t="array" ref="B241">XLOOKUP(C241,Tabela_1[NOME ESCOLA PONTO ID],Tabela_1[REGIONAL],"NE",0)</f>
        <v>REGIONAL 1</v>
      </c>
      <c r="C241" s="3" t="str">
        <f>IFERROR(__xludf.DUMMYFUNCTION("""COMPUTED_VALUE"""),"CRECHE CIRANDA CIRANDINHA")</f>
        <v>CRECHE CIRANDA CIRANDINHA</v>
      </c>
      <c r="D241" s="1" t="str">
        <f>IFERROR(__xludf.DUMMYFUNCTION("""COMPUTED_VALUE"""),"26156270")</f>
        <v>26156270</v>
      </c>
      <c r="E241" s="1" t="str">
        <f>IFERROR(__xludf.DUMMYFUNCTION("""COMPUTED_VALUE"""),"INFANTIL 1")</f>
        <v>INFANTIL 1</v>
      </c>
      <c r="F241" s="1" t="str">
        <f>IFERROR(__xludf.DUMMYFUNCTION("""COMPUTED_VALUE"""),"Integral")</f>
        <v>Integral</v>
      </c>
      <c r="G241" s="1" t="str">
        <f>IFERROR(__xludf.DUMMYFUNCTION("""COMPUTED_VALUE"""),"Comum")</f>
        <v>Comum</v>
      </c>
      <c r="H241" s="1" t="str">
        <f>IFERROR(__xludf.DUMMYFUNCTION("""COMPUTED_VALUE"""),"3")</f>
        <v>3</v>
      </c>
      <c r="I241" s="6" t="str">
        <f>IFERROR(__xludf.DUMMYFUNCTION("""COMPUTED_VALUE"""),"26032635725")</f>
        <v>26032635725</v>
      </c>
      <c r="J241" s="1" t="str">
        <f>IFERROR(__xludf.DUMMYFUNCTION("""COMPUTED_VALUE"""),"30/03/2026 09:26:32")</f>
        <v>30/03/2026 09:26:32</v>
      </c>
      <c r="K241" s="1" t="str">
        <f>IFERROR(__xludf.DUMMYFUNCTION("""COMPUTED_VALUE"""),"BELLA MARIA DA SILVA ARAÚJO")</f>
        <v>BELLA MARIA DA SILVA ARAÚJO</v>
      </c>
      <c r="L241" s="5" t="str">
        <f>IFERROR(__xludf.DUMMYFUNCTION("""COMPUTED_VALUE"""),"002.551.834-88")</f>
        <v>002.551.834-88</v>
      </c>
      <c r="M241" s="5" t="str">
        <f>IFERROR(__xludf.DUMMYFUNCTION("""COMPUTED_VALUE"""),"03/04/2024")</f>
        <v>03/04/2024</v>
      </c>
      <c r="N241" s="1"/>
      <c r="O241" s="1" t="str">
        <f>IFERROR(__xludf.DUMMYFUNCTION("""COMPUTED_VALUE"""),"0")</f>
        <v>0</v>
      </c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5.75" customHeight="1">
      <c r="A242" s="1"/>
      <c r="B242" s="1" t="str">
        <f t="array" ref="B242">XLOOKUP(C242,Tabela_1[NOME ESCOLA PONTO ID],Tabela_1[REGIONAL],"NE",0)</f>
        <v>REGIONAL 1</v>
      </c>
      <c r="C242" s="3" t="str">
        <f>IFERROR(__xludf.DUMMYFUNCTION("""COMPUTED_VALUE"""),"CRECHE CIRANDA CIRANDINHA")</f>
        <v>CRECHE CIRANDA CIRANDINHA</v>
      </c>
      <c r="D242" s="1" t="str">
        <f>IFERROR(__xludf.DUMMYFUNCTION("""COMPUTED_VALUE"""),"26156270")</f>
        <v>26156270</v>
      </c>
      <c r="E242" s="1" t="str">
        <f>IFERROR(__xludf.DUMMYFUNCTION("""COMPUTED_VALUE"""),"INFANTIL 1")</f>
        <v>INFANTIL 1</v>
      </c>
      <c r="F242" s="1" t="str">
        <f>IFERROR(__xludf.DUMMYFUNCTION("""COMPUTED_VALUE"""),"Integral")</f>
        <v>Integral</v>
      </c>
      <c r="G242" s="1" t="str">
        <f>IFERROR(__xludf.DUMMYFUNCTION("""COMPUTED_VALUE"""),"Comum")</f>
        <v>Comum</v>
      </c>
      <c r="H242" s="1" t="str">
        <f>IFERROR(__xludf.DUMMYFUNCTION("""COMPUTED_VALUE"""),"4")</f>
        <v>4</v>
      </c>
      <c r="I242" s="6" t="str">
        <f>IFERROR(__xludf.DUMMYFUNCTION("""COMPUTED_VALUE"""),"26032478613")</f>
        <v>26032478613</v>
      </c>
      <c r="J242" s="1" t="str">
        <f>IFERROR(__xludf.DUMMYFUNCTION("""COMPUTED_VALUE"""),"30/03/2026 09:26:32")</f>
        <v>30/03/2026 09:26:32</v>
      </c>
      <c r="K242" s="1" t="str">
        <f>IFERROR(__xludf.DUMMYFUNCTION("""COMPUTED_VALUE"""),"BERNARDO JOSÉ DA SILVA ARAÚJO")</f>
        <v>BERNARDO JOSÉ DA SILVA ARAÚJO</v>
      </c>
      <c r="L242" s="5" t="str">
        <f>IFERROR(__xludf.DUMMYFUNCTION("""COMPUTED_VALUE"""),"002.551.294-32")</f>
        <v>002.551.294-32</v>
      </c>
      <c r="M242" s="5" t="str">
        <f>IFERROR(__xludf.DUMMYFUNCTION("""COMPUTED_VALUE"""),"03/04/2024")</f>
        <v>03/04/2024</v>
      </c>
      <c r="N242" s="1"/>
      <c r="O242" s="1" t="str">
        <f>IFERROR(__xludf.DUMMYFUNCTION("""COMPUTED_VALUE"""),"0")</f>
        <v>0</v>
      </c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5.75" customHeight="1">
      <c r="A243" s="1"/>
      <c r="B243" s="1" t="str">
        <f t="array" ref="B243">XLOOKUP(C243,Tabela_1[NOME ESCOLA PONTO ID],Tabela_1[REGIONAL],"NE",0)</f>
        <v>REGIONAL 1</v>
      </c>
      <c r="C243" s="3" t="str">
        <f>IFERROR(__xludf.DUMMYFUNCTION("""COMPUTED_VALUE"""),"CRECHE CIRANDA CIRANDINHA")</f>
        <v>CRECHE CIRANDA CIRANDINHA</v>
      </c>
      <c r="D243" s="1" t="str">
        <f>IFERROR(__xludf.DUMMYFUNCTION("""COMPUTED_VALUE"""),"26156270")</f>
        <v>26156270</v>
      </c>
      <c r="E243" s="1" t="str">
        <f>IFERROR(__xludf.DUMMYFUNCTION("""COMPUTED_VALUE"""),"INFANTIL 1")</f>
        <v>INFANTIL 1</v>
      </c>
      <c r="F243" s="1" t="str">
        <f>IFERROR(__xludf.DUMMYFUNCTION("""COMPUTED_VALUE"""),"Integral")</f>
        <v>Integral</v>
      </c>
      <c r="G243" s="1" t="str">
        <f>IFERROR(__xludf.DUMMYFUNCTION("""COMPUTED_VALUE"""),"Comum")</f>
        <v>Comum</v>
      </c>
      <c r="H243" s="1" t="str">
        <f>IFERROR(__xludf.DUMMYFUNCTION("""COMPUTED_VALUE"""),"5")</f>
        <v>5</v>
      </c>
      <c r="I243" s="6" t="str">
        <f>IFERROR(__xludf.DUMMYFUNCTION("""COMPUTED_VALUE"""),"26042609036")</f>
        <v>26042609036</v>
      </c>
      <c r="J243" s="1" t="str">
        <f>IFERROR(__xludf.DUMMYFUNCTION("""COMPUTED_VALUE"""),"29/04/2026 14:37:28")</f>
        <v>29/04/2026 14:37:28</v>
      </c>
      <c r="K243" s="1" t="str">
        <f>IFERROR(__xludf.DUMMYFUNCTION("""COMPUTED_VALUE"""),"KAUE RAVI BATISTA DO BOMFIM")</f>
        <v>KAUE RAVI BATISTA DO BOMFIM</v>
      </c>
      <c r="L243" s="5" t="str">
        <f>IFERROR(__xludf.DUMMYFUNCTION("""COMPUTED_VALUE"""),"006.037.364-40")</f>
        <v>006.037.364-40</v>
      </c>
      <c r="M243" s="5" t="str">
        <f>IFERROR(__xludf.DUMMYFUNCTION("""COMPUTED_VALUE"""),"14/01/2025")</f>
        <v>14/01/2025</v>
      </c>
      <c r="N243" s="1"/>
      <c r="O243" s="1" t="str">
        <f>IFERROR(__xludf.DUMMYFUNCTION("""COMPUTED_VALUE"""),"0")</f>
        <v>0</v>
      </c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5.75" customHeight="1">
      <c r="A244" s="1"/>
      <c r="B244" s="1" t="str">
        <f t="array" ref="B244">XLOOKUP(C244,Tabela_1[NOME ESCOLA PONTO ID],Tabela_1[REGIONAL],"NE",0)</f>
        <v>REGIONAL 1</v>
      </c>
      <c r="C244" s="3" t="str">
        <f>IFERROR(__xludf.DUMMYFUNCTION("""COMPUTED_VALUE"""),"CRECHE CIRANDA CIRANDINHA")</f>
        <v>CRECHE CIRANDA CIRANDINHA</v>
      </c>
      <c r="D244" s="1" t="str">
        <f>IFERROR(__xludf.DUMMYFUNCTION("""COMPUTED_VALUE"""),"26156270")</f>
        <v>26156270</v>
      </c>
      <c r="E244" s="1" t="str">
        <f>IFERROR(__xludf.DUMMYFUNCTION("""COMPUTED_VALUE"""),"INFANTIL 1")</f>
        <v>INFANTIL 1</v>
      </c>
      <c r="F244" s="1" t="str">
        <f>IFERROR(__xludf.DUMMYFUNCTION("""COMPUTED_VALUE"""),"Integral")</f>
        <v>Integral</v>
      </c>
      <c r="G244" s="1" t="str">
        <f>IFERROR(__xludf.DUMMYFUNCTION("""COMPUTED_VALUE"""),"Comum")</f>
        <v>Comum</v>
      </c>
      <c r="H244" s="1" t="str">
        <f>IFERROR(__xludf.DUMMYFUNCTION("""COMPUTED_VALUE"""),"6")</f>
        <v>6</v>
      </c>
      <c r="I244" s="6" t="str">
        <f>IFERROR(__xludf.DUMMYFUNCTION("""COMPUTED_VALUE"""),"26052003836")</f>
        <v>26052003836</v>
      </c>
      <c r="J244" s="1" t="str">
        <f>IFERROR(__xludf.DUMMYFUNCTION("""COMPUTED_VALUE"""),"28/05/2026 16:17:10")</f>
        <v>28/05/2026 16:17:10</v>
      </c>
      <c r="K244" s="1" t="str">
        <f>IFERROR(__xludf.DUMMYFUNCTION("""COMPUTED_VALUE"""),"HELENA CECÍLIA RAIMUNDO GOMES")</f>
        <v>HELENA CECÍLIA RAIMUNDO GOMES</v>
      </c>
      <c r="L244" s="7" t="str">
        <f>IFERROR(__xludf.DUMMYFUNCTION("""COMPUTED_VALUE"""),"004.781.934-08")</f>
        <v>004.781.934-08</v>
      </c>
      <c r="M244" s="7" t="str">
        <f>IFERROR(__xludf.DUMMYFUNCTION("""COMPUTED_VALUE"""),"02/12/2024")</f>
        <v>02/12/2024</v>
      </c>
      <c r="N244" s="1"/>
      <c r="O244" s="1" t="str">
        <f>IFERROR(__xludf.DUMMYFUNCTION("""COMPUTED_VALUE"""),"0")</f>
        <v>0</v>
      </c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5.75" customHeight="1">
      <c r="A245" s="1"/>
      <c r="B245" s="1" t="str">
        <f t="array" ref="B245">XLOOKUP(C245,Tabela_1[NOME ESCOLA PONTO ID],Tabela_1[REGIONAL],"NE",0)</f>
        <v>REGIONAL 1</v>
      </c>
      <c r="C245" s="3" t="str">
        <f>IFERROR(__xludf.DUMMYFUNCTION("""COMPUTED_VALUE"""),"CRECHE CIRANDA CIRANDINHA")</f>
        <v>CRECHE CIRANDA CIRANDINHA</v>
      </c>
      <c r="D245" s="1" t="str">
        <f>IFERROR(__xludf.DUMMYFUNCTION("""COMPUTED_VALUE"""),"26156270")</f>
        <v>26156270</v>
      </c>
      <c r="E245" s="1" t="str">
        <f>IFERROR(__xludf.DUMMYFUNCTION("""COMPUTED_VALUE"""),"INFANTIL 1")</f>
        <v>INFANTIL 1</v>
      </c>
      <c r="F245" s="1" t="str">
        <f>IFERROR(__xludf.DUMMYFUNCTION("""COMPUTED_VALUE"""),"Integral")</f>
        <v>Integral</v>
      </c>
      <c r="G245" s="1" t="str">
        <f>IFERROR(__xludf.DUMMYFUNCTION("""COMPUTED_VALUE"""),"Comum")</f>
        <v>Comum</v>
      </c>
      <c r="H245" s="1" t="str">
        <f>IFERROR(__xludf.DUMMYFUNCTION("""COMPUTED_VALUE"""),"7")</f>
        <v>7</v>
      </c>
      <c r="I245" s="6" t="str">
        <f>IFERROR(__xludf.DUMMYFUNCTION("""COMPUTED_VALUE"""),"26062842371")</f>
        <v>26062842371</v>
      </c>
      <c r="J245" s="1" t="str">
        <f>IFERROR(__xludf.DUMMYFUNCTION("""COMPUTED_VALUE"""),"01/06/2026 12:23:26")</f>
        <v>01/06/2026 12:23:26</v>
      </c>
      <c r="K245" s="1" t="str">
        <f>IFERROR(__xludf.DUMMYFUNCTION("""COMPUTED_VALUE"""),"Aurora Beatriz Freitas Rodrigues")</f>
        <v>Aurora Beatriz Freitas Rodrigues</v>
      </c>
      <c r="L245" s="5" t="str">
        <f>IFERROR(__xludf.DUMMYFUNCTION("""COMPUTED_VALUE"""),"006.752.714-01")</f>
        <v>006.752.714-01</v>
      </c>
      <c r="M245" s="5" t="str">
        <f>IFERROR(__xludf.DUMMYFUNCTION("""COMPUTED_VALUE"""),"27/06/2025")</f>
        <v>27/06/2025</v>
      </c>
      <c r="N245" s="1"/>
      <c r="O245" s="1" t="str">
        <f>IFERROR(__xludf.DUMMYFUNCTION("""COMPUTED_VALUE"""),"0")</f>
        <v>0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5.75" customHeight="1">
      <c r="A246" s="1"/>
      <c r="B246" s="1" t="str">
        <f t="array" ref="B246">XLOOKUP(C246,Tabela_1[NOME ESCOLA PONTO ID],Tabela_1[REGIONAL],"NE",0)</f>
        <v>REGIONAL 1</v>
      </c>
      <c r="C246" s="3" t="str">
        <f>IFERROR(__xludf.DUMMYFUNCTION("""COMPUTED_VALUE"""),"CRECHE CIRANDA CIRANDINHA")</f>
        <v>CRECHE CIRANDA CIRANDINHA</v>
      </c>
      <c r="D246" s="1" t="str">
        <f>IFERROR(__xludf.DUMMYFUNCTION("""COMPUTED_VALUE"""),"26156270")</f>
        <v>26156270</v>
      </c>
      <c r="E246" s="1" t="str">
        <f>IFERROR(__xludf.DUMMYFUNCTION("""COMPUTED_VALUE"""),"INFANTIL 1")</f>
        <v>INFANTIL 1</v>
      </c>
      <c r="F246" s="1" t="str">
        <f>IFERROR(__xludf.DUMMYFUNCTION("""COMPUTED_VALUE"""),"Integral")</f>
        <v>Integral</v>
      </c>
      <c r="G246" s="1" t="str">
        <f>IFERROR(__xludf.DUMMYFUNCTION("""COMPUTED_VALUE"""),"Comum")</f>
        <v>Comum</v>
      </c>
      <c r="H246" s="1" t="str">
        <f>IFERROR(__xludf.DUMMYFUNCTION("""COMPUTED_VALUE"""),"8")</f>
        <v>8</v>
      </c>
      <c r="I246" s="6" t="str">
        <f>IFERROR(__xludf.DUMMYFUNCTION("""COMPUTED_VALUE"""),"26062500848")</f>
        <v>26062500848</v>
      </c>
      <c r="J246" s="1" t="str">
        <f>IFERROR(__xludf.DUMMYFUNCTION("""COMPUTED_VALUE"""),"19/06/2026 10:54:15")</f>
        <v>19/06/2026 10:54:15</v>
      </c>
      <c r="K246" s="1" t="str">
        <f>IFERROR(__xludf.DUMMYFUNCTION("""COMPUTED_VALUE"""),"Micael Luiz caldas farias")</f>
        <v>Micael Luiz caldas farias</v>
      </c>
      <c r="L246" s="5" t="str">
        <f>IFERROR(__xludf.DUMMYFUNCTION("""COMPUTED_VALUE"""),"007.154.064-42")</f>
        <v>007.154.064-42</v>
      </c>
      <c r="M246" s="5" t="str">
        <f>IFERROR(__xludf.DUMMYFUNCTION("""COMPUTED_VALUE"""),"28/07/2025")</f>
        <v>28/07/2025</v>
      </c>
      <c r="N246" s="1"/>
      <c r="O246" s="1" t="str">
        <f>IFERROR(__xludf.DUMMYFUNCTION("""COMPUTED_VALUE"""),"0")</f>
        <v>0</v>
      </c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5.75" customHeight="1">
      <c r="A247" s="1"/>
      <c r="B247" s="1" t="str">
        <f t="array" ref="B247">XLOOKUP(C247,Tabela_1[NOME ESCOLA PONTO ID],Tabela_1[REGIONAL],"NE",0)</f>
        <v>REGIONAL 1</v>
      </c>
      <c r="C247" s="3" t="str">
        <f>IFERROR(__xludf.DUMMYFUNCTION("""COMPUTED_VALUE"""),"CRECHE CIRANDA CIRANDINHA")</f>
        <v>CRECHE CIRANDA CIRANDINHA</v>
      </c>
      <c r="D247" s="1" t="str">
        <f>IFERROR(__xludf.DUMMYFUNCTION("""COMPUTED_VALUE"""),"26156270")</f>
        <v>26156270</v>
      </c>
      <c r="E247" s="1" t="str">
        <f>IFERROR(__xludf.DUMMYFUNCTION("""COMPUTED_VALUE"""),"INFANTIL 2")</f>
        <v>INFANTIL 2</v>
      </c>
      <c r="F247" s="1" t="str">
        <f>IFERROR(__xludf.DUMMYFUNCTION("""COMPUTED_VALUE"""),"Integral")</f>
        <v>Integral</v>
      </c>
      <c r="G247" s="1" t="str">
        <f>IFERROR(__xludf.DUMMYFUNCTION("""COMPUTED_VALUE"""),"Comum")</f>
        <v>Comum</v>
      </c>
      <c r="H247" s="1" t="str">
        <f>IFERROR(__xludf.DUMMYFUNCTION("""COMPUTED_VALUE"""),"1")</f>
        <v>1</v>
      </c>
      <c r="I247" s="6" t="str">
        <f>IFERROR(__xludf.DUMMYFUNCTION("""COMPUTED_VALUE"""),"26022989976")</f>
        <v>26022989976</v>
      </c>
      <c r="J247" s="1" t="str">
        <f>IFERROR(__xludf.DUMMYFUNCTION("""COMPUTED_VALUE"""),"02/02/2026 14:50:25")</f>
        <v>02/02/2026 14:50:25</v>
      </c>
      <c r="K247" s="1" t="str">
        <f>IFERROR(__xludf.DUMMYFUNCTION("""COMPUTED_VALUE"""),"ALYCIA THAUANA ALBUQUERQUE MOURA DE MELO")</f>
        <v>ALYCIA THAUANA ALBUQUERQUE MOURA DE MELO</v>
      </c>
      <c r="L247" s="5" t="str">
        <f>IFERROR(__xludf.DUMMYFUNCTION("""COMPUTED_VALUE"""),"000.874.154-96")</f>
        <v>000.874.154-96</v>
      </c>
      <c r="M247" s="5" t="str">
        <f>IFERROR(__xludf.DUMMYFUNCTION("""COMPUTED_VALUE"""),"04/10/2023")</f>
        <v>04/10/2023</v>
      </c>
      <c r="N247" s="1"/>
      <c r="O247" s="1" t="str">
        <f>IFERROR(__xludf.DUMMYFUNCTION("""COMPUTED_VALUE"""),"0")</f>
        <v>0</v>
      </c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5.75" customHeight="1">
      <c r="A248" s="1"/>
      <c r="B248" s="1" t="str">
        <f t="array" ref="B248">XLOOKUP(C248,Tabela_1[NOME ESCOLA PONTO ID],Tabela_1[REGIONAL],"NE",0)</f>
        <v>REGIONAL 1</v>
      </c>
      <c r="C248" s="3" t="str">
        <f>IFERROR(__xludf.DUMMYFUNCTION("""COMPUTED_VALUE"""),"CRECHE CIRANDA CIRANDINHA")</f>
        <v>CRECHE CIRANDA CIRANDINHA</v>
      </c>
      <c r="D248" s="1" t="str">
        <f>IFERROR(__xludf.DUMMYFUNCTION("""COMPUTED_VALUE"""),"26156270")</f>
        <v>26156270</v>
      </c>
      <c r="E248" s="1" t="str">
        <f>IFERROR(__xludf.DUMMYFUNCTION("""COMPUTED_VALUE"""),"INFANTIL 2")</f>
        <v>INFANTIL 2</v>
      </c>
      <c r="F248" s="1" t="str">
        <f>IFERROR(__xludf.DUMMYFUNCTION("""COMPUTED_VALUE"""),"Integral")</f>
        <v>Integral</v>
      </c>
      <c r="G248" s="1" t="str">
        <f>IFERROR(__xludf.DUMMYFUNCTION("""COMPUTED_VALUE"""),"Comum")</f>
        <v>Comum</v>
      </c>
      <c r="H248" s="1" t="str">
        <f>IFERROR(__xludf.DUMMYFUNCTION("""COMPUTED_VALUE"""),"2")</f>
        <v>2</v>
      </c>
      <c r="I248" s="6" t="str">
        <f>IFERROR(__xludf.DUMMYFUNCTION("""COMPUTED_VALUE"""),"26022840134")</f>
        <v>26022840134</v>
      </c>
      <c r="J248" s="1" t="str">
        <f>IFERROR(__xludf.DUMMYFUNCTION("""COMPUTED_VALUE"""),"09/02/2026 08:21:00")</f>
        <v>09/02/2026 08:21:00</v>
      </c>
      <c r="K248" s="1" t="str">
        <f>IFERROR(__xludf.DUMMYFUNCTION("""COMPUTED_VALUE"""),"ELOÁH VITORIA GOMES VASCONCELOS")</f>
        <v>ELOÁH VITORIA GOMES VASCONCELOS</v>
      </c>
      <c r="L248" s="5" t="str">
        <f>IFERROR(__xludf.DUMMYFUNCTION("""COMPUTED_VALUE"""),"186.021.224-70")</f>
        <v>186.021.224-70</v>
      </c>
      <c r="M248" s="5" t="str">
        <f>IFERROR(__xludf.DUMMYFUNCTION("""COMPUTED_VALUE"""),"15/07/2023")</f>
        <v>15/07/2023</v>
      </c>
      <c r="N248" s="1"/>
      <c r="O248" s="1" t="str">
        <f>IFERROR(__xludf.DUMMYFUNCTION("""COMPUTED_VALUE"""),"0")</f>
        <v>0</v>
      </c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5.75" customHeight="1">
      <c r="A249" s="1"/>
      <c r="B249" s="1" t="str">
        <f t="array" ref="B249">XLOOKUP(C249,Tabela_1[NOME ESCOLA PONTO ID],Tabela_1[REGIONAL],"NE",0)</f>
        <v>REGIONAL 1</v>
      </c>
      <c r="C249" s="3" t="str">
        <f>IFERROR(__xludf.DUMMYFUNCTION("""COMPUTED_VALUE"""),"CRECHE CIRANDA CIRANDINHA")</f>
        <v>CRECHE CIRANDA CIRANDINHA</v>
      </c>
      <c r="D249" s="1" t="str">
        <f>IFERROR(__xludf.DUMMYFUNCTION("""COMPUTED_VALUE"""),"26156270")</f>
        <v>26156270</v>
      </c>
      <c r="E249" s="1" t="str">
        <f>IFERROR(__xludf.DUMMYFUNCTION("""COMPUTED_VALUE"""),"INFANTIL 2")</f>
        <v>INFANTIL 2</v>
      </c>
      <c r="F249" s="1" t="str">
        <f>IFERROR(__xludf.DUMMYFUNCTION("""COMPUTED_VALUE"""),"Integral")</f>
        <v>Integral</v>
      </c>
      <c r="G249" s="1" t="str">
        <f>IFERROR(__xludf.DUMMYFUNCTION("""COMPUTED_VALUE"""),"Comum")</f>
        <v>Comum</v>
      </c>
      <c r="H249" s="1" t="str">
        <f>IFERROR(__xludf.DUMMYFUNCTION("""COMPUTED_VALUE"""),"3")</f>
        <v>3</v>
      </c>
      <c r="I249" s="6" t="str">
        <f>IFERROR(__xludf.DUMMYFUNCTION("""COMPUTED_VALUE"""),"26052949900")</f>
        <v>26052949900</v>
      </c>
      <c r="J249" s="1" t="str">
        <f>IFERROR(__xludf.DUMMYFUNCTION("""COMPUTED_VALUE"""),"15/05/2026 16:29:07")</f>
        <v>15/05/2026 16:29:07</v>
      </c>
      <c r="K249" s="1" t="str">
        <f>IFERROR(__xludf.DUMMYFUNCTION("""COMPUTED_VALUE"""),"ALANA MARIA LOPES DA SILVA")</f>
        <v>ALANA MARIA LOPES DA SILVA</v>
      </c>
      <c r="L249" s="5" t="str">
        <f>IFERROR(__xludf.DUMMYFUNCTION("""COMPUTED_VALUE"""),"002.579.874-01")</f>
        <v>002.579.874-01</v>
      </c>
      <c r="M249" s="5" t="str">
        <f>IFERROR(__xludf.DUMMYFUNCTION("""COMPUTED_VALUE"""),"18/02/2024")</f>
        <v>18/02/2024</v>
      </c>
      <c r="N249" s="1"/>
      <c r="O249" s="1" t="str">
        <f>IFERROR(__xludf.DUMMYFUNCTION("""COMPUTED_VALUE"""),"0")</f>
        <v>0</v>
      </c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5.75" customHeight="1">
      <c r="A250" s="1"/>
      <c r="B250" s="1" t="str">
        <f t="array" ref="B250">XLOOKUP(C250,Tabela_1[NOME ESCOLA PONTO ID],Tabela_1[REGIONAL],"NE",0)</f>
        <v>REGIONAL 1</v>
      </c>
      <c r="C250" s="3" t="str">
        <f>IFERROR(__xludf.DUMMYFUNCTION("""COMPUTED_VALUE"""),"CRECHE CIRANDA CIRANDINHA")</f>
        <v>CRECHE CIRANDA CIRANDINHA</v>
      </c>
      <c r="D250" s="1" t="str">
        <f>IFERROR(__xludf.DUMMYFUNCTION("""COMPUTED_VALUE"""),"26156270")</f>
        <v>26156270</v>
      </c>
      <c r="E250" s="1" t="str">
        <f>IFERROR(__xludf.DUMMYFUNCTION("""COMPUTED_VALUE"""),"INFANTIL 2")</f>
        <v>INFANTIL 2</v>
      </c>
      <c r="F250" s="1" t="str">
        <f>IFERROR(__xludf.DUMMYFUNCTION("""COMPUTED_VALUE"""),"Integral")</f>
        <v>Integral</v>
      </c>
      <c r="G250" s="1" t="str">
        <f>IFERROR(__xludf.DUMMYFUNCTION("""COMPUTED_VALUE"""),"Comum")</f>
        <v>Comum</v>
      </c>
      <c r="H250" s="1" t="str">
        <f>IFERROR(__xludf.DUMMYFUNCTION("""COMPUTED_VALUE"""),"4")</f>
        <v>4</v>
      </c>
      <c r="I250" s="6" t="str">
        <f>IFERROR(__xludf.DUMMYFUNCTION("""COMPUTED_VALUE"""),"26052750481")</f>
        <v>26052750481</v>
      </c>
      <c r="J250" s="1" t="str">
        <f>IFERROR(__xludf.DUMMYFUNCTION("""COMPUTED_VALUE"""),"26/05/2026 14:30:52")</f>
        <v>26/05/2026 14:30:52</v>
      </c>
      <c r="K250" s="1" t="str">
        <f>IFERROR(__xludf.DUMMYFUNCTION("""COMPUTED_VALUE"""),"RHAVI VICTOR RIBEIRO DO NASCIMENTO")</f>
        <v>RHAVI VICTOR RIBEIRO DO NASCIMENTO</v>
      </c>
      <c r="L250" s="7" t="str">
        <f>IFERROR(__xludf.DUMMYFUNCTION("""COMPUTED_VALUE"""),"000.875.144-78")</f>
        <v>000.875.144-78</v>
      </c>
      <c r="M250" s="7" t="str">
        <f>IFERROR(__xludf.DUMMYFUNCTION("""COMPUTED_VALUE"""),"20/05/2023")</f>
        <v>20/05/2023</v>
      </c>
      <c r="N250" s="1"/>
      <c r="O250" s="1" t="str">
        <f>IFERROR(__xludf.DUMMYFUNCTION("""COMPUTED_VALUE"""),"0")</f>
        <v>0</v>
      </c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5.75" customHeight="1">
      <c r="A251" s="1"/>
      <c r="B251" s="1" t="str">
        <f t="array" ref="B251">XLOOKUP(C251,Tabela_1[NOME ESCOLA PONTO ID],Tabela_1[REGIONAL],"NE",0)</f>
        <v>REGIONAL 1</v>
      </c>
      <c r="C251" s="3" t="str">
        <f>IFERROR(__xludf.DUMMYFUNCTION("""COMPUTED_VALUE"""),"CRECHE CIRANDA CIRANDINHA")</f>
        <v>CRECHE CIRANDA CIRANDINHA</v>
      </c>
      <c r="D251" s="1" t="str">
        <f>IFERROR(__xludf.DUMMYFUNCTION("""COMPUTED_VALUE"""),"26156270")</f>
        <v>26156270</v>
      </c>
      <c r="E251" s="1" t="str">
        <f>IFERROR(__xludf.DUMMYFUNCTION("""COMPUTED_VALUE"""),"INFANTIL 3")</f>
        <v>INFANTIL 3</v>
      </c>
      <c r="F251" s="1" t="str">
        <f>IFERROR(__xludf.DUMMYFUNCTION("""COMPUTED_VALUE"""),"Integral")</f>
        <v>Integral</v>
      </c>
      <c r="G251" s="1" t="str">
        <f>IFERROR(__xludf.DUMMYFUNCTION("""COMPUTED_VALUE"""),"Comum")</f>
        <v>Comum</v>
      </c>
      <c r="H251" s="1" t="str">
        <f>IFERROR(__xludf.DUMMYFUNCTION("""COMPUTED_VALUE"""),"1")</f>
        <v>1</v>
      </c>
      <c r="I251" s="6" t="str">
        <f>IFERROR(__xludf.DUMMYFUNCTION("""COMPUTED_VALUE"""),"26012252376")</f>
        <v>26012252376</v>
      </c>
      <c r="J251" s="1" t="str">
        <f>IFERROR(__xludf.DUMMYFUNCTION("""COMPUTED_VALUE"""),"28/01/2026 08:23:25")</f>
        <v>28/01/2026 08:23:25</v>
      </c>
      <c r="K251" s="1" t="str">
        <f>IFERROR(__xludf.DUMMYFUNCTION("""COMPUTED_VALUE"""),"LUCAS MIGUEL DA SILVA NOBRE")</f>
        <v>LUCAS MIGUEL DA SILVA NOBRE</v>
      </c>
      <c r="L251" s="5" t="str">
        <f>IFERROR(__xludf.DUMMYFUNCTION("""COMPUTED_VALUE"""),"184.637.614-96")</f>
        <v>184.637.614-96</v>
      </c>
      <c r="M251" s="5" t="str">
        <f>IFERROR(__xludf.DUMMYFUNCTION("""COMPUTED_VALUE"""),"18/02/2023")</f>
        <v>18/02/2023</v>
      </c>
      <c r="N251" s="1"/>
      <c r="O251" s="1" t="str">
        <f>IFERROR(__xludf.DUMMYFUNCTION("""COMPUTED_VALUE"""),"0")</f>
        <v>0</v>
      </c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5.75" customHeight="1">
      <c r="A252" s="1"/>
      <c r="B252" s="1" t="str">
        <f t="array" ref="B252">XLOOKUP(C252,Tabela_1[NOME ESCOLA PONTO ID],Tabela_1[REGIONAL],"NE",0)</f>
        <v>REGIONAL 1</v>
      </c>
      <c r="C252" s="3" t="str">
        <f>IFERROR(__xludf.DUMMYFUNCTION("""COMPUTED_VALUE"""),"CRECHE CIRANDA CIRANDINHA")</f>
        <v>CRECHE CIRANDA CIRANDINHA</v>
      </c>
      <c r="D252" s="1" t="str">
        <f>IFERROR(__xludf.DUMMYFUNCTION("""COMPUTED_VALUE"""),"26156270")</f>
        <v>26156270</v>
      </c>
      <c r="E252" s="1" t="str">
        <f>IFERROR(__xludf.DUMMYFUNCTION("""COMPUTED_VALUE"""),"INFANTIL 3")</f>
        <v>INFANTIL 3</v>
      </c>
      <c r="F252" s="1" t="str">
        <f>IFERROR(__xludf.DUMMYFUNCTION("""COMPUTED_VALUE"""),"Integral")</f>
        <v>Integral</v>
      </c>
      <c r="G252" s="1" t="str">
        <f>IFERROR(__xludf.DUMMYFUNCTION("""COMPUTED_VALUE"""),"Comum")</f>
        <v>Comum</v>
      </c>
      <c r="H252" s="1" t="str">
        <f>IFERROR(__xludf.DUMMYFUNCTION("""COMPUTED_VALUE"""),"2")</f>
        <v>2</v>
      </c>
      <c r="I252" s="6" t="str">
        <f>IFERROR(__xludf.DUMMYFUNCTION("""COMPUTED_VALUE"""),"26012946145")</f>
        <v>26012946145</v>
      </c>
      <c r="J252" s="1" t="str">
        <f>IFERROR(__xludf.DUMMYFUNCTION("""COMPUTED_VALUE"""),"30/01/2026 09:24:54")</f>
        <v>30/01/2026 09:24:54</v>
      </c>
      <c r="K252" s="1" t="str">
        <f>IFERROR(__xludf.DUMMYFUNCTION("""COMPUTED_VALUE"""),"KAMYLY VALÉRIA MARTINS DOS SANTOS")</f>
        <v>KAMYLY VALÉRIA MARTINS DOS SANTOS</v>
      </c>
      <c r="L252" s="5" t="str">
        <f>IFERROR(__xludf.DUMMYFUNCTION("""COMPUTED_VALUE"""),"182.750.634-26")</f>
        <v>182.750.634-26</v>
      </c>
      <c r="M252" s="5" t="str">
        <f>IFERROR(__xludf.DUMMYFUNCTION("""COMPUTED_VALUE"""),"27/06/2022")</f>
        <v>27/06/2022</v>
      </c>
      <c r="N252" s="1"/>
      <c r="O252" s="1" t="str">
        <f>IFERROR(__xludf.DUMMYFUNCTION("""COMPUTED_VALUE"""),"0")</f>
        <v>0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5.75" customHeight="1">
      <c r="A253" s="1"/>
      <c r="B253" s="1" t="str">
        <f t="array" ref="B253">XLOOKUP(C253,Tabela_1[NOME ESCOLA PONTO ID],Tabela_1[REGIONAL],"NE",0)</f>
        <v>REGIONAL 1</v>
      </c>
      <c r="C253" s="3" t="str">
        <f>IFERROR(__xludf.DUMMYFUNCTION("""COMPUTED_VALUE"""),"CRECHE CIRANDA CIRANDINHA")</f>
        <v>CRECHE CIRANDA CIRANDINHA</v>
      </c>
      <c r="D253" s="1" t="str">
        <f>IFERROR(__xludf.DUMMYFUNCTION("""COMPUTED_VALUE"""),"26156270")</f>
        <v>26156270</v>
      </c>
      <c r="E253" s="1" t="str">
        <f>IFERROR(__xludf.DUMMYFUNCTION("""COMPUTED_VALUE"""),"INFANTIL 3")</f>
        <v>INFANTIL 3</v>
      </c>
      <c r="F253" s="1" t="str">
        <f>IFERROR(__xludf.DUMMYFUNCTION("""COMPUTED_VALUE"""),"Integral")</f>
        <v>Integral</v>
      </c>
      <c r="G253" s="1" t="str">
        <f>IFERROR(__xludf.DUMMYFUNCTION("""COMPUTED_VALUE"""),"Comum")</f>
        <v>Comum</v>
      </c>
      <c r="H253" s="1" t="str">
        <f>IFERROR(__xludf.DUMMYFUNCTION("""COMPUTED_VALUE"""),"3")</f>
        <v>3</v>
      </c>
      <c r="I253" s="6" t="str">
        <f>IFERROR(__xludf.DUMMYFUNCTION("""COMPUTED_VALUE"""),"26022353658")</f>
        <v>26022353658</v>
      </c>
      <c r="J253" s="1" t="str">
        <f>IFERROR(__xludf.DUMMYFUNCTION("""COMPUTED_VALUE"""),"02/02/2026 11:47:44")</f>
        <v>02/02/2026 11:47:44</v>
      </c>
      <c r="K253" s="1" t="str">
        <f>IFERROR(__xludf.DUMMYFUNCTION("""COMPUTED_VALUE"""),"CLARICE HELOISE ALVES FERREIRA")</f>
        <v>CLARICE HELOISE ALVES FERREIRA</v>
      </c>
      <c r="L253" s="5" t="str">
        <f>IFERROR(__xludf.DUMMYFUNCTION("""COMPUTED_VALUE"""),"185.926.924-90")</f>
        <v>185.926.924-90</v>
      </c>
      <c r="M253" s="5" t="str">
        <f>IFERROR(__xludf.DUMMYFUNCTION("""COMPUTED_VALUE"""),"29/01/2023")</f>
        <v>29/01/2023</v>
      </c>
      <c r="N253" s="1"/>
      <c r="O253" s="1" t="str">
        <f>IFERROR(__xludf.DUMMYFUNCTION("""COMPUTED_VALUE"""),"0")</f>
        <v>0</v>
      </c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5.75" customHeight="1">
      <c r="A254" s="1"/>
      <c r="B254" s="1" t="str">
        <f t="array" ref="B254">XLOOKUP(C254,Tabela_1[NOME ESCOLA PONTO ID],Tabela_1[REGIONAL],"NE",0)</f>
        <v>REGIONAL 1</v>
      </c>
      <c r="C254" s="3" t="str">
        <f>IFERROR(__xludf.DUMMYFUNCTION("""COMPUTED_VALUE"""),"CRECHE CIRANDA CIRANDINHA")</f>
        <v>CRECHE CIRANDA CIRANDINHA</v>
      </c>
      <c r="D254" s="1" t="str">
        <f>IFERROR(__xludf.DUMMYFUNCTION("""COMPUTED_VALUE"""),"26156270")</f>
        <v>26156270</v>
      </c>
      <c r="E254" s="1" t="str">
        <f>IFERROR(__xludf.DUMMYFUNCTION("""COMPUTED_VALUE"""),"INFANTIL 3")</f>
        <v>INFANTIL 3</v>
      </c>
      <c r="F254" s="1" t="str">
        <f>IFERROR(__xludf.DUMMYFUNCTION("""COMPUTED_VALUE"""),"Integral")</f>
        <v>Integral</v>
      </c>
      <c r="G254" s="1" t="str">
        <f>IFERROR(__xludf.DUMMYFUNCTION("""COMPUTED_VALUE"""),"Comum")</f>
        <v>Comum</v>
      </c>
      <c r="H254" s="1" t="str">
        <f>IFERROR(__xludf.DUMMYFUNCTION("""COMPUTED_VALUE"""),"4")</f>
        <v>4</v>
      </c>
      <c r="I254" s="6" t="str">
        <f>IFERROR(__xludf.DUMMYFUNCTION("""COMPUTED_VALUE"""),"26022035913")</f>
        <v>26022035913</v>
      </c>
      <c r="J254" s="1" t="str">
        <f>IFERROR(__xludf.DUMMYFUNCTION("""COMPUTED_VALUE"""),"09/02/2026 19:24:03")</f>
        <v>09/02/2026 19:24:03</v>
      </c>
      <c r="K254" s="1" t="str">
        <f>IFERROR(__xludf.DUMMYFUNCTION("""COMPUTED_VALUE"""),"THAYLLANE ALLANA OLIVEIRA SILVA")</f>
        <v>THAYLLANE ALLANA OLIVEIRA SILVA</v>
      </c>
      <c r="L254" s="5" t="str">
        <f>IFERROR(__xludf.DUMMYFUNCTION("""COMPUTED_VALUE"""),"184.525.014-12")</f>
        <v>184.525.014-12</v>
      </c>
      <c r="M254" s="5" t="str">
        <f>IFERROR(__xludf.DUMMYFUNCTION("""COMPUTED_VALUE"""),"29/01/2023")</f>
        <v>29/01/2023</v>
      </c>
      <c r="N254" s="1"/>
      <c r="O254" s="1" t="str">
        <f>IFERROR(__xludf.DUMMYFUNCTION("""COMPUTED_VALUE"""),"0")</f>
        <v>0</v>
      </c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5.75" customHeight="1">
      <c r="A255" s="1"/>
      <c r="B255" s="1" t="str">
        <f t="array" ref="B255">XLOOKUP(C255,Tabela_1[NOME ESCOLA PONTO ID],Tabela_1[REGIONAL],"NE",0)</f>
        <v>REGIONAL 1</v>
      </c>
      <c r="C255" s="3" t="str">
        <f>IFERROR(__xludf.DUMMYFUNCTION("""COMPUTED_VALUE"""),"CRECHE CIRANDA CIRANDINHA")</f>
        <v>CRECHE CIRANDA CIRANDINHA</v>
      </c>
      <c r="D255" s="1" t="str">
        <f>IFERROR(__xludf.DUMMYFUNCTION("""COMPUTED_VALUE"""),"26156270")</f>
        <v>26156270</v>
      </c>
      <c r="E255" s="1" t="str">
        <f>IFERROR(__xludf.DUMMYFUNCTION("""COMPUTED_VALUE"""),"INFANTIL 3")</f>
        <v>INFANTIL 3</v>
      </c>
      <c r="F255" s="1" t="str">
        <f>IFERROR(__xludf.DUMMYFUNCTION("""COMPUTED_VALUE"""),"Integral")</f>
        <v>Integral</v>
      </c>
      <c r="G255" s="1" t="str">
        <f>IFERROR(__xludf.DUMMYFUNCTION("""COMPUTED_VALUE"""),"Comum")</f>
        <v>Comum</v>
      </c>
      <c r="H255" s="1" t="str">
        <f>IFERROR(__xludf.DUMMYFUNCTION("""COMPUTED_VALUE"""),"5")</f>
        <v>5</v>
      </c>
      <c r="I255" s="6" t="str">
        <f>IFERROR(__xludf.DUMMYFUNCTION("""COMPUTED_VALUE"""),"26022737699")</f>
        <v>26022737699</v>
      </c>
      <c r="J255" s="1" t="str">
        <f>IFERROR(__xludf.DUMMYFUNCTION("""COMPUTED_VALUE"""),"26/02/2026 23:38:28")</f>
        <v>26/02/2026 23:38:28</v>
      </c>
      <c r="K255" s="1" t="str">
        <f>IFERROR(__xludf.DUMMYFUNCTION("""COMPUTED_VALUE"""),"CALEFFI EPITACIO DOS SANTOS ROCHA")</f>
        <v>CALEFFI EPITACIO DOS SANTOS ROCHA</v>
      </c>
      <c r="L255" s="5" t="str">
        <f>IFERROR(__xludf.DUMMYFUNCTION("""COMPUTED_VALUE"""),"181.851.404-48")</f>
        <v>181.851.404-48</v>
      </c>
      <c r="M255" s="5" t="str">
        <f>IFERROR(__xludf.DUMMYFUNCTION("""COMPUTED_VALUE"""),"04/06/2022")</f>
        <v>04/06/2022</v>
      </c>
      <c r="N255" s="1"/>
      <c r="O255" s="1" t="str">
        <f>IFERROR(__xludf.DUMMYFUNCTION("""COMPUTED_VALUE"""),"0")</f>
        <v>0</v>
      </c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5.75" customHeight="1">
      <c r="A256" s="1"/>
      <c r="B256" s="1" t="str">
        <f t="array" ref="B256">XLOOKUP(C256,Tabela_1[NOME ESCOLA PONTO ID],Tabela_1[REGIONAL],"NE",0)</f>
        <v>REGIONAL 1</v>
      </c>
      <c r="C256" s="3" t="str">
        <f>IFERROR(__xludf.DUMMYFUNCTION("""COMPUTED_VALUE"""),"CRECHE CIRANDA CIRANDINHA")</f>
        <v>CRECHE CIRANDA CIRANDINHA</v>
      </c>
      <c r="D256" s="1" t="str">
        <f>IFERROR(__xludf.DUMMYFUNCTION("""COMPUTED_VALUE"""),"26156270")</f>
        <v>26156270</v>
      </c>
      <c r="E256" s="1" t="str">
        <f>IFERROR(__xludf.DUMMYFUNCTION("""COMPUTED_VALUE"""),"INFANTIL 3")</f>
        <v>INFANTIL 3</v>
      </c>
      <c r="F256" s="1" t="str">
        <f>IFERROR(__xludf.DUMMYFUNCTION("""COMPUTED_VALUE"""),"Integral")</f>
        <v>Integral</v>
      </c>
      <c r="G256" s="1" t="str">
        <f>IFERROR(__xludf.DUMMYFUNCTION("""COMPUTED_VALUE"""),"Comum")</f>
        <v>Comum</v>
      </c>
      <c r="H256" s="1" t="str">
        <f>IFERROR(__xludf.DUMMYFUNCTION("""COMPUTED_VALUE"""),"6")</f>
        <v>6</v>
      </c>
      <c r="I256" s="6" t="str">
        <f>IFERROR(__xludf.DUMMYFUNCTION("""COMPUTED_VALUE"""),"26032705984")</f>
        <v>26032705984</v>
      </c>
      <c r="J256" s="1" t="str">
        <f>IFERROR(__xludf.DUMMYFUNCTION("""COMPUTED_VALUE"""),"24/03/2026 10:37:29")</f>
        <v>24/03/2026 10:37:29</v>
      </c>
      <c r="K256" s="1" t="str">
        <f>IFERROR(__xludf.DUMMYFUNCTION("""COMPUTED_VALUE"""),"RICARDO MATEUS SILVA CAVALCANTE FELIX")</f>
        <v>RICARDO MATEUS SILVA CAVALCANTE FELIX</v>
      </c>
      <c r="L256" s="5" t="str">
        <f>IFERROR(__xludf.DUMMYFUNCTION("""COMPUTED_VALUE"""),"182.595.494-17")</f>
        <v>182.595.494-17</v>
      </c>
      <c r="M256" s="5" t="str">
        <f>IFERROR(__xludf.DUMMYFUNCTION("""COMPUTED_VALUE"""),"20/08/2022")</f>
        <v>20/08/2022</v>
      </c>
      <c r="N256" s="1"/>
      <c r="O256" s="1" t="str">
        <f>IFERROR(__xludf.DUMMYFUNCTION("""COMPUTED_VALUE"""),"0")</f>
        <v>0</v>
      </c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5.75" customHeight="1">
      <c r="A257" s="1"/>
      <c r="B257" s="1" t="str">
        <f t="array" ref="B257">XLOOKUP(C257,Tabela_1[NOME ESCOLA PONTO ID],Tabela_1[REGIONAL],"NE",0)</f>
        <v>REGIONAL 1</v>
      </c>
      <c r="C257" s="3" t="str">
        <f>IFERROR(__xludf.DUMMYFUNCTION("""COMPUTED_VALUE"""),"CRECHE CIRANDA CIRANDINHA")</f>
        <v>CRECHE CIRANDA CIRANDINHA</v>
      </c>
      <c r="D257" s="1" t="str">
        <f>IFERROR(__xludf.DUMMYFUNCTION("""COMPUTED_VALUE"""),"26156270")</f>
        <v>26156270</v>
      </c>
      <c r="E257" s="1" t="str">
        <f>IFERROR(__xludf.DUMMYFUNCTION("""COMPUTED_VALUE"""),"INFANTIL 3")</f>
        <v>INFANTIL 3</v>
      </c>
      <c r="F257" s="1" t="str">
        <f>IFERROR(__xludf.DUMMYFUNCTION("""COMPUTED_VALUE"""),"Integral")</f>
        <v>Integral</v>
      </c>
      <c r="G257" s="1" t="str">
        <f>IFERROR(__xludf.DUMMYFUNCTION("""COMPUTED_VALUE"""),"Comum")</f>
        <v>Comum</v>
      </c>
      <c r="H257" s="1" t="str">
        <f>IFERROR(__xludf.DUMMYFUNCTION("""COMPUTED_VALUE"""),"7")</f>
        <v>7</v>
      </c>
      <c r="I257" s="6" t="str">
        <f>IFERROR(__xludf.DUMMYFUNCTION("""COMPUTED_VALUE"""),"26042105285")</f>
        <v>26042105285</v>
      </c>
      <c r="J257" s="1" t="str">
        <f>IFERROR(__xludf.DUMMYFUNCTION("""COMPUTED_VALUE"""),"23/04/2026 12:52:15")</f>
        <v>23/04/2026 12:52:15</v>
      </c>
      <c r="K257" s="1" t="str">
        <f>IFERROR(__xludf.DUMMYFUNCTION("""COMPUTED_VALUE"""),"YKARO MIGUEL DA SILVA GONÇALVES")</f>
        <v>YKARO MIGUEL DA SILVA GONÇALVES</v>
      </c>
      <c r="L257" s="5" t="str">
        <f>IFERROR(__xludf.DUMMYFUNCTION("""COMPUTED_VALUE"""),"181.678.504-04")</f>
        <v>181.678.504-04</v>
      </c>
      <c r="M257" s="5" t="str">
        <f>IFERROR(__xludf.DUMMYFUNCTION("""COMPUTED_VALUE"""),"20/05/2022")</f>
        <v>20/05/2022</v>
      </c>
      <c r="N257" s="1"/>
      <c r="O257" s="1" t="str">
        <f>IFERROR(__xludf.DUMMYFUNCTION("""COMPUTED_VALUE"""),"0")</f>
        <v>0</v>
      </c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5.75" customHeight="1">
      <c r="A258" s="1"/>
      <c r="B258" s="1" t="str">
        <f t="array" ref="B258">XLOOKUP(C258,Tabela_1[NOME ESCOLA PONTO ID],Tabela_1[REGIONAL],"NE",0)</f>
        <v>REGIONAL 6</v>
      </c>
      <c r="C258" s="3" t="str">
        <f>IFERROR(__xludf.DUMMYFUNCTION("""COMPUTED_VALUE"""),"CRECHE MERCIA DE ALBUQUERQUE")</f>
        <v>CRECHE MERCIA DE ALBUQUERQUE</v>
      </c>
      <c r="D258" s="1" t="str">
        <f>IFERROR(__xludf.DUMMYFUNCTION("""COMPUTED_VALUE"""),"26187663")</f>
        <v>26187663</v>
      </c>
      <c r="E258" s="1" t="str">
        <f>IFERROR(__xludf.DUMMYFUNCTION("""COMPUTED_VALUE"""),"INFANTIL 1")</f>
        <v>INFANTIL 1</v>
      </c>
      <c r="F258" s="1" t="str">
        <f>IFERROR(__xludf.DUMMYFUNCTION("""COMPUTED_VALUE"""),"Integral")</f>
        <v>Integral</v>
      </c>
      <c r="G258" s="1" t="str">
        <f>IFERROR(__xludf.DUMMYFUNCTION("""COMPUTED_VALUE"""),"Comum")</f>
        <v>Comum</v>
      </c>
      <c r="H258" s="1" t="str">
        <f>IFERROR(__xludf.DUMMYFUNCTION("""COMPUTED_VALUE"""),"1")</f>
        <v>1</v>
      </c>
      <c r="I258" s="6" t="str">
        <f>IFERROR(__xludf.DUMMYFUNCTION("""COMPUTED_VALUE"""),"26042941559")</f>
        <v>26042941559</v>
      </c>
      <c r="J258" s="1" t="str">
        <f>IFERROR(__xludf.DUMMYFUNCTION("""COMPUTED_VALUE"""),"08/04/2026 10:22:51")</f>
        <v>08/04/2026 10:22:51</v>
      </c>
      <c r="K258" s="1" t="str">
        <f>IFERROR(__xludf.DUMMYFUNCTION("""COMPUTED_VALUE"""),"AQUILES ALEXANDRE RODRIGUES DA SILVA")</f>
        <v>AQUILES ALEXANDRE RODRIGUES DA SILVA</v>
      </c>
      <c r="L258" s="5" t="str">
        <f>IFERROR(__xludf.DUMMYFUNCTION("""COMPUTED_VALUE"""),"006.893.874-82")</f>
        <v>006.893.874-82</v>
      </c>
      <c r="M258" s="5" t="str">
        <f>IFERROR(__xludf.DUMMYFUNCTION("""COMPUTED_VALUE"""),"29/07/2025")</f>
        <v>29/07/2025</v>
      </c>
      <c r="N258" s="1"/>
      <c r="O258" s="1" t="str">
        <f>IFERROR(__xludf.DUMMYFUNCTION("""COMPUTED_VALUE"""),"0")</f>
        <v>0</v>
      </c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5.75" customHeight="1">
      <c r="A259" s="1"/>
      <c r="B259" s="1" t="str">
        <f t="array" ref="B259">XLOOKUP(C259,Tabela_1[NOME ESCOLA PONTO ID],Tabela_1[REGIONAL],"NE",0)</f>
        <v>REGIONAL 6</v>
      </c>
      <c r="C259" s="3" t="str">
        <f>IFERROR(__xludf.DUMMYFUNCTION("""COMPUTED_VALUE"""),"CRECHE MERCIA DE ALBUQUERQUE")</f>
        <v>CRECHE MERCIA DE ALBUQUERQUE</v>
      </c>
      <c r="D259" s="1" t="str">
        <f>IFERROR(__xludf.DUMMYFUNCTION("""COMPUTED_VALUE"""),"26187663")</f>
        <v>26187663</v>
      </c>
      <c r="E259" s="1" t="str">
        <f>IFERROR(__xludf.DUMMYFUNCTION("""COMPUTED_VALUE"""),"INFANTIL 1")</f>
        <v>INFANTIL 1</v>
      </c>
      <c r="F259" s="1" t="str">
        <f>IFERROR(__xludf.DUMMYFUNCTION("""COMPUTED_VALUE"""),"Integral")</f>
        <v>Integral</v>
      </c>
      <c r="G259" s="1" t="str">
        <f>IFERROR(__xludf.DUMMYFUNCTION("""COMPUTED_VALUE"""),"Comum")</f>
        <v>Comum</v>
      </c>
      <c r="H259" s="1" t="str">
        <f>IFERROR(__xludf.DUMMYFUNCTION("""COMPUTED_VALUE"""),"2")</f>
        <v>2</v>
      </c>
      <c r="I259" s="6" t="str">
        <f>IFERROR(__xludf.DUMMYFUNCTION("""COMPUTED_VALUE"""),"26042875517")</f>
        <v>26042875517</v>
      </c>
      <c r="J259" s="1" t="str">
        <f>IFERROR(__xludf.DUMMYFUNCTION("""COMPUTED_VALUE"""),"11/04/2026 18:35:35")</f>
        <v>11/04/2026 18:35:35</v>
      </c>
      <c r="K259" s="1" t="str">
        <f>IFERROR(__xludf.DUMMYFUNCTION("""COMPUTED_VALUE"""),"ESTHER GABRIELY OLIVEIRA DA SILVA")</f>
        <v>ESTHER GABRIELY OLIVEIRA DA SILVA</v>
      </c>
      <c r="L259" s="5" t="str">
        <f>IFERROR(__xludf.DUMMYFUNCTION("""COMPUTED_VALUE"""),"713.786.274-82")</f>
        <v>713.786.274-82</v>
      </c>
      <c r="M259" s="5" t="str">
        <f>IFERROR(__xludf.DUMMYFUNCTION("""COMPUTED_VALUE"""),"24/08/2025")</f>
        <v>24/08/2025</v>
      </c>
      <c r="N259" s="1"/>
      <c r="O259" s="1" t="str">
        <f>IFERROR(__xludf.DUMMYFUNCTION("""COMPUTED_VALUE"""),"0")</f>
        <v>0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5.75" customHeight="1">
      <c r="A260" s="1"/>
      <c r="B260" s="1" t="str">
        <f t="array" ref="B260">XLOOKUP(C260,Tabela_1[NOME ESCOLA PONTO ID],Tabela_1[REGIONAL],"NE",0)</f>
        <v>REGIONAL 6</v>
      </c>
      <c r="C260" s="3" t="str">
        <f>IFERROR(__xludf.DUMMYFUNCTION("""COMPUTED_VALUE"""),"CRECHE MERCIA DE ALBUQUERQUE")</f>
        <v>CRECHE MERCIA DE ALBUQUERQUE</v>
      </c>
      <c r="D260" s="1" t="str">
        <f>IFERROR(__xludf.DUMMYFUNCTION("""COMPUTED_VALUE"""),"26187663")</f>
        <v>26187663</v>
      </c>
      <c r="E260" s="1" t="str">
        <f>IFERROR(__xludf.DUMMYFUNCTION("""COMPUTED_VALUE"""),"INFANTIL 1")</f>
        <v>INFANTIL 1</v>
      </c>
      <c r="F260" s="1" t="str">
        <f>IFERROR(__xludf.DUMMYFUNCTION("""COMPUTED_VALUE"""),"Integral")</f>
        <v>Integral</v>
      </c>
      <c r="G260" s="1" t="str">
        <f>IFERROR(__xludf.DUMMYFUNCTION("""COMPUTED_VALUE"""),"Comum")</f>
        <v>Comum</v>
      </c>
      <c r="H260" s="1" t="str">
        <f>IFERROR(__xludf.DUMMYFUNCTION("""COMPUTED_VALUE"""),"3")</f>
        <v>3</v>
      </c>
      <c r="I260" s="6" t="str">
        <f>IFERROR(__xludf.DUMMYFUNCTION("""COMPUTED_VALUE"""),"26052004245")</f>
        <v>26052004245</v>
      </c>
      <c r="J260" s="1" t="str">
        <f>IFERROR(__xludf.DUMMYFUNCTION("""COMPUTED_VALUE"""),"04/05/2026 08:16:27")</f>
        <v>04/05/2026 08:16:27</v>
      </c>
      <c r="K260" s="1" t="str">
        <f>IFERROR(__xludf.DUMMYFUNCTION("""COMPUTED_VALUE"""),"KAIC CAINAN TOBIAS LEITE BOMFIM")</f>
        <v>KAIC CAINAN TOBIAS LEITE BOMFIM</v>
      </c>
      <c r="L260" s="5" t="str">
        <f>IFERROR(__xludf.DUMMYFUNCTION("""COMPUTED_VALUE"""),"003.941.314-44")</f>
        <v>003.941.314-44</v>
      </c>
      <c r="M260" s="5" t="str">
        <f>IFERROR(__xludf.DUMMYFUNCTION("""COMPUTED_VALUE"""),"24/08/2024")</f>
        <v>24/08/2024</v>
      </c>
      <c r="N260" s="1"/>
      <c r="O260" s="1" t="str">
        <f>IFERROR(__xludf.DUMMYFUNCTION("""COMPUTED_VALUE"""),"0")</f>
        <v>0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5.75" customHeight="1">
      <c r="A261" s="1"/>
      <c r="B261" s="1" t="str">
        <f t="array" ref="B261">XLOOKUP(C261,Tabela_1[NOME ESCOLA PONTO ID],Tabela_1[REGIONAL],"NE",0)</f>
        <v>REGIONAL 6</v>
      </c>
      <c r="C261" s="3" t="str">
        <f>IFERROR(__xludf.DUMMYFUNCTION("""COMPUTED_VALUE"""),"CRECHE MERCIA DE ALBUQUERQUE")</f>
        <v>CRECHE MERCIA DE ALBUQUERQUE</v>
      </c>
      <c r="D261" s="1" t="str">
        <f>IFERROR(__xludf.DUMMYFUNCTION("""COMPUTED_VALUE"""),"26187663")</f>
        <v>26187663</v>
      </c>
      <c r="E261" s="1" t="str">
        <f>IFERROR(__xludf.DUMMYFUNCTION("""COMPUTED_VALUE"""),"INFANTIL 1")</f>
        <v>INFANTIL 1</v>
      </c>
      <c r="F261" s="1" t="str">
        <f>IFERROR(__xludf.DUMMYFUNCTION("""COMPUTED_VALUE"""),"Integral")</f>
        <v>Integral</v>
      </c>
      <c r="G261" s="1" t="str">
        <f>IFERROR(__xludf.DUMMYFUNCTION("""COMPUTED_VALUE"""),"Comum")</f>
        <v>Comum</v>
      </c>
      <c r="H261" s="1" t="str">
        <f>IFERROR(__xludf.DUMMYFUNCTION("""COMPUTED_VALUE"""),"4")</f>
        <v>4</v>
      </c>
      <c r="I261" s="6" t="str">
        <f>IFERROR(__xludf.DUMMYFUNCTION("""COMPUTED_VALUE"""),"26052161645")</f>
        <v>26052161645</v>
      </c>
      <c r="J261" s="1" t="str">
        <f>IFERROR(__xludf.DUMMYFUNCTION("""COMPUTED_VALUE"""),"21/05/2026 14:53:13")</f>
        <v>21/05/2026 14:53:13</v>
      </c>
      <c r="K261" s="1" t="str">
        <f>IFERROR(__xludf.DUMMYFUNCTION("""COMPUTED_VALUE"""),"Erick Paes de Melo Ferreira")</f>
        <v>Erick Paes de Melo Ferreira</v>
      </c>
      <c r="L261" s="5" t="str">
        <f>IFERROR(__xludf.DUMMYFUNCTION("""COMPUTED_VALUE"""),"034.993.594-72")</f>
        <v>034.993.594-72</v>
      </c>
      <c r="M261" s="5" t="str">
        <f>IFERROR(__xludf.DUMMYFUNCTION("""COMPUTED_VALUE"""),"30/12/2025")</f>
        <v>30/12/2025</v>
      </c>
      <c r="N261" s="1"/>
      <c r="O261" s="1" t="str">
        <f>IFERROR(__xludf.DUMMYFUNCTION("""COMPUTED_VALUE"""),"0")</f>
        <v>0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5.75" customHeight="1">
      <c r="A262" s="1"/>
      <c r="B262" s="1" t="str">
        <f t="array" ref="B262">XLOOKUP(C262,Tabela_1[NOME ESCOLA PONTO ID],Tabela_1[REGIONAL],"NE",0)</f>
        <v>REGIONAL 6</v>
      </c>
      <c r="C262" s="3" t="str">
        <f>IFERROR(__xludf.DUMMYFUNCTION("""COMPUTED_VALUE"""),"CRECHE MERCIA DE ALBUQUERQUE")</f>
        <v>CRECHE MERCIA DE ALBUQUERQUE</v>
      </c>
      <c r="D262" s="1" t="str">
        <f>IFERROR(__xludf.DUMMYFUNCTION("""COMPUTED_VALUE"""),"26187663")</f>
        <v>26187663</v>
      </c>
      <c r="E262" s="1" t="str">
        <f>IFERROR(__xludf.DUMMYFUNCTION("""COMPUTED_VALUE"""),"INFANTIL 1")</f>
        <v>INFANTIL 1</v>
      </c>
      <c r="F262" s="1" t="str">
        <f>IFERROR(__xludf.DUMMYFUNCTION("""COMPUTED_VALUE"""),"Integral")</f>
        <v>Integral</v>
      </c>
      <c r="G262" s="1" t="str">
        <f>IFERROR(__xludf.DUMMYFUNCTION("""COMPUTED_VALUE"""),"Comum")</f>
        <v>Comum</v>
      </c>
      <c r="H262" s="1" t="str">
        <f>IFERROR(__xludf.DUMMYFUNCTION("""COMPUTED_VALUE"""),"5")</f>
        <v>5</v>
      </c>
      <c r="I262" s="6" t="str">
        <f>IFERROR(__xludf.DUMMYFUNCTION("""COMPUTED_VALUE"""),"26062215490")</f>
        <v>26062215490</v>
      </c>
      <c r="J262" s="1" t="str">
        <f>IFERROR(__xludf.DUMMYFUNCTION("""COMPUTED_VALUE"""),"08/06/2026 13:47:18")</f>
        <v>08/06/2026 13:47:18</v>
      </c>
      <c r="K262" s="1" t="str">
        <f>IFERROR(__xludf.DUMMYFUNCTION("""COMPUTED_VALUE"""),"Luís Miguel Barros Borges")</f>
        <v>Luís Miguel Barros Borges</v>
      </c>
      <c r="L262" s="5" t="str">
        <f>IFERROR(__xludf.DUMMYFUNCTION("""COMPUTED_VALUE"""),"005.346.544-01")</f>
        <v>005.346.544-01</v>
      </c>
      <c r="M262" s="5" t="str">
        <f>IFERROR(__xludf.DUMMYFUNCTION("""COMPUTED_VALUE"""),"11/02/2025")</f>
        <v>11/02/2025</v>
      </c>
      <c r="N262" s="1"/>
      <c r="O262" s="1" t="str">
        <f>IFERROR(__xludf.DUMMYFUNCTION("""COMPUTED_VALUE"""),"0")</f>
        <v>0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5.75" customHeight="1">
      <c r="A263" s="1"/>
      <c r="B263" s="1" t="str">
        <f t="array" ref="B263">XLOOKUP(C263,Tabela_1[NOME ESCOLA PONTO ID],Tabela_1[REGIONAL],"NE",0)</f>
        <v>REGIONAL 6</v>
      </c>
      <c r="C263" s="3" t="str">
        <f>IFERROR(__xludf.DUMMYFUNCTION("""COMPUTED_VALUE"""),"CRECHE MERCIA DE ALBUQUERQUE")</f>
        <v>CRECHE MERCIA DE ALBUQUERQUE</v>
      </c>
      <c r="D263" s="1" t="str">
        <f>IFERROR(__xludf.DUMMYFUNCTION("""COMPUTED_VALUE"""),"26187663")</f>
        <v>26187663</v>
      </c>
      <c r="E263" s="1" t="str">
        <f>IFERROR(__xludf.DUMMYFUNCTION("""COMPUTED_VALUE"""),"INFANTIL 2")</f>
        <v>INFANTIL 2</v>
      </c>
      <c r="F263" s="1" t="str">
        <f>IFERROR(__xludf.DUMMYFUNCTION("""COMPUTED_VALUE"""),"Integral")</f>
        <v>Integral</v>
      </c>
      <c r="G263" s="1" t="str">
        <f>IFERROR(__xludf.DUMMYFUNCTION("""COMPUTED_VALUE"""),"Comum")</f>
        <v>Comum</v>
      </c>
      <c r="H263" s="1" t="str">
        <f>IFERROR(__xludf.DUMMYFUNCTION("""COMPUTED_VALUE"""),"1")</f>
        <v>1</v>
      </c>
      <c r="I263" s="6" t="str">
        <f>IFERROR(__xludf.DUMMYFUNCTION("""COMPUTED_VALUE"""),"26012899801")</f>
        <v>26012899801</v>
      </c>
      <c r="J263" s="1" t="str">
        <f>IFERROR(__xludf.DUMMYFUNCTION("""COMPUTED_VALUE"""),"30/01/2026 10:49:18")</f>
        <v>30/01/2026 10:49:18</v>
      </c>
      <c r="K263" s="1" t="str">
        <f>IFERROR(__xludf.DUMMYFUNCTION("""COMPUTED_VALUE"""),"ELIZABETH CAVALCANTI")</f>
        <v>ELIZABETH CAVALCANTI</v>
      </c>
      <c r="L263" s="7" t="str">
        <f>IFERROR(__xludf.DUMMYFUNCTION("""COMPUTED_VALUE"""),"002.874.654-62")</f>
        <v>002.874.654-62</v>
      </c>
      <c r="M263" s="5" t="str">
        <f>IFERROR(__xludf.DUMMYFUNCTION("""COMPUTED_VALUE"""),"25/09/2023")</f>
        <v>25/09/2023</v>
      </c>
      <c r="N263" s="1"/>
      <c r="O263" s="1" t="str">
        <f>IFERROR(__xludf.DUMMYFUNCTION("""COMPUTED_VALUE"""),"0")</f>
        <v>0</v>
      </c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5.75" customHeight="1">
      <c r="A264" s="1"/>
      <c r="B264" s="1" t="str">
        <f t="array" ref="B264">XLOOKUP(C264,Tabela_1[NOME ESCOLA PONTO ID],Tabela_1[REGIONAL],"NE",0)</f>
        <v>REGIONAL 6</v>
      </c>
      <c r="C264" s="3" t="str">
        <f>IFERROR(__xludf.DUMMYFUNCTION("""COMPUTED_VALUE"""),"CRECHE MERCIA DE ALBUQUERQUE")</f>
        <v>CRECHE MERCIA DE ALBUQUERQUE</v>
      </c>
      <c r="D264" s="1" t="str">
        <f>IFERROR(__xludf.DUMMYFUNCTION("""COMPUTED_VALUE"""),"26187663")</f>
        <v>26187663</v>
      </c>
      <c r="E264" s="1" t="str">
        <f>IFERROR(__xludf.DUMMYFUNCTION("""COMPUTED_VALUE"""),"INFANTIL 2")</f>
        <v>INFANTIL 2</v>
      </c>
      <c r="F264" s="1" t="str">
        <f>IFERROR(__xludf.DUMMYFUNCTION("""COMPUTED_VALUE"""),"Integral")</f>
        <v>Integral</v>
      </c>
      <c r="G264" s="1" t="str">
        <f>IFERROR(__xludf.DUMMYFUNCTION("""COMPUTED_VALUE"""),"Comum")</f>
        <v>Comum</v>
      </c>
      <c r="H264" s="1" t="str">
        <f>IFERROR(__xludf.DUMMYFUNCTION("""COMPUTED_VALUE"""),"2")</f>
        <v>2</v>
      </c>
      <c r="I264" s="6" t="str">
        <f>IFERROR(__xludf.DUMMYFUNCTION("""COMPUTED_VALUE"""),"26032416028")</f>
        <v>26032416028</v>
      </c>
      <c r="J264" s="1" t="str">
        <f>IFERROR(__xludf.DUMMYFUNCTION("""COMPUTED_VALUE"""),"02/03/2026 15:50:23")</f>
        <v>02/03/2026 15:50:23</v>
      </c>
      <c r="K264" s="1" t="str">
        <f>IFERROR(__xludf.DUMMYFUNCTION("""COMPUTED_VALUE"""),"JOSÉ HENRIQUE DA SILVA FILHO")</f>
        <v>JOSÉ HENRIQUE DA SILVA FILHO</v>
      </c>
      <c r="L264" s="5" t="str">
        <f>IFERROR(__xludf.DUMMYFUNCTION("""COMPUTED_VALUE"""),"186.055.224-29")</f>
        <v>186.055.224-29</v>
      </c>
      <c r="M264" s="5" t="str">
        <f>IFERROR(__xludf.DUMMYFUNCTION("""COMPUTED_VALUE"""),"25/07/2023")</f>
        <v>25/07/2023</v>
      </c>
      <c r="N264" s="1"/>
      <c r="O264" s="1" t="str">
        <f>IFERROR(__xludf.DUMMYFUNCTION("""COMPUTED_VALUE"""),"0")</f>
        <v>0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5.75" customHeight="1">
      <c r="A265" s="1"/>
      <c r="B265" s="1" t="str">
        <f t="array" ref="B265">XLOOKUP(C265,Tabela_1[NOME ESCOLA PONTO ID],Tabela_1[REGIONAL],"NE",0)</f>
        <v>REGIONAL 6</v>
      </c>
      <c r="C265" s="3" t="str">
        <f>IFERROR(__xludf.DUMMYFUNCTION("""COMPUTED_VALUE"""),"CRECHE MERCIA DE ALBUQUERQUE")</f>
        <v>CRECHE MERCIA DE ALBUQUERQUE</v>
      </c>
      <c r="D265" s="1" t="str">
        <f>IFERROR(__xludf.DUMMYFUNCTION("""COMPUTED_VALUE"""),"26187663")</f>
        <v>26187663</v>
      </c>
      <c r="E265" s="1" t="str">
        <f>IFERROR(__xludf.DUMMYFUNCTION("""COMPUTED_VALUE"""),"INFANTIL 2")</f>
        <v>INFANTIL 2</v>
      </c>
      <c r="F265" s="1" t="str">
        <f>IFERROR(__xludf.DUMMYFUNCTION("""COMPUTED_VALUE"""),"Integral")</f>
        <v>Integral</v>
      </c>
      <c r="G265" s="1" t="str">
        <f>IFERROR(__xludf.DUMMYFUNCTION("""COMPUTED_VALUE"""),"Comum")</f>
        <v>Comum</v>
      </c>
      <c r="H265" s="1" t="str">
        <f>IFERROR(__xludf.DUMMYFUNCTION("""COMPUTED_VALUE"""),"3")</f>
        <v>3</v>
      </c>
      <c r="I265" s="6" t="str">
        <f>IFERROR(__xludf.DUMMYFUNCTION("""COMPUTED_VALUE"""),"26032388105")</f>
        <v>26032388105</v>
      </c>
      <c r="J265" s="1" t="str">
        <f>IFERROR(__xludf.DUMMYFUNCTION("""COMPUTED_VALUE"""),"11/03/2026 07:47:14")</f>
        <v>11/03/2026 07:47:14</v>
      </c>
      <c r="K265" s="1" t="str">
        <f>IFERROR(__xludf.DUMMYFUNCTION("""COMPUTED_VALUE"""),"THEO DAVI BARBOSA DA SILVA")</f>
        <v>THEO DAVI BARBOSA DA SILVA</v>
      </c>
      <c r="L265" s="5" t="str">
        <f>IFERROR(__xludf.DUMMYFUNCTION("""COMPUTED_VALUE"""),"000.011.754-40")</f>
        <v>000.011.754-40</v>
      </c>
      <c r="M265" s="5" t="str">
        <f>IFERROR(__xludf.DUMMYFUNCTION("""COMPUTED_VALUE"""),"22/09/2023")</f>
        <v>22/09/2023</v>
      </c>
      <c r="N265" s="1"/>
      <c r="O265" s="1" t="str">
        <f>IFERROR(__xludf.DUMMYFUNCTION("""COMPUTED_VALUE"""),"0")</f>
        <v>0</v>
      </c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5.75" customHeight="1">
      <c r="A266" s="1"/>
      <c r="B266" s="1" t="str">
        <f t="array" ref="B266">XLOOKUP(C266,Tabela_1[NOME ESCOLA PONTO ID],Tabela_1[REGIONAL],"NE",0)</f>
        <v>REGIONAL 6</v>
      </c>
      <c r="C266" s="3" t="str">
        <f>IFERROR(__xludf.DUMMYFUNCTION("""COMPUTED_VALUE"""),"CRECHE MERCIA DE ALBUQUERQUE")</f>
        <v>CRECHE MERCIA DE ALBUQUERQUE</v>
      </c>
      <c r="D266" s="1" t="str">
        <f>IFERROR(__xludf.DUMMYFUNCTION("""COMPUTED_VALUE"""),"26187663")</f>
        <v>26187663</v>
      </c>
      <c r="E266" s="1" t="str">
        <f>IFERROR(__xludf.DUMMYFUNCTION("""COMPUTED_VALUE"""),"INFANTIL 2")</f>
        <v>INFANTIL 2</v>
      </c>
      <c r="F266" s="1" t="str">
        <f>IFERROR(__xludf.DUMMYFUNCTION("""COMPUTED_VALUE"""),"Integral")</f>
        <v>Integral</v>
      </c>
      <c r="G266" s="1" t="str">
        <f>IFERROR(__xludf.DUMMYFUNCTION("""COMPUTED_VALUE"""),"Comum")</f>
        <v>Comum</v>
      </c>
      <c r="H266" s="1" t="str">
        <f>IFERROR(__xludf.DUMMYFUNCTION("""COMPUTED_VALUE"""),"4")</f>
        <v>4</v>
      </c>
      <c r="I266" s="6" t="str">
        <f>IFERROR(__xludf.DUMMYFUNCTION("""COMPUTED_VALUE"""),"26032924004")</f>
        <v>26032924004</v>
      </c>
      <c r="J266" s="1" t="str">
        <f>IFERROR(__xludf.DUMMYFUNCTION("""COMPUTED_VALUE"""),"25/03/2026 13:04:37")</f>
        <v>25/03/2026 13:04:37</v>
      </c>
      <c r="K266" s="1" t="str">
        <f>IFERROR(__xludf.DUMMYFUNCTION("""COMPUTED_VALUE"""),"BERNARDO LEON SILVA DOS SANTOS")</f>
        <v>BERNARDO LEON SILVA DOS SANTOS</v>
      </c>
      <c r="L266" s="7" t="str">
        <f>IFERROR(__xludf.DUMMYFUNCTION("""COMPUTED_VALUE"""),"000.490.714-08")</f>
        <v>000.490.714-08</v>
      </c>
      <c r="M266" s="5" t="str">
        <f>IFERROR(__xludf.DUMMYFUNCTION("""COMPUTED_VALUE"""),"14/10/2023")</f>
        <v>14/10/2023</v>
      </c>
      <c r="N266" s="1"/>
      <c r="O266" s="1" t="str">
        <f>IFERROR(__xludf.DUMMYFUNCTION("""COMPUTED_VALUE"""),"0")</f>
        <v>0</v>
      </c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5.75" customHeight="1">
      <c r="A267" s="1"/>
      <c r="B267" s="1" t="str">
        <f t="array" ref="B267">XLOOKUP(C267,Tabela_1[NOME ESCOLA PONTO ID],Tabela_1[REGIONAL],"NE",0)</f>
        <v>REGIONAL 3</v>
      </c>
      <c r="C267" s="3" t="str">
        <f>IFERROR(__xludf.DUMMYFUNCTION("""COMPUTED_VALUE"""),"CRECHE MUNDO ENCANTADO")</f>
        <v>CRECHE MUNDO ENCANTADO</v>
      </c>
      <c r="D267" s="1" t="str">
        <f>IFERROR(__xludf.DUMMYFUNCTION("""COMPUTED_VALUE"""),"26156261")</f>
        <v>26156261</v>
      </c>
      <c r="E267" s="1" t="str">
        <f>IFERROR(__xludf.DUMMYFUNCTION("""COMPUTED_VALUE"""),"INFANTIL 1")</f>
        <v>INFANTIL 1</v>
      </c>
      <c r="F267" s="1" t="str">
        <f>IFERROR(__xludf.DUMMYFUNCTION("""COMPUTED_VALUE"""),"Integral")</f>
        <v>Integral</v>
      </c>
      <c r="G267" s="1" t="str">
        <f>IFERROR(__xludf.DUMMYFUNCTION("""COMPUTED_VALUE"""),"Comum")</f>
        <v>Comum</v>
      </c>
      <c r="H267" s="1" t="str">
        <f>IFERROR(__xludf.DUMMYFUNCTION("""COMPUTED_VALUE"""),"1")</f>
        <v>1</v>
      </c>
      <c r="I267" s="6" t="str">
        <f>IFERROR(__xludf.DUMMYFUNCTION("""COMPUTED_VALUE"""),"26012920835")</f>
        <v>26012920835</v>
      </c>
      <c r="J267" s="1" t="str">
        <f>IFERROR(__xludf.DUMMYFUNCTION("""COMPUTED_VALUE"""),"29/01/2026 13:35:30")</f>
        <v>29/01/2026 13:35:30</v>
      </c>
      <c r="K267" s="1" t="str">
        <f>IFERROR(__xludf.DUMMYFUNCTION("""COMPUTED_VALUE"""),"JOÃO DAVI DOS SANTOS")</f>
        <v>JOÃO DAVI DOS SANTOS</v>
      </c>
      <c r="L267" s="5" t="str">
        <f>IFERROR(__xludf.DUMMYFUNCTION("""COMPUTED_VALUE"""),"003.980.624-39")</f>
        <v>003.980.624-39</v>
      </c>
      <c r="M267" s="5" t="str">
        <f>IFERROR(__xludf.DUMMYFUNCTION("""COMPUTED_VALUE"""),"26/08/2024")</f>
        <v>26/08/2024</v>
      </c>
      <c r="N267" s="1"/>
      <c r="O267" s="1" t="str">
        <f>IFERROR(__xludf.DUMMYFUNCTION("""COMPUTED_VALUE"""),"0")</f>
        <v>0</v>
      </c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5.75" customHeight="1">
      <c r="A268" s="1"/>
      <c r="B268" s="1" t="str">
        <f t="array" ref="B268">XLOOKUP(C268,Tabela_1[NOME ESCOLA PONTO ID],Tabela_1[REGIONAL],"NE",0)</f>
        <v>REGIONAL 3</v>
      </c>
      <c r="C268" s="3" t="str">
        <f>IFERROR(__xludf.DUMMYFUNCTION("""COMPUTED_VALUE"""),"CRECHE MUNDO ENCANTADO")</f>
        <v>CRECHE MUNDO ENCANTADO</v>
      </c>
      <c r="D268" s="1" t="str">
        <f>IFERROR(__xludf.DUMMYFUNCTION("""COMPUTED_VALUE"""),"26156261")</f>
        <v>26156261</v>
      </c>
      <c r="E268" s="1" t="str">
        <f>IFERROR(__xludf.DUMMYFUNCTION("""COMPUTED_VALUE"""),"INFANTIL 1")</f>
        <v>INFANTIL 1</v>
      </c>
      <c r="F268" s="1" t="str">
        <f>IFERROR(__xludf.DUMMYFUNCTION("""COMPUTED_VALUE"""),"Integral")</f>
        <v>Integral</v>
      </c>
      <c r="G268" s="1" t="str">
        <f>IFERROR(__xludf.DUMMYFUNCTION("""COMPUTED_VALUE"""),"Comum")</f>
        <v>Comum</v>
      </c>
      <c r="H268" s="1" t="str">
        <f>IFERROR(__xludf.DUMMYFUNCTION("""COMPUTED_VALUE"""),"2")</f>
        <v>2</v>
      </c>
      <c r="I268" s="6" t="str">
        <f>IFERROR(__xludf.DUMMYFUNCTION("""COMPUTED_VALUE"""),"26012550956")</f>
        <v>26012550956</v>
      </c>
      <c r="J268" s="1" t="str">
        <f>IFERROR(__xludf.DUMMYFUNCTION("""COMPUTED_VALUE"""),"29/01/2026 14:12:29")</f>
        <v>29/01/2026 14:12:29</v>
      </c>
      <c r="K268" s="1" t="str">
        <f>IFERROR(__xludf.DUMMYFUNCTION("""COMPUTED_VALUE"""),"JOSÉ FLÁVIO BATISTA DA SILVA COSTA")</f>
        <v>JOSÉ FLÁVIO BATISTA DA SILVA COSTA</v>
      </c>
      <c r="L268" s="7" t="str">
        <f>IFERROR(__xludf.DUMMYFUNCTION("""COMPUTED_VALUE"""),"006.104.144-02")</f>
        <v>006.104.144-02</v>
      </c>
      <c r="M268" s="5" t="str">
        <f>IFERROR(__xludf.DUMMYFUNCTION("""COMPUTED_VALUE"""),"13/03/2025")</f>
        <v>13/03/2025</v>
      </c>
      <c r="N268" s="1"/>
      <c r="O268" s="1" t="str">
        <f>IFERROR(__xludf.DUMMYFUNCTION("""COMPUTED_VALUE"""),"0")</f>
        <v>0</v>
      </c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5.75" customHeight="1">
      <c r="A269" s="1"/>
      <c r="B269" s="1" t="str">
        <f t="array" ref="B269">XLOOKUP(C269,Tabela_1[NOME ESCOLA PONTO ID],Tabela_1[REGIONAL],"NE",0)</f>
        <v>REGIONAL 3</v>
      </c>
      <c r="C269" s="3" t="str">
        <f>IFERROR(__xludf.DUMMYFUNCTION("""COMPUTED_VALUE"""),"CRECHE MUNDO ENCANTADO")</f>
        <v>CRECHE MUNDO ENCANTADO</v>
      </c>
      <c r="D269" s="1" t="str">
        <f>IFERROR(__xludf.DUMMYFUNCTION("""COMPUTED_VALUE"""),"26156261")</f>
        <v>26156261</v>
      </c>
      <c r="E269" s="1" t="str">
        <f>IFERROR(__xludf.DUMMYFUNCTION("""COMPUTED_VALUE"""),"INFANTIL 1")</f>
        <v>INFANTIL 1</v>
      </c>
      <c r="F269" s="1" t="str">
        <f>IFERROR(__xludf.DUMMYFUNCTION("""COMPUTED_VALUE"""),"Integral")</f>
        <v>Integral</v>
      </c>
      <c r="G269" s="1" t="str">
        <f>IFERROR(__xludf.DUMMYFUNCTION("""COMPUTED_VALUE"""),"Comum")</f>
        <v>Comum</v>
      </c>
      <c r="H269" s="1" t="str">
        <f>IFERROR(__xludf.DUMMYFUNCTION("""COMPUTED_VALUE"""),"3")</f>
        <v>3</v>
      </c>
      <c r="I269" s="6" t="str">
        <f>IFERROR(__xludf.DUMMYFUNCTION("""COMPUTED_VALUE"""),"26022017822")</f>
        <v>26022017822</v>
      </c>
      <c r="J269" s="1" t="str">
        <f>IFERROR(__xludf.DUMMYFUNCTION("""COMPUTED_VALUE"""),"19/02/2026 21:16:01")</f>
        <v>19/02/2026 21:16:01</v>
      </c>
      <c r="K269" s="1" t="str">
        <f>IFERROR(__xludf.DUMMYFUNCTION("""COMPUTED_VALUE"""),"HELENA AZEVEDO DA SILVA")</f>
        <v>HELENA AZEVEDO DA SILVA</v>
      </c>
      <c r="L269" s="5" t="str">
        <f>IFERROR(__xludf.DUMMYFUNCTION("""COMPUTED_VALUE"""),"003.112.504-24")</f>
        <v>003.112.504-24</v>
      </c>
      <c r="M269" s="5" t="str">
        <f>IFERROR(__xludf.DUMMYFUNCTION("""COMPUTED_VALUE"""),"19/05/2024")</f>
        <v>19/05/2024</v>
      </c>
      <c r="N269" s="1"/>
      <c r="O269" s="1" t="str">
        <f>IFERROR(__xludf.DUMMYFUNCTION("""COMPUTED_VALUE"""),"0")</f>
        <v>0</v>
      </c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5.75" customHeight="1">
      <c r="A270" s="1"/>
      <c r="B270" s="1" t="str">
        <f t="array" ref="B270">XLOOKUP(C270,Tabela_1[NOME ESCOLA PONTO ID],Tabela_1[REGIONAL],"NE",0)</f>
        <v>REGIONAL 3</v>
      </c>
      <c r="C270" s="3" t="str">
        <f>IFERROR(__xludf.DUMMYFUNCTION("""COMPUTED_VALUE"""),"CRECHE MUNDO ENCANTADO")</f>
        <v>CRECHE MUNDO ENCANTADO</v>
      </c>
      <c r="D270" s="1" t="str">
        <f>IFERROR(__xludf.DUMMYFUNCTION("""COMPUTED_VALUE"""),"26156261")</f>
        <v>26156261</v>
      </c>
      <c r="E270" s="1" t="str">
        <f>IFERROR(__xludf.DUMMYFUNCTION("""COMPUTED_VALUE"""),"INFANTIL 1")</f>
        <v>INFANTIL 1</v>
      </c>
      <c r="F270" s="1" t="str">
        <f>IFERROR(__xludf.DUMMYFUNCTION("""COMPUTED_VALUE"""),"Integral")</f>
        <v>Integral</v>
      </c>
      <c r="G270" s="1" t="str">
        <f>IFERROR(__xludf.DUMMYFUNCTION("""COMPUTED_VALUE"""),"Comum")</f>
        <v>Comum</v>
      </c>
      <c r="H270" s="1" t="str">
        <f>IFERROR(__xludf.DUMMYFUNCTION("""COMPUTED_VALUE"""),"4")</f>
        <v>4</v>
      </c>
      <c r="I270" s="6" t="str">
        <f>IFERROR(__xludf.DUMMYFUNCTION("""COMPUTED_VALUE"""),"26022695426")</f>
        <v>26022695426</v>
      </c>
      <c r="J270" s="1" t="str">
        <f>IFERROR(__xludf.DUMMYFUNCTION("""COMPUTED_VALUE"""),"28/02/2026 20:58:43")</f>
        <v>28/02/2026 20:58:43</v>
      </c>
      <c r="K270" s="1" t="str">
        <f>IFERROR(__xludf.DUMMYFUNCTION("""COMPUTED_VALUE"""),"LAYANNE GOMES PAULINO DA SILVA")</f>
        <v>LAYANNE GOMES PAULINO DA SILVA</v>
      </c>
      <c r="L270" s="5" t="str">
        <f>IFERROR(__xludf.DUMMYFUNCTION("""COMPUTED_VALUE"""),"005.882.074-46")</f>
        <v>005.882.074-46</v>
      </c>
      <c r="M270" s="5" t="str">
        <f>IFERROR(__xludf.DUMMYFUNCTION("""COMPUTED_VALUE"""),"12/04/2025")</f>
        <v>12/04/2025</v>
      </c>
      <c r="N270" s="1"/>
      <c r="O270" s="1" t="str">
        <f>IFERROR(__xludf.DUMMYFUNCTION("""COMPUTED_VALUE"""),"0")</f>
        <v>0</v>
      </c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5.75" customHeight="1">
      <c r="A271" s="1"/>
      <c r="B271" s="1" t="str">
        <f t="array" ref="B271">XLOOKUP(C271,Tabela_1[NOME ESCOLA PONTO ID],Tabela_1[REGIONAL],"NE",0)</f>
        <v>REGIONAL 3</v>
      </c>
      <c r="C271" s="3" t="str">
        <f>IFERROR(__xludf.DUMMYFUNCTION("""COMPUTED_VALUE"""),"CRECHE MUNDO ENCANTADO")</f>
        <v>CRECHE MUNDO ENCANTADO</v>
      </c>
      <c r="D271" s="1" t="str">
        <f>IFERROR(__xludf.DUMMYFUNCTION("""COMPUTED_VALUE"""),"26156261")</f>
        <v>26156261</v>
      </c>
      <c r="E271" s="1" t="str">
        <f>IFERROR(__xludf.DUMMYFUNCTION("""COMPUTED_VALUE"""),"INFANTIL 1")</f>
        <v>INFANTIL 1</v>
      </c>
      <c r="F271" s="1" t="str">
        <f>IFERROR(__xludf.DUMMYFUNCTION("""COMPUTED_VALUE"""),"Integral")</f>
        <v>Integral</v>
      </c>
      <c r="G271" s="1" t="str">
        <f>IFERROR(__xludf.DUMMYFUNCTION("""COMPUTED_VALUE"""),"Comum")</f>
        <v>Comum</v>
      </c>
      <c r="H271" s="1" t="str">
        <f>IFERROR(__xludf.DUMMYFUNCTION("""COMPUTED_VALUE"""),"5")</f>
        <v>5</v>
      </c>
      <c r="I271" s="6" t="str">
        <f>IFERROR(__xludf.DUMMYFUNCTION("""COMPUTED_VALUE"""),"26042652616")</f>
        <v>26042652616</v>
      </c>
      <c r="J271" s="1" t="str">
        <f>IFERROR(__xludf.DUMMYFUNCTION("""COMPUTED_VALUE"""),"28/04/2026 11:00:10")</f>
        <v>28/04/2026 11:00:10</v>
      </c>
      <c r="K271" s="1" t="str">
        <f>IFERROR(__xludf.DUMMYFUNCTION("""COMPUTED_VALUE"""),"MARINA GOMES SANTOS GUIMARAES")</f>
        <v>MARINA GOMES SANTOS GUIMARAES</v>
      </c>
      <c r="L271" s="7" t="str">
        <f>IFERROR(__xludf.DUMMYFUNCTION("""COMPUTED_VALUE"""),"005.894.784-19")</f>
        <v>005.894.784-19</v>
      </c>
      <c r="M271" s="5" t="str">
        <f>IFERROR(__xludf.DUMMYFUNCTION("""COMPUTED_VALUE"""),"11/04/2025")</f>
        <v>11/04/2025</v>
      </c>
      <c r="N271" s="1"/>
      <c r="O271" s="1" t="str">
        <f>IFERROR(__xludf.DUMMYFUNCTION("""COMPUTED_VALUE"""),"0")</f>
        <v>0</v>
      </c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5.75" customHeight="1">
      <c r="A272" s="1"/>
      <c r="B272" s="1" t="str">
        <f t="array" ref="B272">XLOOKUP(C272,Tabela_1[NOME ESCOLA PONTO ID],Tabela_1[REGIONAL],"NE",0)</f>
        <v>REGIONAL 3</v>
      </c>
      <c r="C272" s="3" t="str">
        <f>IFERROR(__xludf.DUMMYFUNCTION("""COMPUTED_VALUE"""),"CRECHE MUNDO ENCANTADO")</f>
        <v>CRECHE MUNDO ENCANTADO</v>
      </c>
      <c r="D272" s="1" t="str">
        <f>IFERROR(__xludf.DUMMYFUNCTION("""COMPUTED_VALUE"""),"26156261")</f>
        <v>26156261</v>
      </c>
      <c r="E272" s="1" t="str">
        <f>IFERROR(__xludf.DUMMYFUNCTION("""COMPUTED_VALUE"""),"INFANTIL 1")</f>
        <v>INFANTIL 1</v>
      </c>
      <c r="F272" s="1" t="str">
        <f>IFERROR(__xludf.DUMMYFUNCTION("""COMPUTED_VALUE"""),"Integral")</f>
        <v>Integral</v>
      </c>
      <c r="G272" s="1" t="str">
        <f>IFERROR(__xludf.DUMMYFUNCTION("""COMPUTED_VALUE"""),"Comum")</f>
        <v>Comum</v>
      </c>
      <c r="H272" s="1" t="str">
        <f>IFERROR(__xludf.DUMMYFUNCTION("""COMPUTED_VALUE"""),"6")</f>
        <v>6</v>
      </c>
      <c r="I272" s="6" t="str">
        <f>IFERROR(__xludf.DUMMYFUNCTION("""COMPUTED_VALUE"""),"26052515836")</f>
        <v>26052515836</v>
      </c>
      <c r="J272" s="1" t="str">
        <f>IFERROR(__xludf.DUMMYFUNCTION("""COMPUTED_VALUE"""),"25/05/2026 18:39:15")</f>
        <v>25/05/2026 18:39:15</v>
      </c>
      <c r="K272" s="1" t="str">
        <f>IFERROR(__xludf.DUMMYFUNCTION("""COMPUTED_VALUE"""),"Mallu Yarin Rodrigues Macêdo Vaz")</f>
        <v>Mallu Yarin Rodrigues Macêdo Vaz</v>
      </c>
      <c r="L272" s="5" t="str">
        <f>IFERROR(__xludf.DUMMYFUNCTION("""COMPUTED_VALUE"""),"004.957.764-67")</f>
        <v>004.957.764-67</v>
      </c>
      <c r="M272" s="5" t="str">
        <f>IFERROR(__xludf.DUMMYFUNCTION("""COMPUTED_VALUE"""),"29/12/2024")</f>
        <v>29/12/2024</v>
      </c>
      <c r="N272" s="1"/>
      <c r="O272" s="1" t="str">
        <f>IFERROR(__xludf.DUMMYFUNCTION("""COMPUTED_VALUE"""),"0")</f>
        <v>0</v>
      </c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5.75" customHeight="1">
      <c r="A273" s="1"/>
      <c r="B273" s="1" t="str">
        <f t="array" ref="B273">XLOOKUP(C273,Tabela_1[NOME ESCOLA PONTO ID],Tabela_1[REGIONAL],"NE",0)</f>
        <v>REGIONAL 3</v>
      </c>
      <c r="C273" s="3" t="str">
        <f>IFERROR(__xludf.DUMMYFUNCTION("""COMPUTED_VALUE"""),"CRECHE MUNDO ENCANTADO")</f>
        <v>CRECHE MUNDO ENCANTADO</v>
      </c>
      <c r="D273" s="1" t="str">
        <f>IFERROR(__xludf.DUMMYFUNCTION("""COMPUTED_VALUE"""),"26156261")</f>
        <v>26156261</v>
      </c>
      <c r="E273" s="1" t="str">
        <f>IFERROR(__xludf.DUMMYFUNCTION("""COMPUTED_VALUE"""),"INFANTIL 2")</f>
        <v>INFANTIL 2</v>
      </c>
      <c r="F273" s="1" t="str">
        <f>IFERROR(__xludf.DUMMYFUNCTION("""COMPUTED_VALUE"""),"Integral")</f>
        <v>Integral</v>
      </c>
      <c r="G273" s="1" t="str">
        <f>IFERROR(__xludf.DUMMYFUNCTION("""COMPUTED_VALUE"""),"Comum")</f>
        <v>Comum</v>
      </c>
      <c r="H273" s="1" t="str">
        <f>IFERROR(__xludf.DUMMYFUNCTION("""COMPUTED_VALUE"""),"1")</f>
        <v>1</v>
      </c>
      <c r="I273" s="6" t="str">
        <f>IFERROR(__xludf.DUMMYFUNCTION("""COMPUTED_VALUE"""),"26022937514")</f>
        <v>26022937514</v>
      </c>
      <c r="J273" s="1" t="str">
        <f>IFERROR(__xludf.DUMMYFUNCTION("""COMPUTED_VALUE"""),"04/02/2026 15:08:15")</f>
        <v>04/02/2026 15:08:15</v>
      </c>
      <c r="K273" s="1" t="str">
        <f>IFERROR(__xludf.DUMMYFUNCTION("""COMPUTED_VALUE"""),"DAVID LUIZ DOS SANTOS DO NASCIMENTO")</f>
        <v>DAVID LUIZ DOS SANTOS DO NASCIMENTO</v>
      </c>
      <c r="L273" s="7" t="str">
        <f>IFERROR(__xludf.DUMMYFUNCTION("""COMPUTED_VALUE"""),"000.295.444-32")</f>
        <v>000.295.444-32</v>
      </c>
      <c r="M273" s="5" t="str">
        <f>IFERROR(__xludf.DUMMYFUNCTION("""COMPUTED_VALUE"""),"27/09/2023")</f>
        <v>27/09/2023</v>
      </c>
      <c r="N273" s="1"/>
      <c r="O273" s="1" t="str">
        <f>IFERROR(__xludf.DUMMYFUNCTION("""COMPUTED_VALUE"""),"0")</f>
        <v>0</v>
      </c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5.75" customHeight="1">
      <c r="A274" s="1"/>
      <c r="B274" s="1" t="str">
        <f t="array" ref="B274">XLOOKUP(C274,Tabela_1[NOME ESCOLA PONTO ID],Tabela_1[REGIONAL],"NE",0)</f>
        <v>REGIONAL 3</v>
      </c>
      <c r="C274" s="3" t="str">
        <f>IFERROR(__xludf.DUMMYFUNCTION("""COMPUTED_VALUE"""),"CRECHE MUNDO ENCANTADO")</f>
        <v>CRECHE MUNDO ENCANTADO</v>
      </c>
      <c r="D274" s="1" t="str">
        <f>IFERROR(__xludf.DUMMYFUNCTION("""COMPUTED_VALUE"""),"26156261")</f>
        <v>26156261</v>
      </c>
      <c r="E274" s="1" t="str">
        <f>IFERROR(__xludf.DUMMYFUNCTION("""COMPUTED_VALUE"""),"INFANTIL 2")</f>
        <v>INFANTIL 2</v>
      </c>
      <c r="F274" s="1" t="str">
        <f>IFERROR(__xludf.DUMMYFUNCTION("""COMPUTED_VALUE"""),"Integral")</f>
        <v>Integral</v>
      </c>
      <c r="G274" s="1" t="str">
        <f>IFERROR(__xludf.DUMMYFUNCTION("""COMPUTED_VALUE"""),"Comum")</f>
        <v>Comum</v>
      </c>
      <c r="H274" s="1" t="str">
        <f>IFERROR(__xludf.DUMMYFUNCTION("""COMPUTED_VALUE"""),"2")</f>
        <v>2</v>
      </c>
      <c r="I274" s="6" t="str">
        <f>IFERROR(__xludf.DUMMYFUNCTION("""COMPUTED_VALUE"""),"26022488673")</f>
        <v>26022488673</v>
      </c>
      <c r="J274" s="1" t="str">
        <f>IFERROR(__xludf.DUMMYFUNCTION("""COMPUTED_VALUE"""),"09/02/2026 08:21:31")</f>
        <v>09/02/2026 08:21:31</v>
      </c>
      <c r="K274" s="1" t="str">
        <f>IFERROR(__xludf.DUMMYFUNCTION("""COMPUTED_VALUE"""),"ANTHONY PIETRO CRUZ DE SOUZA")</f>
        <v>ANTHONY PIETRO CRUZ DE SOUZA</v>
      </c>
      <c r="L274" s="5" t="str">
        <f>IFERROR(__xludf.DUMMYFUNCTION("""COMPUTED_VALUE"""),"001.353.124-77")</f>
        <v>001.353.124-77</v>
      </c>
      <c r="M274" s="5" t="str">
        <f>IFERROR(__xludf.DUMMYFUNCTION("""COMPUTED_VALUE"""),"16/12/2023")</f>
        <v>16/12/2023</v>
      </c>
      <c r="N274" s="1"/>
      <c r="O274" s="1" t="str">
        <f>IFERROR(__xludf.DUMMYFUNCTION("""COMPUTED_VALUE"""),"0")</f>
        <v>0</v>
      </c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5.75" customHeight="1">
      <c r="A275" s="1"/>
      <c r="B275" s="1" t="str">
        <f t="array" ref="B275">XLOOKUP(C275,Tabela_1[NOME ESCOLA PONTO ID],Tabela_1[REGIONAL],"NE",0)</f>
        <v>REGIONAL 3</v>
      </c>
      <c r="C275" s="3" t="str">
        <f>IFERROR(__xludf.DUMMYFUNCTION("""COMPUTED_VALUE"""),"CRECHE MUNDO ENCANTADO")</f>
        <v>CRECHE MUNDO ENCANTADO</v>
      </c>
      <c r="D275" s="1" t="str">
        <f>IFERROR(__xludf.DUMMYFUNCTION("""COMPUTED_VALUE"""),"26156261")</f>
        <v>26156261</v>
      </c>
      <c r="E275" s="1" t="str">
        <f>IFERROR(__xludf.DUMMYFUNCTION("""COMPUTED_VALUE"""),"INFANTIL 2")</f>
        <v>INFANTIL 2</v>
      </c>
      <c r="F275" s="1" t="str">
        <f>IFERROR(__xludf.DUMMYFUNCTION("""COMPUTED_VALUE"""),"Integral")</f>
        <v>Integral</v>
      </c>
      <c r="G275" s="1" t="str">
        <f>IFERROR(__xludf.DUMMYFUNCTION("""COMPUTED_VALUE"""),"Comum")</f>
        <v>Comum</v>
      </c>
      <c r="H275" s="1" t="str">
        <f>IFERROR(__xludf.DUMMYFUNCTION("""COMPUTED_VALUE"""),"3")</f>
        <v>3</v>
      </c>
      <c r="I275" s="6" t="str">
        <f>IFERROR(__xludf.DUMMYFUNCTION("""COMPUTED_VALUE"""),"26032269601")</f>
        <v>26032269601</v>
      </c>
      <c r="J275" s="1" t="str">
        <f>IFERROR(__xludf.DUMMYFUNCTION("""COMPUTED_VALUE"""),"04/03/2026 22:04:48")</f>
        <v>04/03/2026 22:04:48</v>
      </c>
      <c r="K275" s="1" t="str">
        <f>IFERROR(__xludf.DUMMYFUNCTION("""COMPUTED_VALUE"""),"JOÃO LUCCA PEREIRA DA SILVA")</f>
        <v>JOÃO LUCCA PEREIRA DA SILVA</v>
      </c>
      <c r="L275" s="5" t="str">
        <f>IFERROR(__xludf.DUMMYFUNCTION("""COMPUTED_VALUE"""),"001.366.394-10")</f>
        <v>001.366.394-10</v>
      </c>
      <c r="M275" s="5" t="str">
        <f>IFERROR(__xludf.DUMMYFUNCTION("""COMPUTED_VALUE"""),"19/12/2023")</f>
        <v>19/12/2023</v>
      </c>
      <c r="N275" s="1"/>
      <c r="O275" s="1" t="str">
        <f>IFERROR(__xludf.DUMMYFUNCTION("""COMPUTED_VALUE"""),"0")</f>
        <v>0</v>
      </c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5.75" customHeight="1">
      <c r="A276" s="1"/>
      <c r="B276" s="1" t="str">
        <f t="array" ref="B276">XLOOKUP(C276,Tabela_1[NOME ESCOLA PONTO ID],Tabela_1[REGIONAL],"NE",0)</f>
        <v>REGIONAL 1</v>
      </c>
      <c r="C276" s="3" t="str">
        <f>IFERROR(__xludf.DUMMYFUNCTION("""COMPUTED_VALUE"""),"CRECHE MUNICIPAL PROFESSORA MARIA RITA LINS MARTINS")</f>
        <v>CRECHE MUNICIPAL PROFESSORA MARIA RITA LINS MARTINS</v>
      </c>
      <c r="D276" s="1" t="str">
        <f>IFERROR(__xludf.DUMMYFUNCTION("""COMPUTED_VALUE"""),"26188767")</f>
        <v>26188767</v>
      </c>
      <c r="E276" s="1" t="str">
        <f>IFERROR(__xludf.DUMMYFUNCTION("""COMPUTED_VALUE"""),"INFANTIL 1")</f>
        <v>INFANTIL 1</v>
      </c>
      <c r="F276" s="1" t="str">
        <f>IFERROR(__xludf.DUMMYFUNCTION("""COMPUTED_VALUE"""),"Integral")</f>
        <v>Integral</v>
      </c>
      <c r="G276" s="1" t="str">
        <f>IFERROR(__xludf.DUMMYFUNCTION("""COMPUTED_VALUE"""),"Comum")</f>
        <v>Comum</v>
      </c>
      <c r="H276" s="1" t="str">
        <f>IFERROR(__xludf.DUMMYFUNCTION("""COMPUTED_VALUE"""),"1")</f>
        <v>1</v>
      </c>
      <c r="I276" s="6" t="str">
        <f>IFERROR(__xludf.DUMMYFUNCTION("""COMPUTED_VALUE"""),"26022345856")</f>
        <v>26022345856</v>
      </c>
      <c r="J276" s="1" t="str">
        <f>IFERROR(__xludf.DUMMYFUNCTION("""COMPUTED_VALUE"""),"23/02/2026 09:25:20")</f>
        <v>23/02/2026 09:25:20</v>
      </c>
      <c r="K276" s="1" t="str">
        <f>IFERROR(__xludf.DUMMYFUNCTION("""COMPUTED_VALUE"""),"LARISSA ELOÁ CALIXTO DE OLIVEIRA")</f>
        <v>LARISSA ELOÁ CALIXTO DE OLIVEIRA</v>
      </c>
      <c r="L276" s="5" t="str">
        <f>IFERROR(__xludf.DUMMYFUNCTION("""COMPUTED_VALUE"""),"003.536.674-55")</f>
        <v>003.536.674-55</v>
      </c>
      <c r="M276" s="7" t="str">
        <f>IFERROR(__xludf.DUMMYFUNCTION("""COMPUTED_VALUE"""),"08/07/2024")</f>
        <v>08/07/2024</v>
      </c>
      <c r="N276" s="1"/>
      <c r="O276" s="1" t="str">
        <f>IFERROR(__xludf.DUMMYFUNCTION("""COMPUTED_VALUE"""),"0")</f>
        <v>0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5.75" customHeight="1">
      <c r="A277" s="1"/>
      <c r="B277" s="1" t="str">
        <f t="array" ref="B277">XLOOKUP(C277,Tabela_1[NOME ESCOLA PONTO ID],Tabela_1[REGIONAL],"NE",0)</f>
        <v>REGIONAL 1</v>
      </c>
      <c r="C277" s="3" t="str">
        <f>IFERROR(__xludf.DUMMYFUNCTION("""COMPUTED_VALUE"""),"CRECHE MUNICIPAL PROFESSORA MARIA RITA LINS MARTINS")</f>
        <v>CRECHE MUNICIPAL PROFESSORA MARIA RITA LINS MARTINS</v>
      </c>
      <c r="D277" s="1" t="str">
        <f>IFERROR(__xludf.DUMMYFUNCTION("""COMPUTED_VALUE"""),"26188767")</f>
        <v>26188767</v>
      </c>
      <c r="E277" s="1" t="str">
        <f>IFERROR(__xludf.DUMMYFUNCTION("""COMPUTED_VALUE"""),"INFANTIL 1")</f>
        <v>INFANTIL 1</v>
      </c>
      <c r="F277" s="1" t="str">
        <f>IFERROR(__xludf.DUMMYFUNCTION("""COMPUTED_VALUE"""),"Integral")</f>
        <v>Integral</v>
      </c>
      <c r="G277" s="1" t="str">
        <f>IFERROR(__xludf.DUMMYFUNCTION("""COMPUTED_VALUE"""),"Comum")</f>
        <v>Comum</v>
      </c>
      <c r="H277" s="1" t="str">
        <f>IFERROR(__xludf.DUMMYFUNCTION("""COMPUTED_VALUE"""),"2")</f>
        <v>2</v>
      </c>
      <c r="I277" s="6" t="str">
        <f>IFERROR(__xludf.DUMMYFUNCTION("""COMPUTED_VALUE"""),"26022410210")</f>
        <v>26022410210</v>
      </c>
      <c r="J277" s="1" t="str">
        <f>IFERROR(__xludf.DUMMYFUNCTION("""COMPUTED_VALUE"""),"23/02/2026 22:06:49")</f>
        <v>23/02/2026 22:06:49</v>
      </c>
      <c r="K277" s="1" t="str">
        <f>IFERROR(__xludf.DUMMYFUNCTION("""COMPUTED_VALUE"""),"BRYAN SAMUEL SANTANA DA SILVA")</f>
        <v>BRYAN SAMUEL SANTANA DA SILVA</v>
      </c>
      <c r="L277" s="5" t="str">
        <f>IFERROR(__xludf.DUMMYFUNCTION("""COMPUTED_VALUE"""),"004.324.334-73")</f>
        <v>004.324.334-73</v>
      </c>
      <c r="M277" s="7" t="str">
        <f>IFERROR(__xludf.DUMMYFUNCTION("""COMPUTED_VALUE"""),"13/09/2024")</f>
        <v>13/09/2024</v>
      </c>
      <c r="N277" s="1"/>
      <c r="O277" s="1" t="str">
        <f>IFERROR(__xludf.DUMMYFUNCTION("""COMPUTED_VALUE"""),"0")</f>
        <v>0</v>
      </c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5.75" customHeight="1">
      <c r="A278" s="1"/>
      <c r="B278" s="1" t="str">
        <f t="array" ref="B278">XLOOKUP(C278,Tabela_1[NOME ESCOLA PONTO ID],Tabela_1[REGIONAL],"NE",0)</f>
        <v>REGIONAL 1</v>
      </c>
      <c r="C278" s="3" t="str">
        <f>IFERROR(__xludf.DUMMYFUNCTION("""COMPUTED_VALUE"""),"CRECHE MUNICIPAL PROFESSORA MARIA RITA LINS MARTINS")</f>
        <v>CRECHE MUNICIPAL PROFESSORA MARIA RITA LINS MARTINS</v>
      </c>
      <c r="D278" s="1" t="str">
        <f>IFERROR(__xludf.DUMMYFUNCTION("""COMPUTED_VALUE"""),"26188767")</f>
        <v>26188767</v>
      </c>
      <c r="E278" s="1" t="str">
        <f>IFERROR(__xludf.DUMMYFUNCTION("""COMPUTED_VALUE"""),"INFANTIL 1")</f>
        <v>INFANTIL 1</v>
      </c>
      <c r="F278" s="1" t="str">
        <f>IFERROR(__xludf.DUMMYFUNCTION("""COMPUTED_VALUE"""),"Integral")</f>
        <v>Integral</v>
      </c>
      <c r="G278" s="1" t="str">
        <f>IFERROR(__xludf.DUMMYFUNCTION("""COMPUTED_VALUE"""),"Comum")</f>
        <v>Comum</v>
      </c>
      <c r="H278" s="1" t="str">
        <f>IFERROR(__xludf.DUMMYFUNCTION("""COMPUTED_VALUE"""),"3")</f>
        <v>3</v>
      </c>
      <c r="I278" s="6" t="str">
        <f>IFERROR(__xludf.DUMMYFUNCTION("""COMPUTED_VALUE"""),"26022911987")</f>
        <v>26022911987</v>
      </c>
      <c r="J278" s="1" t="str">
        <f>IFERROR(__xludf.DUMMYFUNCTION("""COMPUTED_VALUE"""),"24/02/2026 10:47:32")</f>
        <v>24/02/2026 10:47:32</v>
      </c>
      <c r="K278" s="1" t="str">
        <f>IFERROR(__xludf.DUMMYFUNCTION("""COMPUTED_VALUE"""),"MARIA HELOÍSA DA SILVA MENEZES")</f>
        <v>MARIA HELOÍSA DA SILVA MENEZES</v>
      </c>
      <c r="L278" s="5" t="str">
        <f>IFERROR(__xludf.DUMMYFUNCTION("""COMPUTED_VALUE"""),"003.847.404-21")</f>
        <v>003.847.404-21</v>
      </c>
      <c r="M278" s="5" t="str">
        <f>IFERROR(__xludf.DUMMYFUNCTION("""COMPUTED_VALUE"""),"17/08/2024")</f>
        <v>17/08/2024</v>
      </c>
      <c r="N278" s="1"/>
      <c r="O278" s="1" t="str">
        <f>IFERROR(__xludf.DUMMYFUNCTION("""COMPUTED_VALUE"""),"0")</f>
        <v>0</v>
      </c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5.75" customHeight="1">
      <c r="A279" s="1"/>
      <c r="B279" s="1" t="str">
        <f t="array" ref="B279">XLOOKUP(C279,Tabela_1[NOME ESCOLA PONTO ID],Tabela_1[REGIONAL],"NE",0)</f>
        <v>REGIONAL 1</v>
      </c>
      <c r="C279" s="3" t="str">
        <f>IFERROR(__xludf.DUMMYFUNCTION("""COMPUTED_VALUE"""),"CRECHE MUNICIPAL PROFESSORA MARIA RITA LINS MARTINS")</f>
        <v>CRECHE MUNICIPAL PROFESSORA MARIA RITA LINS MARTINS</v>
      </c>
      <c r="D279" s="1" t="str">
        <f>IFERROR(__xludf.DUMMYFUNCTION("""COMPUTED_VALUE"""),"26188767")</f>
        <v>26188767</v>
      </c>
      <c r="E279" s="1" t="str">
        <f>IFERROR(__xludf.DUMMYFUNCTION("""COMPUTED_VALUE"""),"INFANTIL 1")</f>
        <v>INFANTIL 1</v>
      </c>
      <c r="F279" s="1" t="str">
        <f>IFERROR(__xludf.DUMMYFUNCTION("""COMPUTED_VALUE"""),"Integral")</f>
        <v>Integral</v>
      </c>
      <c r="G279" s="1" t="str">
        <f>IFERROR(__xludf.DUMMYFUNCTION("""COMPUTED_VALUE"""),"Comum")</f>
        <v>Comum</v>
      </c>
      <c r="H279" s="1" t="str">
        <f>IFERROR(__xludf.DUMMYFUNCTION("""COMPUTED_VALUE"""),"4")</f>
        <v>4</v>
      </c>
      <c r="I279" s="6" t="str">
        <f>IFERROR(__xludf.DUMMYFUNCTION("""COMPUTED_VALUE"""),"26052104400")</f>
        <v>26052104400</v>
      </c>
      <c r="J279" s="1" t="str">
        <f>IFERROR(__xludf.DUMMYFUNCTION("""COMPUTED_VALUE"""),"10/05/2026 13:51:20")</f>
        <v>10/05/2026 13:51:20</v>
      </c>
      <c r="K279" s="1" t="str">
        <f>IFERROR(__xludf.DUMMYFUNCTION("""COMPUTED_VALUE"""),"LUNA MAITÊ DA SILVA")</f>
        <v>LUNA MAITÊ DA SILVA</v>
      </c>
      <c r="L279" s="5" t="str">
        <f>IFERROR(__xludf.DUMMYFUNCTION("""COMPUTED_VALUE"""),"007.052.864-01")</f>
        <v>007.052.864-01</v>
      </c>
      <c r="M279" s="5" t="str">
        <f>IFERROR(__xludf.DUMMYFUNCTION("""COMPUTED_VALUE"""),"21/03/2025")</f>
        <v>21/03/2025</v>
      </c>
      <c r="N279" s="1"/>
      <c r="O279" s="1" t="str">
        <f>IFERROR(__xludf.DUMMYFUNCTION("""COMPUTED_VALUE"""),"0")</f>
        <v>0</v>
      </c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5.75" customHeight="1">
      <c r="A280" s="1"/>
      <c r="B280" s="1" t="str">
        <f t="array" ref="B280">XLOOKUP(C280,Tabela_1[NOME ESCOLA PONTO ID],Tabela_1[REGIONAL],"NE",0)</f>
        <v>REGIONAL 1</v>
      </c>
      <c r="C280" s="3" t="str">
        <f>IFERROR(__xludf.DUMMYFUNCTION("""COMPUTED_VALUE"""),"CRECHE MUNICIPAL PROFESSORA MARIA RITA LINS MARTINS")</f>
        <v>CRECHE MUNICIPAL PROFESSORA MARIA RITA LINS MARTINS</v>
      </c>
      <c r="D280" s="1" t="str">
        <f>IFERROR(__xludf.DUMMYFUNCTION("""COMPUTED_VALUE"""),"26188767")</f>
        <v>26188767</v>
      </c>
      <c r="E280" s="1" t="str">
        <f>IFERROR(__xludf.DUMMYFUNCTION("""COMPUTED_VALUE"""),"INFANTIL 1")</f>
        <v>INFANTIL 1</v>
      </c>
      <c r="F280" s="1" t="str">
        <f>IFERROR(__xludf.DUMMYFUNCTION("""COMPUTED_VALUE"""),"Integral")</f>
        <v>Integral</v>
      </c>
      <c r="G280" s="1" t="str">
        <f>IFERROR(__xludf.DUMMYFUNCTION("""COMPUTED_VALUE"""),"Comum")</f>
        <v>Comum</v>
      </c>
      <c r="H280" s="1" t="str">
        <f>IFERROR(__xludf.DUMMYFUNCTION("""COMPUTED_VALUE"""),"5")</f>
        <v>5</v>
      </c>
      <c r="I280" s="6" t="str">
        <f>IFERROR(__xludf.DUMMYFUNCTION("""COMPUTED_VALUE"""),"26062034334")</f>
        <v>26062034334</v>
      </c>
      <c r="J280" s="1" t="str">
        <f>IFERROR(__xludf.DUMMYFUNCTION("""COMPUTED_VALUE"""),"14/06/2026 18:20:08")</f>
        <v>14/06/2026 18:20:08</v>
      </c>
      <c r="K280" s="1" t="str">
        <f>IFERROR(__xludf.DUMMYFUNCTION("""COMPUTED_VALUE"""),"Arthur Gabriel de Souza")</f>
        <v>Arthur Gabriel de Souza</v>
      </c>
      <c r="L280" s="5" t="str">
        <f>IFERROR(__xludf.DUMMYFUNCTION("""COMPUTED_VALUE"""),"003.243.864-86")</f>
        <v>003.243.864-86</v>
      </c>
      <c r="M280" s="5" t="str">
        <f>IFERROR(__xludf.DUMMYFUNCTION("""COMPUTED_VALUE"""),"31/05/2024")</f>
        <v>31/05/2024</v>
      </c>
      <c r="N280" s="1"/>
      <c r="O280" s="1" t="str">
        <f>IFERROR(__xludf.DUMMYFUNCTION("""COMPUTED_VALUE"""),"0")</f>
        <v>0</v>
      </c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5.75" customHeight="1">
      <c r="A281" s="1"/>
      <c r="B281" s="1" t="str">
        <f t="array" ref="B281">XLOOKUP(C281,Tabela_1[NOME ESCOLA PONTO ID],Tabela_1[REGIONAL],"NE",0)</f>
        <v>REGIONAL 1</v>
      </c>
      <c r="C281" s="3" t="str">
        <f>IFERROR(__xludf.DUMMYFUNCTION("""COMPUTED_VALUE"""),"CRECHE MUNICIPAL PROFESSORA MARIA RITA LINS MARTINS")</f>
        <v>CRECHE MUNICIPAL PROFESSORA MARIA RITA LINS MARTINS</v>
      </c>
      <c r="D281" s="1" t="str">
        <f>IFERROR(__xludf.DUMMYFUNCTION("""COMPUTED_VALUE"""),"26188767")</f>
        <v>26188767</v>
      </c>
      <c r="E281" s="1" t="str">
        <f>IFERROR(__xludf.DUMMYFUNCTION("""COMPUTED_VALUE"""),"INFANTIL 1")</f>
        <v>INFANTIL 1</v>
      </c>
      <c r="F281" s="1" t="str">
        <f>IFERROR(__xludf.DUMMYFUNCTION("""COMPUTED_VALUE"""),"Integral")</f>
        <v>Integral</v>
      </c>
      <c r="G281" s="1" t="str">
        <f>IFERROR(__xludf.DUMMYFUNCTION("""COMPUTED_VALUE"""),"Comum")</f>
        <v>Comum</v>
      </c>
      <c r="H281" s="1" t="str">
        <f>IFERROR(__xludf.DUMMYFUNCTION("""COMPUTED_VALUE"""),"6")</f>
        <v>6</v>
      </c>
      <c r="I281" s="6" t="str">
        <f>IFERROR(__xludf.DUMMYFUNCTION("""COMPUTED_VALUE"""),"26062913119")</f>
        <v>26062913119</v>
      </c>
      <c r="J281" s="1" t="str">
        <f>IFERROR(__xludf.DUMMYFUNCTION("""COMPUTED_VALUE"""),"25/06/2026 18:16:16")</f>
        <v>25/06/2026 18:16:16</v>
      </c>
      <c r="K281" s="1" t="str">
        <f>IFERROR(__xludf.DUMMYFUNCTION("""COMPUTED_VALUE"""),"Jefferson Miguel Rangel santos")</f>
        <v>Jefferson Miguel Rangel santos</v>
      </c>
      <c r="L281" s="7" t="str">
        <f>IFERROR(__xludf.DUMMYFUNCTION("""COMPUTED_VALUE"""),"004.984.504-73")</f>
        <v>004.984.504-73</v>
      </c>
      <c r="M281" s="5" t="str">
        <f>IFERROR(__xludf.DUMMYFUNCTION("""COMPUTED_VALUE"""),"14/12/2024")</f>
        <v>14/12/2024</v>
      </c>
      <c r="N281" s="1"/>
      <c r="O281" s="1" t="str">
        <f>IFERROR(__xludf.DUMMYFUNCTION("""COMPUTED_VALUE"""),"0")</f>
        <v>0</v>
      </c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5.75" customHeight="1">
      <c r="A282" s="1"/>
      <c r="B282" s="1" t="str">
        <f t="array" ref="B282">XLOOKUP(C282,Tabela_1[NOME ESCOLA PONTO ID],Tabela_1[REGIONAL],"NE",0)</f>
        <v>REGIONAL 1</v>
      </c>
      <c r="C282" s="3" t="str">
        <f>IFERROR(__xludf.DUMMYFUNCTION("""COMPUTED_VALUE"""),"CRECHE MUNICIPAL PROFESSORA MARIA RITA LINS MARTINS")</f>
        <v>CRECHE MUNICIPAL PROFESSORA MARIA RITA LINS MARTINS</v>
      </c>
      <c r="D282" s="1" t="str">
        <f>IFERROR(__xludf.DUMMYFUNCTION("""COMPUTED_VALUE"""),"26188767")</f>
        <v>26188767</v>
      </c>
      <c r="E282" s="1" t="str">
        <f>IFERROR(__xludf.DUMMYFUNCTION("""COMPUTED_VALUE"""),"INFANTIL 1")</f>
        <v>INFANTIL 1</v>
      </c>
      <c r="F282" s="1" t="str">
        <f>IFERROR(__xludf.DUMMYFUNCTION("""COMPUTED_VALUE"""),"Integral")</f>
        <v>Integral</v>
      </c>
      <c r="G282" s="1" t="str">
        <f>IFERROR(__xludf.DUMMYFUNCTION("""COMPUTED_VALUE"""),"Comum")</f>
        <v>Comum</v>
      </c>
      <c r="H282" s="1" t="str">
        <f>IFERROR(__xludf.DUMMYFUNCTION("""COMPUTED_VALUE"""),"7")</f>
        <v>7</v>
      </c>
      <c r="I282" s="4" t="str">
        <f>IFERROR(__xludf.DUMMYFUNCTION("""COMPUTED_VALUE"""),"26062732659")</f>
        <v>26062732659</v>
      </c>
      <c r="J282" s="1" t="str">
        <f>IFERROR(__xludf.DUMMYFUNCTION("""COMPUTED_VALUE"""),"29/06/2026 11:34:07")</f>
        <v>29/06/2026 11:34:07</v>
      </c>
      <c r="K282" s="1" t="str">
        <f>IFERROR(__xludf.DUMMYFUNCTION("""COMPUTED_VALUE"""),"Henry Santino Cavalcante souza")</f>
        <v>Henry Santino Cavalcante souza</v>
      </c>
      <c r="L282" s="5" t="str">
        <f>IFERROR(__xludf.DUMMYFUNCTION("""COMPUTED_VALUE"""),"011.472.264-15")</f>
        <v>011.472.264-15</v>
      </c>
      <c r="M282" s="5" t="str">
        <f>IFERROR(__xludf.DUMMYFUNCTION("""COMPUTED_VALUE"""),"24/09/2025")</f>
        <v>24/09/2025</v>
      </c>
      <c r="N282" s="1"/>
      <c r="O282" s="1" t="str">
        <f>IFERROR(__xludf.DUMMYFUNCTION("""COMPUTED_VALUE"""),"0")</f>
        <v>0</v>
      </c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5.75" customHeight="1">
      <c r="A283" s="1"/>
      <c r="B283" s="1" t="str">
        <f t="array" ref="B283">XLOOKUP(C283,Tabela_1[NOME ESCOLA PONTO ID],Tabela_1[REGIONAL],"NE",0)</f>
        <v>REGIONAL 1</v>
      </c>
      <c r="C283" s="3" t="str">
        <f>IFERROR(__xludf.DUMMYFUNCTION("""COMPUTED_VALUE"""),"CRECHE MUNICIPAL PROFESSORA MARIA RITA LINS MARTINS")</f>
        <v>CRECHE MUNICIPAL PROFESSORA MARIA RITA LINS MARTINS</v>
      </c>
      <c r="D283" s="1" t="str">
        <f>IFERROR(__xludf.DUMMYFUNCTION("""COMPUTED_VALUE"""),"26188767")</f>
        <v>26188767</v>
      </c>
      <c r="E283" s="1" t="str">
        <f>IFERROR(__xludf.DUMMYFUNCTION("""COMPUTED_VALUE"""),"INFANTIL 2")</f>
        <v>INFANTIL 2</v>
      </c>
      <c r="F283" s="1" t="str">
        <f>IFERROR(__xludf.DUMMYFUNCTION("""COMPUTED_VALUE"""),"Integral")</f>
        <v>Integral</v>
      </c>
      <c r="G283" s="1" t="str">
        <f>IFERROR(__xludf.DUMMYFUNCTION("""COMPUTED_VALUE"""),"Comum")</f>
        <v>Comum</v>
      </c>
      <c r="H283" s="1" t="str">
        <f>IFERROR(__xludf.DUMMYFUNCTION("""COMPUTED_VALUE"""),"1")</f>
        <v>1</v>
      </c>
      <c r="I283" s="4" t="str">
        <f>IFERROR(__xludf.DUMMYFUNCTION("""COMPUTED_VALUE"""),"26012212414")</f>
        <v>26012212414</v>
      </c>
      <c r="J283" s="1" t="str">
        <f>IFERROR(__xludf.DUMMYFUNCTION("""COMPUTED_VALUE"""),"30/01/2026 13:46:37")</f>
        <v>30/01/2026 13:46:37</v>
      </c>
      <c r="K283" s="1" t="str">
        <f>IFERROR(__xludf.DUMMYFUNCTION("""COMPUTED_VALUE"""),"LUCAS MIGUEL DA SILVA PARAÍSO")</f>
        <v>LUCAS MIGUEL DA SILVA PARAÍSO</v>
      </c>
      <c r="L283" s="5" t="str">
        <f>IFERROR(__xludf.DUMMYFUNCTION("""COMPUTED_VALUE"""),"001.835.364-95")</f>
        <v>001.835.364-95</v>
      </c>
      <c r="M283" s="5" t="str">
        <f>IFERROR(__xludf.DUMMYFUNCTION("""COMPUTED_VALUE"""),"24/01/2024")</f>
        <v>24/01/2024</v>
      </c>
      <c r="N283" s="1"/>
      <c r="O283" s="1" t="str">
        <f>IFERROR(__xludf.DUMMYFUNCTION("""COMPUTED_VALUE"""),"0")</f>
        <v>0</v>
      </c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5.75" customHeight="1">
      <c r="A284" s="1"/>
      <c r="B284" s="1" t="str">
        <f t="array" ref="B284">XLOOKUP(C284,Tabela_1[NOME ESCOLA PONTO ID],Tabela_1[REGIONAL],"NE",0)</f>
        <v>REGIONAL 1</v>
      </c>
      <c r="C284" s="3" t="str">
        <f>IFERROR(__xludf.DUMMYFUNCTION("""COMPUTED_VALUE"""),"CRECHE MUNICIPAL PROFESSORA MARIA RITA LINS MARTINS")</f>
        <v>CRECHE MUNICIPAL PROFESSORA MARIA RITA LINS MARTINS</v>
      </c>
      <c r="D284" s="1" t="str">
        <f>IFERROR(__xludf.DUMMYFUNCTION("""COMPUTED_VALUE"""),"26188767")</f>
        <v>26188767</v>
      </c>
      <c r="E284" s="1" t="str">
        <f>IFERROR(__xludf.DUMMYFUNCTION("""COMPUTED_VALUE"""),"INFANTIL 2")</f>
        <v>INFANTIL 2</v>
      </c>
      <c r="F284" s="1" t="str">
        <f>IFERROR(__xludf.DUMMYFUNCTION("""COMPUTED_VALUE"""),"Integral")</f>
        <v>Integral</v>
      </c>
      <c r="G284" s="1" t="str">
        <f>IFERROR(__xludf.DUMMYFUNCTION("""COMPUTED_VALUE"""),"Comum")</f>
        <v>Comum</v>
      </c>
      <c r="H284" s="1" t="str">
        <f>IFERROR(__xludf.DUMMYFUNCTION("""COMPUTED_VALUE"""),"2")</f>
        <v>2</v>
      </c>
      <c r="I284" s="4" t="str">
        <f>IFERROR(__xludf.DUMMYFUNCTION("""COMPUTED_VALUE"""),"26032777638")</f>
        <v>26032777638</v>
      </c>
      <c r="J284" s="1" t="str">
        <f>IFERROR(__xludf.DUMMYFUNCTION("""COMPUTED_VALUE"""),"08/03/2026 00:13:08")</f>
        <v>08/03/2026 00:13:08</v>
      </c>
      <c r="K284" s="1" t="str">
        <f>IFERROR(__xludf.DUMMYFUNCTION("""COMPUTED_VALUE"""),"HEITOR GABRIEL SANTANA GOMES DA SILVA")</f>
        <v>HEITOR GABRIEL SANTANA GOMES DA SILVA</v>
      </c>
      <c r="L284" s="5" t="str">
        <f>IFERROR(__xludf.DUMMYFUNCTION("""COMPUTED_VALUE"""),"186.023.384-81")</f>
        <v>186.023.384-81</v>
      </c>
      <c r="M284" s="5" t="str">
        <f>IFERROR(__xludf.DUMMYFUNCTION("""COMPUTED_VALUE"""),"19/07/2023")</f>
        <v>19/07/2023</v>
      </c>
      <c r="N284" s="1"/>
      <c r="O284" s="1" t="str">
        <f>IFERROR(__xludf.DUMMYFUNCTION("""COMPUTED_VALUE"""),"0")</f>
        <v>0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5.75" customHeight="1">
      <c r="A285" s="1"/>
      <c r="B285" s="1" t="str">
        <f t="array" ref="B285">XLOOKUP(C285,Tabela_1[NOME ESCOLA PONTO ID],Tabela_1[REGIONAL],"NE",0)</f>
        <v>REGIONAL 1</v>
      </c>
      <c r="C285" s="3" t="str">
        <f>IFERROR(__xludf.DUMMYFUNCTION("""COMPUTED_VALUE"""),"CRECHE MUNICIPAL PROFESSORA MARIA RITA LINS MARTINS")</f>
        <v>CRECHE MUNICIPAL PROFESSORA MARIA RITA LINS MARTINS</v>
      </c>
      <c r="D285" s="1" t="str">
        <f>IFERROR(__xludf.DUMMYFUNCTION("""COMPUTED_VALUE"""),"26188767")</f>
        <v>26188767</v>
      </c>
      <c r="E285" s="1" t="str">
        <f>IFERROR(__xludf.DUMMYFUNCTION("""COMPUTED_VALUE"""),"INFANTIL 2")</f>
        <v>INFANTIL 2</v>
      </c>
      <c r="F285" s="1" t="str">
        <f>IFERROR(__xludf.DUMMYFUNCTION("""COMPUTED_VALUE"""),"Integral")</f>
        <v>Integral</v>
      </c>
      <c r="G285" s="1" t="str">
        <f>IFERROR(__xludf.DUMMYFUNCTION("""COMPUTED_VALUE"""),"Comum")</f>
        <v>Comum</v>
      </c>
      <c r="H285" s="1" t="str">
        <f>IFERROR(__xludf.DUMMYFUNCTION("""COMPUTED_VALUE"""),"3")</f>
        <v>3</v>
      </c>
      <c r="I285" s="4" t="str">
        <f>IFERROR(__xludf.DUMMYFUNCTION("""COMPUTED_VALUE"""),"26032956018")</f>
        <v>26032956018</v>
      </c>
      <c r="J285" s="1" t="str">
        <f>IFERROR(__xludf.DUMMYFUNCTION("""COMPUTED_VALUE"""),"11/03/2026 10:30:16")</f>
        <v>11/03/2026 10:30:16</v>
      </c>
      <c r="K285" s="1" t="str">
        <f>IFERROR(__xludf.DUMMYFUNCTION("""COMPUTED_VALUE"""),"LORENZO SANTANA PAIXAO")</f>
        <v>LORENZO SANTANA PAIXAO</v>
      </c>
      <c r="L285" s="5" t="str">
        <f>IFERROR(__xludf.DUMMYFUNCTION("""COMPUTED_VALUE"""),"001.257.584-48")</f>
        <v>001.257.584-48</v>
      </c>
      <c r="M285" s="5" t="str">
        <f>IFERROR(__xludf.DUMMYFUNCTION("""COMPUTED_VALUE"""),"11/12/2023")</f>
        <v>11/12/2023</v>
      </c>
      <c r="N285" s="1"/>
      <c r="O285" s="1" t="str">
        <f>IFERROR(__xludf.DUMMYFUNCTION("""COMPUTED_VALUE"""),"0")</f>
        <v>0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5.75" customHeight="1">
      <c r="A286" s="1"/>
      <c r="B286" s="1" t="str">
        <f t="array" ref="B286">XLOOKUP(C286,Tabela_1[NOME ESCOLA PONTO ID],Tabela_1[REGIONAL],"NE",0)</f>
        <v>REGIONAL 1</v>
      </c>
      <c r="C286" s="3" t="str">
        <f>IFERROR(__xludf.DUMMYFUNCTION("""COMPUTED_VALUE"""),"CRECHE MUNICIPAL PROFESSORA MARIA RITA LINS MARTINS")</f>
        <v>CRECHE MUNICIPAL PROFESSORA MARIA RITA LINS MARTINS</v>
      </c>
      <c r="D286" s="1" t="str">
        <f>IFERROR(__xludf.DUMMYFUNCTION("""COMPUTED_VALUE"""),"26188767")</f>
        <v>26188767</v>
      </c>
      <c r="E286" s="1" t="str">
        <f>IFERROR(__xludf.DUMMYFUNCTION("""COMPUTED_VALUE"""),"INFANTIL 2")</f>
        <v>INFANTIL 2</v>
      </c>
      <c r="F286" s="1" t="str">
        <f>IFERROR(__xludf.DUMMYFUNCTION("""COMPUTED_VALUE"""),"Integral")</f>
        <v>Integral</v>
      </c>
      <c r="G286" s="1" t="str">
        <f>IFERROR(__xludf.DUMMYFUNCTION("""COMPUTED_VALUE"""),"Comum")</f>
        <v>Comum</v>
      </c>
      <c r="H286" s="1" t="str">
        <f>IFERROR(__xludf.DUMMYFUNCTION("""COMPUTED_VALUE"""),"4")</f>
        <v>4</v>
      </c>
      <c r="I286" s="6" t="str">
        <f>IFERROR(__xludf.DUMMYFUNCTION("""COMPUTED_VALUE"""),"26032966119")</f>
        <v>26032966119</v>
      </c>
      <c r="J286" s="1" t="str">
        <f>IFERROR(__xludf.DUMMYFUNCTION("""COMPUTED_VALUE"""),"17/03/2026 08:58:14")</f>
        <v>17/03/2026 08:58:14</v>
      </c>
      <c r="K286" s="1" t="str">
        <f>IFERROR(__xludf.DUMMYFUNCTION("""COMPUTED_VALUE"""),"LETÍCIA RIBAS DA LUZ")</f>
        <v>LETÍCIA RIBAS DA LUZ</v>
      </c>
      <c r="L286" s="5" t="str">
        <f>IFERROR(__xludf.DUMMYFUNCTION("""COMPUTED_VALUE"""),"001.930.104-96")</f>
        <v>001.930.104-96</v>
      </c>
      <c r="M286" s="5" t="str">
        <f>IFERROR(__xludf.DUMMYFUNCTION("""COMPUTED_VALUE"""),"09/03/2024")</f>
        <v>09/03/2024</v>
      </c>
      <c r="N286" s="1"/>
      <c r="O286" s="1" t="str">
        <f>IFERROR(__xludf.DUMMYFUNCTION("""COMPUTED_VALUE"""),"0")</f>
        <v>0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5.75" customHeight="1">
      <c r="A287" s="1"/>
      <c r="B287" s="1" t="str">
        <f t="array" ref="B287">XLOOKUP(C287,Tabela_1[NOME ESCOLA PONTO ID],Tabela_1[REGIONAL],"NE",0)</f>
        <v>REGIONAL 1</v>
      </c>
      <c r="C287" s="3" t="str">
        <f>IFERROR(__xludf.DUMMYFUNCTION("""COMPUTED_VALUE"""),"CRECHE MUNICIPAL PROFESSORA MARIA RITA LINS MARTINS")</f>
        <v>CRECHE MUNICIPAL PROFESSORA MARIA RITA LINS MARTINS</v>
      </c>
      <c r="D287" s="1" t="str">
        <f>IFERROR(__xludf.DUMMYFUNCTION("""COMPUTED_VALUE"""),"26188767")</f>
        <v>26188767</v>
      </c>
      <c r="E287" s="1" t="str">
        <f>IFERROR(__xludf.DUMMYFUNCTION("""COMPUTED_VALUE"""),"INFANTIL 2")</f>
        <v>INFANTIL 2</v>
      </c>
      <c r="F287" s="1" t="str">
        <f>IFERROR(__xludf.DUMMYFUNCTION("""COMPUTED_VALUE"""),"Integral")</f>
        <v>Integral</v>
      </c>
      <c r="G287" s="1" t="str">
        <f>IFERROR(__xludf.DUMMYFUNCTION("""COMPUTED_VALUE"""),"Comum")</f>
        <v>Comum</v>
      </c>
      <c r="H287" s="1" t="str">
        <f>IFERROR(__xludf.DUMMYFUNCTION("""COMPUTED_VALUE"""),"5")</f>
        <v>5</v>
      </c>
      <c r="I287" s="4" t="str">
        <f>IFERROR(__xludf.DUMMYFUNCTION("""COMPUTED_VALUE"""),"26042756277")</f>
        <v>26042756277</v>
      </c>
      <c r="J287" s="1" t="str">
        <f>IFERROR(__xludf.DUMMYFUNCTION("""COMPUTED_VALUE"""),"16/04/2026 17:20:01")</f>
        <v>16/04/2026 17:20:01</v>
      </c>
      <c r="K287" s="1" t="str">
        <f>IFERROR(__xludf.DUMMYFUNCTION("""COMPUTED_VALUE"""),"MARIA CLARA DOS SANTOS CHAVES MARTINS")</f>
        <v>MARIA CLARA DOS SANTOS CHAVES MARTINS</v>
      </c>
      <c r="L287" s="5" t="str">
        <f>IFERROR(__xludf.DUMMYFUNCTION("""COMPUTED_VALUE"""),"185.113.384-46")</f>
        <v>185.113.384-46</v>
      </c>
      <c r="M287" s="5" t="str">
        <f>IFERROR(__xludf.DUMMYFUNCTION("""COMPUTED_VALUE"""),"17/04/2023")</f>
        <v>17/04/2023</v>
      </c>
      <c r="N287" s="1"/>
      <c r="O287" s="1" t="str">
        <f>IFERROR(__xludf.DUMMYFUNCTION("""COMPUTED_VALUE"""),"0")</f>
        <v>0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5.75" customHeight="1">
      <c r="A288" s="1"/>
      <c r="B288" s="1" t="str">
        <f t="array" ref="B288">XLOOKUP(C288,Tabela_1[NOME ESCOLA PONTO ID],Tabela_1[REGIONAL],"NE",0)</f>
        <v>REGIONAL 1</v>
      </c>
      <c r="C288" s="3" t="str">
        <f>IFERROR(__xludf.DUMMYFUNCTION("""COMPUTED_VALUE"""),"CRECHE MUNICIPAL PROFESSORA MARIA RITA LINS MARTINS")</f>
        <v>CRECHE MUNICIPAL PROFESSORA MARIA RITA LINS MARTINS</v>
      </c>
      <c r="D288" s="1" t="str">
        <f>IFERROR(__xludf.DUMMYFUNCTION("""COMPUTED_VALUE"""),"26188767")</f>
        <v>26188767</v>
      </c>
      <c r="E288" s="1" t="str">
        <f>IFERROR(__xludf.DUMMYFUNCTION("""COMPUTED_VALUE"""),"INFANTIL 2")</f>
        <v>INFANTIL 2</v>
      </c>
      <c r="F288" s="1" t="str">
        <f>IFERROR(__xludf.DUMMYFUNCTION("""COMPUTED_VALUE"""),"Integral")</f>
        <v>Integral</v>
      </c>
      <c r="G288" s="1" t="str">
        <f>IFERROR(__xludf.DUMMYFUNCTION("""COMPUTED_VALUE"""),"Comum")</f>
        <v>Comum</v>
      </c>
      <c r="H288" s="1" t="str">
        <f>IFERROR(__xludf.DUMMYFUNCTION("""COMPUTED_VALUE"""),"6")</f>
        <v>6</v>
      </c>
      <c r="I288" s="6" t="str">
        <f>IFERROR(__xludf.DUMMYFUNCTION("""COMPUTED_VALUE"""),"26052484547")</f>
        <v>26052484547</v>
      </c>
      <c r="J288" s="1" t="str">
        <f>IFERROR(__xludf.DUMMYFUNCTION("""COMPUTED_VALUE"""),"13/05/2026 08:10:15")</f>
        <v>13/05/2026 08:10:15</v>
      </c>
      <c r="K288" s="1" t="str">
        <f>IFERROR(__xludf.DUMMYFUNCTION("""COMPUTED_VALUE"""),"THAYLLA MELISSA OLIVEIRA DOS SANTOS")</f>
        <v>THAYLLA MELISSA OLIVEIRA DOS SANTOS</v>
      </c>
      <c r="L288" s="5" t="str">
        <f>IFERROR(__xludf.DUMMYFUNCTION("""COMPUTED_VALUE"""),"186.284.484-46")</f>
        <v>186.284.484-46</v>
      </c>
      <c r="M288" s="5" t="str">
        <f>IFERROR(__xludf.DUMMYFUNCTION("""COMPUTED_VALUE"""),"16/08/2023")</f>
        <v>16/08/2023</v>
      </c>
      <c r="N288" s="1"/>
      <c r="O288" s="1" t="str">
        <f>IFERROR(__xludf.DUMMYFUNCTION("""COMPUTED_VALUE"""),"0")</f>
        <v>0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5.75" customHeight="1">
      <c r="A289" s="1"/>
      <c r="B289" s="1" t="str">
        <f t="array" ref="B289">XLOOKUP(C289,Tabela_1[NOME ESCOLA PONTO ID],Tabela_1[REGIONAL],"NE",0)</f>
        <v>REGIONAL 1</v>
      </c>
      <c r="C289" s="3" t="str">
        <f>IFERROR(__xludf.DUMMYFUNCTION("""COMPUTED_VALUE"""),"CRECHE MUNICIPAL PROFESSORA MARIA RITA LINS MARTINS")</f>
        <v>CRECHE MUNICIPAL PROFESSORA MARIA RITA LINS MARTINS</v>
      </c>
      <c r="D289" s="1" t="str">
        <f>IFERROR(__xludf.DUMMYFUNCTION("""COMPUTED_VALUE"""),"26188767")</f>
        <v>26188767</v>
      </c>
      <c r="E289" s="1" t="str">
        <f>IFERROR(__xludf.DUMMYFUNCTION("""COMPUTED_VALUE"""),"INFANTIL 3")</f>
        <v>INFANTIL 3</v>
      </c>
      <c r="F289" s="1" t="str">
        <f>IFERROR(__xludf.DUMMYFUNCTION("""COMPUTED_VALUE"""),"Integral")</f>
        <v>Integral</v>
      </c>
      <c r="G289" s="1" t="str">
        <f>IFERROR(__xludf.DUMMYFUNCTION("""COMPUTED_VALUE"""),"Comum")</f>
        <v>Comum</v>
      </c>
      <c r="H289" s="1" t="str">
        <f>IFERROR(__xludf.DUMMYFUNCTION("""COMPUTED_VALUE"""),"1")</f>
        <v>1</v>
      </c>
      <c r="I289" s="6" t="str">
        <f>IFERROR(__xludf.DUMMYFUNCTION("""COMPUTED_VALUE"""),"26042285207")</f>
        <v>26042285207</v>
      </c>
      <c r="J289" s="1" t="str">
        <f>IFERROR(__xludf.DUMMYFUNCTION("""COMPUTED_VALUE"""),"16/04/2026 17:16:18")</f>
        <v>16/04/2026 17:16:18</v>
      </c>
      <c r="K289" s="1" t="str">
        <f>IFERROR(__xludf.DUMMYFUNCTION("""COMPUTED_VALUE"""),"MARCELO GUILHERME DOS SANTOS CHAVES MARTINS")</f>
        <v>MARCELO GUILHERME DOS SANTOS CHAVES MARTINS</v>
      </c>
      <c r="L289" s="5" t="str">
        <f>IFERROR(__xludf.DUMMYFUNCTION("""COMPUTED_VALUE"""),"181.266.334-09")</f>
        <v>181.266.334-09</v>
      </c>
      <c r="M289" s="5" t="str">
        <f>IFERROR(__xludf.DUMMYFUNCTION("""COMPUTED_VALUE"""),"11/04/2022")</f>
        <v>11/04/2022</v>
      </c>
      <c r="N289" s="1"/>
      <c r="O289" s="1" t="str">
        <f>IFERROR(__xludf.DUMMYFUNCTION("""COMPUTED_VALUE"""),"0")</f>
        <v>0</v>
      </c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5.75" customHeight="1">
      <c r="A290" s="1"/>
      <c r="B290" s="1" t="str">
        <f t="array" ref="B290">XLOOKUP(C290,Tabela_1[NOME ESCOLA PONTO ID],Tabela_1[REGIONAL],"NE",0)</f>
        <v>REGIONAL 1</v>
      </c>
      <c r="C290" s="3" t="str">
        <f>IFERROR(__xludf.DUMMYFUNCTION("""COMPUTED_VALUE"""),"CRECHE MUNICIPAL PROFESSORA MARIA RITA LINS MARTINS")</f>
        <v>CRECHE MUNICIPAL PROFESSORA MARIA RITA LINS MARTINS</v>
      </c>
      <c r="D290" s="1" t="str">
        <f>IFERROR(__xludf.DUMMYFUNCTION("""COMPUTED_VALUE"""),"26188767")</f>
        <v>26188767</v>
      </c>
      <c r="E290" s="1" t="str">
        <f>IFERROR(__xludf.DUMMYFUNCTION("""COMPUTED_VALUE"""),"INFANTIL 3")</f>
        <v>INFANTIL 3</v>
      </c>
      <c r="F290" s="1" t="str">
        <f>IFERROR(__xludf.DUMMYFUNCTION("""COMPUTED_VALUE"""),"Integral")</f>
        <v>Integral</v>
      </c>
      <c r="G290" s="1" t="str">
        <f>IFERROR(__xludf.DUMMYFUNCTION("""COMPUTED_VALUE"""),"Comum")</f>
        <v>Comum</v>
      </c>
      <c r="H290" s="1" t="str">
        <f>IFERROR(__xludf.DUMMYFUNCTION("""COMPUTED_VALUE"""),"2")</f>
        <v>2</v>
      </c>
      <c r="I290" s="6" t="str">
        <f>IFERROR(__xludf.DUMMYFUNCTION("""COMPUTED_VALUE"""),"26052447097")</f>
        <v>26052447097</v>
      </c>
      <c r="J290" s="1" t="str">
        <f>IFERROR(__xludf.DUMMYFUNCTION("""COMPUTED_VALUE"""),"10/05/2026 13:58:19")</f>
        <v>10/05/2026 13:58:19</v>
      </c>
      <c r="K290" s="1" t="str">
        <f>IFERROR(__xludf.DUMMYFUNCTION("""COMPUTED_VALUE"""),"DAVI EMANOEL DE MELO")</f>
        <v>DAVI EMANOEL DE MELO</v>
      </c>
      <c r="L290" s="5" t="str">
        <f>IFERROR(__xludf.DUMMYFUNCTION("""COMPUTED_VALUE"""),"184.254.274-52")</f>
        <v>184.254.274-52</v>
      </c>
      <c r="M290" s="5" t="str">
        <f>IFERROR(__xludf.DUMMYFUNCTION("""COMPUTED_VALUE"""),"07/01/2023")</f>
        <v>07/01/2023</v>
      </c>
      <c r="N290" s="1"/>
      <c r="O290" s="1" t="str">
        <f>IFERROR(__xludf.DUMMYFUNCTION("""COMPUTED_VALUE"""),"0")</f>
        <v>0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5.75" customHeight="1">
      <c r="A291" s="1"/>
      <c r="B291" s="1" t="str">
        <f t="array" ref="B291">XLOOKUP(C291,Tabela_1[NOME ESCOLA PONTO ID],Tabela_1[REGIONAL],"NE",0)</f>
        <v>REGIONAL 1</v>
      </c>
      <c r="C291" s="3" t="str">
        <f>IFERROR(__xludf.DUMMYFUNCTION("""COMPUTED_VALUE"""),"CRECHE MUNICIPAL PROFESSORA MARIA RITA LINS MARTINS")</f>
        <v>CRECHE MUNICIPAL PROFESSORA MARIA RITA LINS MARTINS</v>
      </c>
      <c r="D291" s="1" t="str">
        <f>IFERROR(__xludf.DUMMYFUNCTION("""COMPUTED_VALUE"""),"26188767")</f>
        <v>26188767</v>
      </c>
      <c r="E291" s="1" t="str">
        <f>IFERROR(__xludf.DUMMYFUNCTION("""COMPUTED_VALUE"""),"INFANTIL 3")</f>
        <v>INFANTIL 3</v>
      </c>
      <c r="F291" s="1" t="str">
        <f>IFERROR(__xludf.DUMMYFUNCTION("""COMPUTED_VALUE"""),"Integral")</f>
        <v>Integral</v>
      </c>
      <c r="G291" s="1" t="str">
        <f>IFERROR(__xludf.DUMMYFUNCTION("""COMPUTED_VALUE"""),"Comum")</f>
        <v>Comum</v>
      </c>
      <c r="H291" s="1" t="str">
        <f>IFERROR(__xludf.DUMMYFUNCTION("""COMPUTED_VALUE"""),"3")</f>
        <v>3</v>
      </c>
      <c r="I291" s="6" t="str">
        <f>IFERROR(__xludf.DUMMYFUNCTION("""COMPUTED_VALUE"""),"26062012113")</f>
        <v>26062012113</v>
      </c>
      <c r="J291" s="1" t="str">
        <f>IFERROR(__xludf.DUMMYFUNCTION("""COMPUTED_VALUE"""),"15/06/2026 14:59:35")</f>
        <v>15/06/2026 14:59:35</v>
      </c>
      <c r="K291" s="1" t="str">
        <f>IFERROR(__xludf.DUMMYFUNCTION("""COMPUTED_VALUE"""),"YARA LORENA SILVA DO CARMO")</f>
        <v>YARA LORENA SILVA DO CARMO</v>
      </c>
      <c r="L291" s="5" t="str">
        <f>IFERROR(__xludf.DUMMYFUNCTION("""COMPUTED_VALUE"""),"182.418.874-93")</f>
        <v>182.418.874-93</v>
      </c>
      <c r="M291" s="5" t="str">
        <f>IFERROR(__xludf.DUMMYFUNCTION("""COMPUTED_VALUE"""),"05/06/2022")</f>
        <v>05/06/2022</v>
      </c>
      <c r="N291" s="1"/>
      <c r="O291" s="1" t="str">
        <f>IFERROR(__xludf.DUMMYFUNCTION("""COMPUTED_VALUE"""),"0")</f>
        <v>0</v>
      </c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5.75" customHeight="1">
      <c r="A292" s="1"/>
      <c r="B292" s="1" t="str">
        <f t="array" ref="B292">XLOOKUP(C292,Tabela_1[NOME ESCOLA PONTO ID],Tabela_1[REGIONAL],"NE",0)</f>
        <v>REGIONAL 7</v>
      </c>
      <c r="C292" s="3" t="str">
        <f>IFERROR(__xludf.DUMMYFUNCTION("""COMPUTED_VALUE"""),"CRECHE MUNICIPAL PROFESSORA SILVIA CRISTINA SANTOS BOTELHO")</f>
        <v>CRECHE MUNICIPAL PROFESSORA SILVIA CRISTINA SANTOS BOTELHO</v>
      </c>
      <c r="D292" s="1" t="str">
        <f>IFERROR(__xludf.DUMMYFUNCTION("""COMPUTED_VALUE"""),"26189070")</f>
        <v>26189070</v>
      </c>
      <c r="E292" s="1" t="str">
        <f>IFERROR(__xludf.DUMMYFUNCTION("""COMPUTED_VALUE"""),"INFANTIL 1")</f>
        <v>INFANTIL 1</v>
      </c>
      <c r="F292" s="1" t="str">
        <f>IFERROR(__xludf.DUMMYFUNCTION("""COMPUTED_VALUE"""),"Integral")</f>
        <v>Integral</v>
      </c>
      <c r="G292" s="1" t="str">
        <f>IFERROR(__xludf.DUMMYFUNCTION("""COMPUTED_VALUE"""),"Comum")</f>
        <v>Comum</v>
      </c>
      <c r="H292" s="1" t="str">
        <f>IFERROR(__xludf.DUMMYFUNCTION("""COMPUTED_VALUE"""),"1")</f>
        <v>1</v>
      </c>
      <c r="I292" s="6" t="str">
        <f>IFERROR(__xludf.DUMMYFUNCTION("""COMPUTED_VALUE"""),"26022486223")</f>
        <v>26022486223</v>
      </c>
      <c r="J292" s="1" t="str">
        <f>IFERROR(__xludf.DUMMYFUNCTION("""COMPUTED_VALUE"""),"05/02/2026 23:06:26")</f>
        <v>05/02/2026 23:06:26</v>
      </c>
      <c r="K292" s="1" t="str">
        <f>IFERROR(__xludf.DUMMYFUNCTION("""COMPUTED_VALUE"""),"LIAN SAMUEL SANTOS")</f>
        <v>LIAN SAMUEL SANTOS</v>
      </c>
      <c r="L292" s="7" t="str">
        <f>IFERROR(__xludf.DUMMYFUNCTION("""COMPUTED_VALUE"""),"017.661.634-91")</f>
        <v>017.661.634-91</v>
      </c>
      <c r="M292" s="5" t="str">
        <f>IFERROR(__xludf.DUMMYFUNCTION("""COMPUTED_VALUE"""),"27/04/2025")</f>
        <v>27/04/2025</v>
      </c>
      <c r="N292" s="1"/>
      <c r="O292" s="1" t="str">
        <f>IFERROR(__xludf.DUMMYFUNCTION("""COMPUTED_VALUE"""),"0")</f>
        <v>0</v>
      </c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5.75" customHeight="1">
      <c r="A293" s="1"/>
      <c r="B293" s="1" t="str">
        <f t="array" ref="B293">XLOOKUP(C293,Tabela_1[NOME ESCOLA PONTO ID],Tabela_1[REGIONAL],"NE",0)</f>
        <v>REGIONAL 7</v>
      </c>
      <c r="C293" s="3" t="str">
        <f>IFERROR(__xludf.DUMMYFUNCTION("""COMPUTED_VALUE"""),"CRECHE MUNICIPAL PROFESSORA SILVIA CRISTINA SANTOS BOTELHO")</f>
        <v>CRECHE MUNICIPAL PROFESSORA SILVIA CRISTINA SANTOS BOTELHO</v>
      </c>
      <c r="D293" s="1" t="str">
        <f>IFERROR(__xludf.DUMMYFUNCTION("""COMPUTED_VALUE"""),"26189070")</f>
        <v>26189070</v>
      </c>
      <c r="E293" s="1" t="str">
        <f>IFERROR(__xludf.DUMMYFUNCTION("""COMPUTED_VALUE"""),"INFANTIL 1")</f>
        <v>INFANTIL 1</v>
      </c>
      <c r="F293" s="1" t="str">
        <f>IFERROR(__xludf.DUMMYFUNCTION("""COMPUTED_VALUE"""),"Integral")</f>
        <v>Integral</v>
      </c>
      <c r="G293" s="1" t="str">
        <f>IFERROR(__xludf.DUMMYFUNCTION("""COMPUTED_VALUE"""),"Comum")</f>
        <v>Comum</v>
      </c>
      <c r="H293" s="1" t="str">
        <f>IFERROR(__xludf.DUMMYFUNCTION("""COMPUTED_VALUE"""),"2")</f>
        <v>2</v>
      </c>
      <c r="I293" s="6" t="str">
        <f>IFERROR(__xludf.DUMMYFUNCTION("""COMPUTED_VALUE"""),"26032050800")</f>
        <v>26032050800</v>
      </c>
      <c r="J293" s="1" t="str">
        <f>IFERROR(__xludf.DUMMYFUNCTION("""COMPUTED_VALUE"""),"27/03/2026 15:45:11")</f>
        <v>27/03/2026 15:45:11</v>
      </c>
      <c r="K293" s="1" t="str">
        <f>IFERROR(__xludf.DUMMYFUNCTION("""COMPUTED_VALUE"""),"ASAFE MIQUÉIAS DOS SANTOS VIEIRA")</f>
        <v>ASAFE MIQUÉIAS DOS SANTOS VIEIRA</v>
      </c>
      <c r="L293" s="5" t="str">
        <f>IFERROR(__xludf.DUMMYFUNCTION("""COMPUTED_VALUE"""),"004.348.364-00")</f>
        <v>004.348.364-00</v>
      </c>
      <c r="M293" s="7" t="str">
        <f>IFERROR(__xludf.DUMMYFUNCTION("""COMPUTED_VALUE"""),"12/10/2024")</f>
        <v>12/10/2024</v>
      </c>
      <c r="N293" s="1"/>
      <c r="O293" s="1" t="str">
        <f>IFERROR(__xludf.DUMMYFUNCTION("""COMPUTED_VALUE"""),"0")</f>
        <v>0</v>
      </c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5.75" customHeight="1">
      <c r="A294" s="1"/>
      <c r="B294" s="1" t="str">
        <f t="array" ref="B294">XLOOKUP(C294,Tabela_1[NOME ESCOLA PONTO ID],Tabela_1[REGIONAL],"NE",0)</f>
        <v>REGIONAL 7</v>
      </c>
      <c r="C294" s="3" t="str">
        <f>IFERROR(__xludf.DUMMYFUNCTION("""COMPUTED_VALUE"""),"CRECHE MUNICIPAL PROFESSORA SILVIA CRISTINA SANTOS BOTELHO")</f>
        <v>CRECHE MUNICIPAL PROFESSORA SILVIA CRISTINA SANTOS BOTELHO</v>
      </c>
      <c r="D294" s="1" t="str">
        <f>IFERROR(__xludf.DUMMYFUNCTION("""COMPUTED_VALUE"""),"26189070")</f>
        <v>26189070</v>
      </c>
      <c r="E294" s="1" t="str">
        <f>IFERROR(__xludf.DUMMYFUNCTION("""COMPUTED_VALUE"""),"INFANTIL 1")</f>
        <v>INFANTIL 1</v>
      </c>
      <c r="F294" s="1" t="str">
        <f>IFERROR(__xludf.DUMMYFUNCTION("""COMPUTED_VALUE"""),"Integral")</f>
        <v>Integral</v>
      </c>
      <c r="G294" s="1" t="str">
        <f>IFERROR(__xludf.DUMMYFUNCTION("""COMPUTED_VALUE"""),"Comum")</f>
        <v>Comum</v>
      </c>
      <c r="H294" s="1" t="str">
        <f>IFERROR(__xludf.DUMMYFUNCTION("""COMPUTED_VALUE"""),"3")</f>
        <v>3</v>
      </c>
      <c r="I294" s="6" t="str">
        <f>IFERROR(__xludf.DUMMYFUNCTION("""COMPUTED_VALUE"""),"26042965061")</f>
        <v>26042965061</v>
      </c>
      <c r="J294" s="1" t="str">
        <f>IFERROR(__xludf.DUMMYFUNCTION("""COMPUTED_VALUE"""),"15/04/2026 22:22:20")</f>
        <v>15/04/2026 22:22:20</v>
      </c>
      <c r="K294" s="1" t="str">
        <f>IFERROR(__xludf.DUMMYFUNCTION("""COMPUTED_VALUE"""),"ISAAC ELVIS DA SILVA")</f>
        <v>ISAAC ELVIS DA SILVA</v>
      </c>
      <c r="L294" s="5" t="str">
        <f>IFERROR(__xludf.DUMMYFUNCTION("""COMPUTED_VALUE"""),"004.669.314-92")</f>
        <v>004.669.314-92</v>
      </c>
      <c r="M294" s="5" t="str">
        <f>IFERROR(__xludf.DUMMYFUNCTION("""COMPUTED_VALUE"""),"19/11/2024")</f>
        <v>19/11/2024</v>
      </c>
      <c r="N294" s="1"/>
      <c r="O294" s="1" t="str">
        <f>IFERROR(__xludf.DUMMYFUNCTION("""COMPUTED_VALUE"""),"0")</f>
        <v>0</v>
      </c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5.75" customHeight="1">
      <c r="A295" s="1"/>
      <c r="B295" s="1" t="str">
        <f t="array" ref="B295">XLOOKUP(C295,Tabela_1[NOME ESCOLA PONTO ID],Tabela_1[REGIONAL],"NE",0)</f>
        <v>REGIONAL 7</v>
      </c>
      <c r="C295" s="3" t="str">
        <f>IFERROR(__xludf.DUMMYFUNCTION("""COMPUTED_VALUE"""),"CRECHE MUNICIPAL PROFESSORA SILVIA CRISTINA SANTOS BOTELHO")</f>
        <v>CRECHE MUNICIPAL PROFESSORA SILVIA CRISTINA SANTOS BOTELHO</v>
      </c>
      <c r="D295" s="1" t="str">
        <f>IFERROR(__xludf.DUMMYFUNCTION("""COMPUTED_VALUE"""),"26189070")</f>
        <v>26189070</v>
      </c>
      <c r="E295" s="1" t="str">
        <f>IFERROR(__xludf.DUMMYFUNCTION("""COMPUTED_VALUE"""),"INFANTIL 1")</f>
        <v>INFANTIL 1</v>
      </c>
      <c r="F295" s="1" t="str">
        <f>IFERROR(__xludf.DUMMYFUNCTION("""COMPUTED_VALUE"""),"Integral")</f>
        <v>Integral</v>
      </c>
      <c r="G295" s="1" t="str">
        <f>IFERROR(__xludf.DUMMYFUNCTION("""COMPUTED_VALUE"""),"Comum")</f>
        <v>Comum</v>
      </c>
      <c r="H295" s="1" t="str">
        <f>IFERROR(__xludf.DUMMYFUNCTION("""COMPUTED_VALUE"""),"4")</f>
        <v>4</v>
      </c>
      <c r="I295" s="6" t="str">
        <f>IFERROR(__xludf.DUMMYFUNCTION("""COMPUTED_VALUE"""),"26052030252")</f>
        <v>26052030252</v>
      </c>
      <c r="J295" s="1" t="str">
        <f>IFERROR(__xludf.DUMMYFUNCTION("""COMPUTED_VALUE"""),"05/05/2026 10:48:19")</f>
        <v>05/05/2026 10:48:19</v>
      </c>
      <c r="K295" s="1" t="str">
        <f>IFERROR(__xludf.DUMMYFUNCTION("""COMPUTED_VALUE"""),"DAVI NOGUEIRA")</f>
        <v>DAVI NOGUEIRA</v>
      </c>
      <c r="L295" s="7" t="str">
        <f>IFERROR(__xludf.DUMMYFUNCTION("""COMPUTED_VALUE"""),"003.540.674-78")</f>
        <v>003.540.674-78</v>
      </c>
      <c r="M295" s="5" t="str">
        <f>IFERROR(__xludf.DUMMYFUNCTION("""COMPUTED_VALUE"""),"19/06/2024")</f>
        <v>19/06/2024</v>
      </c>
      <c r="N295" s="1"/>
      <c r="O295" s="1" t="str">
        <f>IFERROR(__xludf.DUMMYFUNCTION("""COMPUTED_VALUE"""),"0")</f>
        <v>0</v>
      </c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5.75" customHeight="1">
      <c r="A296" s="1"/>
      <c r="B296" s="1" t="str">
        <f t="array" ref="B296">XLOOKUP(C296,Tabela_1[NOME ESCOLA PONTO ID],Tabela_1[REGIONAL],"NE",0)</f>
        <v>REGIONAL 7</v>
      </c>
      <c r="C296" s="3" t="str">
        <f>IFERROR(__xludf.DUMMYFUNCTION("""COMPUTED_VALUE"""),"CRECHE MUNICIPAL PROFESSORA SILVIA CRISTINA SANTOS BOTELHO")</f>
        <v>CRECHE MUNICIPAL PROFESSORA SILVIA CRISTINA SANTOS BOTELHO</v>
      </c>
      <c r="D296" s="1" t="str">
        <f>IFERROR(__xludf.DUMMYFUNCTION("""COMPUTED_VALUE"""),"26189070")</f>
        <v>26189070</v>
      </c>
      <c r="E296" s="1" t="str">
        <f>IFERROR(__xludf.DUMMYFUNCTION("""COMPUTED_VALUE"""),"INFANTIL 1")</f>
        <v>INFANTIL 1</v>
      </c>
      <c r="F296" s="1" t="str">
        <f>IFERROR(__xludf.DUMMYFUNCTION("""COMPUTED_VALUE"""),"Integral")</f>
        <v>Integral</v>
      </c>
      <c r="G296" s="1" t="str">
        <f>IFERROR(__xludf.DUMMYFUNCTION("""COMPUTED_VALUE"""),"Comum")</f>
        <v>Comum</v>
      </c>
      <c r="H296" s="1" t="str">
        <f>IFERROR(__xludf.DUMMYFUNCTION("""COMPUTED_VALUE"""),"5")</f>
        <v>5</v>
      </c>
      <c r="I296" s="6" t="str">
        <f>IFERROR(__xludf.DUMMYFUNCTION("""COMPUTED_VALUE"""),"26052499840")</f>
        <v>26052499840</v>
      </c>
      <c r="J296" s="1" t="str">
        <f>IFERROR(__xludf.DUMMYFUNCTION("""COMPUTED_VALUE"""),"25/05/2026 19:36:10")</f>
        <v>25/05/2026 19:36:10</v>
      </c>
      <c r="K296" s="1" t="str">
        <f>IFERROR(__xludf.DUMMYFUNCTION("""COMPUTED_VALUE"""),"Ayla Sophia santos da silva")</f>
        <v>Ayla Sophia santos da silva</v>
      </c>
      <c r="L296" s="5" t="str">
        <f>IFERROR(__xludf.DUMMYFUNCTION("""COMPUTED_VALUE"""),"005.022.224-41")</f>
        <v>005.022.224-41</v>
      </c>
      <c r="M296" s="5" t="str">
        <f>IFERROR(__xludf.DUMMYFUNCTION("""COMPUTED_VALUE"""),"05/01/2025")</f>
        <v>05/01/2025</v>
      </c>
      <c r="N296" s="1"/>
      <c r="O296" s="1" t="str">
        <f>IFERROR(__xludf.DUMMYFUNCTION("""COMPUTED_VALUE"""),"0")</f>
        <v>0</v>
      </c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5.75" customHeight="1">
      <c r="A297" s="1"/>
      <c r="B297" s="1" t="str">
        <f t="array" ref="B297">XLOOKUP(C297,Tabela_1[NOME ESCOLA PONTO ID],Tabela_1[REGIONAL],"NE",0)</f>
        <v>REGIONAL 7</v>
      </c>
      <c r="C297" s="3" t="str">
        <f>IFERROR(__xludf.DUMMYFUNCTION("""COMPUTED_VALUE"""),"CRECHE MUNICIPAL PROFESSORA SILVIA CRISTINA SANTOS BOTELHO")</f>
        <v>CRECHE MUNICIPAL PROFESSORA SILVIA CRISTINA SANTOS BOTELHO</v>
      </c>
      <c r="D297" s="1" t="str">
        <f>IFERROR(__xludf.DUMMYFUNCTION("""COMPUTED_VALUE"""),"26189070")</f>
        <v>26189070</v>
      </c>
      <c r="E297" s="1" t="str">
        <f>IFERROR(__xludf.DUMMYFUNCTION("""COMPUTED_VALUE"""),"INFANTIL 1")</f>
        <v>INFANTIL 1</v>
      </c>
      <c r="F297" s="1" t="str">
        <f>IFERROR(__xludf.DUMMYFUNCTION("""COMPUTED_VALUE"""),"Integral")</f>
        <v>Integral</v>
      </c>
      <c r="G297" s="1" t="str">
        <f>IFERROR(__xludf.DUMMYFUNCTION("""COMPUTED_VALUE"""),"Comum")</f>
        <v>Comum</v>
      </c>
      <c r="H297" s="1" t="str">
        <f>IFERROR(__xludf.DUMMYFUNCTION("""COMPUTED_VALUE"""),"6")</f>
        <v>6</v>
      </c>
      <c r="I297" s="6" t="str">
        <f>IFERROR(__xludf.DUMMYFUNCTION("""COMPUTED_VALUE"""),"26062625753")</f>
        <v>26062625753</v>
      </c>
      <c r="J297" s="1" t="str">
        <f>IFERROR(__xludf.DUMMYFUNCTION("""COMPUTED_VALUE"""),"23/06/2026 14:42:25")</f>
        <v>23/06/2026 14:42:25</v>
      </c>
      <c r="K297" s="1" t="str">
        <f>IFERROR(__xludf.DUMMYFUNCTION("""COMPUTED_VALUE"""),"Luíza vitória Sousa de Oliveira Luz")</f>
        <v>Luíza vitória Sousa de Oliveira Luz</v>
      </c>
      <c r="L297" s="7" t="str">
        <f>IFERROR(__xludf.DUMMYFUNCTION("""COMPUTED_VALUE"""),"004.990.694-12")</f>
        <v>004.990.694-12</v>
      </c>
      <c r="M297" s="5" t="str">
        <f>IFERROR(__xludf.DUMMYFUNCTION("""COMPUTED_VALUE"""),"27/12/2024")</f>
        <v>27/12/2024</v>
      </c>
      <c r="N297" s="1"/>
      <c r="O297" s="1" t="str">
        <f>IFERROR(__xludf.DUMMYFUNCTION("""COMPUTED_VALUE"""),"0")</f>
        <v>0</v>
      </c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5.75" customHeight="1">
      <c r="A298" s="1"/>
      <c r="B298" s="1" t="str">
        <f t="array" ref="B298">XLOOKUP(C298,Tabela_1[NOME ESCOLA PONTO ID],Tabela_1[REGIONAL],"NE",0)</f>
        <v>REGIONAL 7</v>
      </c>
      <c r="C298" s="3" t="str">
        <f>IFERROR(__xludf.DUMMYFUNCTION("""COMPUTED_VALUE"""),"CRECHE MUNICIPAL PROFESSORA SILVIA CRISTINA SANTOS BOTELHO")</f>
        <v>CRECHE MUNICIPAL PROFESSORA SILVIA CRISTINA SANTOS BOTELHO</v>
      </c>
      <c r="D298" s="1" t="str">
        <f>IFERROR(__xludf.DUMMYFUNCTION("""COMPUTED_VALUE"""),"26189070")</f>
        <v>26189070</v>
      </c>
      <c r="E298" s="1" t="str">
        <f>IFERROR(__xludf.DUMMYFUNCTION("""COMPUTED_VALUE"""),"INFANTIL 1")</f>
        <v>INFANTIL 1</v>
      </c>
      <c r="F298" s="1" t="str">
        <f>IFERROR(__xludf.DUMMYFUNCTION("""COMPUTED_VALUE"""),"Integral")</f>
        <v>Integral</v>
      </c>
      <c r="G298" s="1" t="str">
        <f>IFERROR(__xludf.DUMMYFUNCTION("""COMPUTED_VALUE"""),"Comum")</f>
        <v>Comum</v>
      </c>
      <c r="H298" s="1" t="str">
        <f>IFERROR(__xludf.DUMMYFUNCTION("""COMPUTED_VALUE"""),"7")</f>
        <v>7</v>
      </c>
      <c r="I298" s="6" t="str">
        <f>IFERROR(__xludf.DUMMYFUNCTION("""COMPUTED_VALUE"""),"26062291641")</f>
        <v>26062291641</v>
      </c>
      <c r="J298" s="1" t="str">
        <f>IFERROR(__xludf.DUMMYFUNCTION("""COMPUTED_VALUE"""),"27/06/2026 22:58:33")</f>
        <v>27/06/2026 22:58:33</v>
      </c>
      <c r="K298" s="1" t="str">
        <f>IFERROR(__xludf.DUMMYFUNCTION("""COMPUTED_VALUE"""),"Endrew Gabriel Araújo Guedes")</f>
        <v>Endrew Gabriel Araújo Guedes</v>
      </c>
      <c r="L298" s="5" t="str">
        <f>IFERROR(__xludf.DUMMYFUNCTION("""COMPUTED_VALUE"""),"003.461.974-73")</f>
        <v>003.461.974-73</v>
      </c>
      <c r="M298" s="5" t="str">
        <f>IFERROR(__xludf.DUMMYFUNCTION("""COMPUTED_VALUE"""),"19/06/2024")</f>
        <v>19/06/2024</v>
      </c>
      <c r="N298" s="1"/>
      <c r="O298" s="1" t="str">
        <f>IFERROR(__xludf.DUMMYFUNCTION("""COMPUTED_VALUE"""),"0")</f>
        <v>0</v>
      </c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5.75" customHeight="1">
      <c r="A299" s="1"/>
      <c r="B299" s="1" t="str">
        <f t="array" ref="B299">XLOOKUP(C299,Tabela_1[NOME ESCOLA PONTO ID],Tabela_1[REGIONAL],"NE",0)</f>
        <v>REGIONAL 2</v>
      </c>
      <c r="C299" s="3" t="str">
        <f>IFERROR(__xludf.DUMMYFUNCTION("""COMPUTED_VALUE"""),"CRECHE PROFESSORA LEDA MARIA QUEIROZ DO REGO BARROS")</f>
        <v>CRECHE PROFESSORA LEDA MARIA QUEIROZ DO REGO BARROS</v>
      </c>
      <c r="D299" s="1" t="str">
        <f>IFERROR(__xludf.DUMMYFUNCTION("""COMPUTED_VALUE"""),"26190168")</f>
        <v>26190168</v>
      </c>
      <c r="E299" s="1" t="str">
        <f>IFERROR(__xludf.DUMMYFUNCTION("""COMPUTED_VALUE"""),"INFANTIL 1")</f>
        <v>INFANTIL 1</v>
      </c>
      <c r="F299" s="1" t="str">
        <f>IFERROR(__xludf.DUMMYFUNCTION("""COMPUTED_VALUE"""),"Integral")</f>
        <v>Integral</v>
      </c>
      <c r="G299" s="1" t="str">
        <f>IFERROR(__xludf.DUMMYFUNCTION("""COMPUTED_VALUE"""),"Comum")</f>
        <v>Comum</v>
      </c>
      <c r="H299" s="1" t="str">
        <f>IFERROR(__xludf.DUMMYFUNCTION("""COMPUTED_VALUE"""),"1")</f>
        <v>1</v>
      </c>
      <c r="I299" s="6" t="str">
        <f>IFERROR(__xludf.DUMMYFUNCTION("""COMPUTED_VALUE"""),"26022254695")</f>
        <v>26022254695</v>
      </c>
      <c r="J299" s="1" t="str">
        <f>IFERROR(__xludf.DUMMYFUNCTION("""COMPUTED_VALUE"""),"26/02/2026 09:33:21")</f>
        <v>26/02/2026 09:33:21</v>
      </c>
      <c r="K299" s="1" t="str">
        <f>IFERROR(__xludf.DUMMYFUNCTION("""COMPUTED_VALUE"""),"MELANIE LORENA SOARES DA SILVA")</f>
        <v>MELANIE LORENA SOARES DA SILVA</v>
      </c>
      <c r="L299" s="7" t="str">
        <f>IFERROR(__xludf.DUMMYFUNCTION("""COMPUTED_VALUE"""),"003.731.354-16")</f>
        <v>003.731.354-16</v>
      </c>
      <c r="M299" s="7" t="str">
        <f>IFERROR(__xludf.DUMMYFUNCTION("""COMPUTED_VALUE"""),"20/07/2024")</f>
        <v>20/07/2024</v>
      </c>
      <c r="N299" s="1"/>
      <c r="O299" s="1" t="str">
        <f>IFERROR(__xludf.DUMMYFUNCTION("""COMPUTED_VALUE"""),"0")</f>
        <v>0</v>
      </c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5.75" customHeight="1">
      <c r="A300" s="1"/>
      <c r="B300" s="1" t="str">
        <f t="array" ref="B300">XLOOKUP(C300,Tabela_1[NOME ESCOLA PONTO ID],Tabela_1[REGIONAL],"NE",0)</f>
        <v>REGIONAL 2</v>
      </c>
      <c r="C300" s="3" t="str">
        <f>IFERROR(__xludf.DUMMYFUNCTION("""COMPUTED_VALUE"""),"CRECHE PROFESSORA LEDA MARIA QUEIROZ DO REGO BARROS")</f>
        <v>CRECHE PROFESSORA LEDA MARIA QUEIROZ DO REGO BARROS</v>
      </c>
      <c r="D300" s="1" t="str">
        <f>IFERROR(__xludf.DUMMYFUNCTION("""COMPUTED_VALUE"""),"26190168")</f>
        <v>26190168</v>
      </c>
      <c r="E300" s="1" t="str">
        <f>IFERROR(__xludf.DUMMYFUNCTION("""COMPUTED_VALUE"""),"INFANTIL 1")</f>
        <v>INFANTIL 1</v>
      </c>
      <c r="F300" s="1" t="str">
        <f>IFERROR(__xludf.DUMMYFUNCTION("""COMPUTED_VALUE"""),"Integral")</f>
        <v>Integral</v>
      </c>
      <c r="G300" s="1" t="str">
        <f>IFERROR(__xludf.DUMMYFUNCTION("""COMPUTED_VALUE"""),"Comum")</f>
        <v>Comum</v>
      </c>
      <c r="H300" s="1" t="str">
        <f>IFERROR(__xludf.DUMMYFUNCTION("""COMPUTED_VALUE"""),"2")</f>
        <v>2</v>
      </c>
      <c r="I300" s="6" t="str">
        <f>IFERROR(__xludf.DUMMYFUNCTION("""COMPUTED_VALUE"""),"26042151076")</f>
        <v>26042151076</v>
      </c>
      <c r="J300" s="1" t="str">
        <f>IFERROR(__xludf.DUMMYFUNCTION("""COMPUTED_VALUE"""),"05/04/2026 16:11:06")</f>
        <v>05/04/2026 16:11:06</v>
      </c>
      <c r="K300" s="1" t="str">
        <f>IFERROR(__xludf.DUMMYFUNCTION("""COMPUTED_VALUE"""),"THÉO NICOLAS FERREIRA GERMANO")</f>
        <v>THÉO NICOLAS FERREIRA GERMANO</v>
      </c>
      <c r="L300" s="5" t="str">
        <f>IFERROR(__xludf.DUMMYFUNCTION("""COMPUTED_VALUE"""),"004.175.444-13")</f>
        <v>004.175.444-13</v>
      </c>
      <c r="M300" s="5" t="str">
        <f>IFERROR(__xludf.DUMMYFUNCTION("""COMPUTED_VALUE"""),"27/09/2024")</f>
        <v>27/09/2024</v>
      </c>
      <c r="N300" s="1"/>
      <c r="O300" s="1" t="str">
        <f>IFERROR(__xludf.DUMMYFUNCTION("""COMPUTED_VALUE"""),"0")</f>
        <v>0</v>
      </c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5.75" customHeight="1">
      <c r="A301" s="1"/>
      <c r="B301" s="1" t="str">
        <f t="array" ref="B301">XLOOKUP(C301,Tabela_1[NOME ESCOLA PONTO ID],Tabela_1[REGIONAL],"NE",0)</f>
        <v>REGIONAL 2</v>
      </c>
      <c r="C301" s="3" t="str">
        <f>IFERROR(__xludf.DUMMYFUNCTION("""COMPUTED_VALUE"""),"CRECHE PROFESSORA LEDA MARIA QUEIROZ DO REGO BARROS")</f>
        <v>CRECHE PROFESSORA LEDA MARIA QUEIROZ DO REGO BARROS</v>
      </c>
      <c r="D301" s="1" t="str">
        <f>IFERROR(__xludf.DUMMYFUNCTION("""COMPUTED_VALUE"""),"26190168")</f>
        <v>26190168</v>
      </c>
      <c r="E301" s="1" t="str">
        <f>IFERROR(__xludf.DUMMYFUNCTION("""COMPUTED_VALUE"""),"INFANTIL 1")</f>
        <v>INFANTIL 1</v>
      </c>
      <c r="F301" s="1" t="str">
        <f>IFERROR(__xludf.DUMMYFUNCTION("""COMPUTED_VALUE"""),"Integral")</f>
        <v>Integral</v>
      </c>
      <c r="G301" s="1" t="str">
        <f>IFERROR(__xludf.DUMMYFUNCTION("""COMPUTED_VALUE"""),"Comum")</f>
        <v>Comum</v>
      </c>
      <c r="H301" s="1" t="str">
        <f>IFERROR(__xludf.DUMMYFUNCTION("""COMPUTED_VALUE"""),"3")</f>
        <v>3</v>
      </c>
      <c r="I301" s="6" t="str">
        <f>IFERROR(__xludf.DUMMYFUNCTION("""COMPUTED_VALUE"""),"26052865103")</f>
        <v>26052865103</v>
      </c>
      <c r="J301" s="1" t="str">
        <f>IFERROR(__xludf.DUMMYFUNCTION("""COMPUTED_VALUE"""),"25/05/2026 11:20:13")</f>
        <v>25/05/2026 11:20:13</v>
      </c>
      <c r="K301" s="1" t="str">
        <f>IFERROR(__xludf.DUMMYFUNCTION("""COMPUTED_VALUE"""),"Maria Clara Martins Da Silva")</f>
        <v>Maria Clara Martins Da Silva</v>
      </c>
      <c r="L301" s="7" t="str">
        <f>IFERROR(__xludf.DUMMYFUNCTION("""COMPUTED_VALUE"""),"003.270.114-40")</f>
        <v>003.270.114-40</v>
      </c>
      <c r="M301" s="5" t="str">
        <f>IFERROR(__xludf.DUMMYFUNCTION("""COMPUTED_VALUE"""),"22/04/2024")</f>
        <v>22/04/2024</v>
      </c>
      <c r="N301" s="1"/>
      <c r="O301" s="1" t="str">
        <f>IFERROR(__xludf.DUMMYFUNCTION("""COMPUTED_VALUE"""),"0")</f>
        <v>0</v>
      </c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5.75" customHeight="1">
      <c r="A302" s="1"/>
      <c r="B302" s="1" t="str">
        <f t="array" ref="B302">XLOOKUP(C302,Tabela_1[NOME ESCOLA PONTO ID],Tabela_1[REGIONAL],"NE",0)</f>
        <v>REGIONAL 2</v>
      </c>
      <c r="C302" s="3" t="str">
        <f>IFERROR(__xludf.DUMMYFUNCTION("""COMPUTED_VALUE"""),"CRECHE PROFESSORA LEDA MARIA QUEIROZ DO REGO BARROS")</f>
        <v>CRECHE PROFESSORA LEDA MARIA QUEIROZ DO REGO BARROS</v>
      </c>
      <c r="D302" s="1" t="str">
        <f>IFERROR(__xludf.DUMMYFUNCTION("""COMPUTED_VALUE"""),"26190168")</f>
        <v>26190168</v>
      </c>
      <c r="E302" s="1" t="str">
        <f>IFERROR(__xludf.DUMMYFUNCTION("""COMPUTED_VALUE"""),"INFANTIL 1")</f>
        <v>INFANTIL 1</v>
      </c>
      <c r="F302" s="1" t="str">
        <f>IFERROR(__xludf.DUMMYFUNCTION("""COMPUTED_VALUE"""),"Integral")</f>
        <v>Integral</v>
      </c>
      <c r="G302" s="1" t="str">
        <f>IFERROR(__xludf.DUMMYFUNCTION("""COMPUTED_VALUE"""),"Comum")</f>
        <v>Comum</v>
      </c>
      <c r="H302" s="1" t="str">
        <f>IFERROR(__xludf.DUMMYFUNCTION("""COMPUTED_VALUE"""),"4")</f>
        <v>4</v>
      </c>
      <c r="I302" s="6" t="str">
        <f>IFERROR(__xludf.DUMMYFUNCTION("""COMPUTED_VALUE"""),"26062003445")</f>
        <v>26062003445</v>
      </c>
      <c r="J302" s="1" t="str">
        <f>IFERROR(__xludf.DUMMYFUNCTION("""COMPUTED_VALUE"""),"01/06/2026 12:02:51")</f>
        <v>01/06/2026 12:02:51</v>
      </c>
      <c r="K302" s="1" t="str">
        <f>IFERROR(__xludf.DUMMYFUNCTION("""COMPUTED_VALUE"""),"Rannah Valentina Vieira Muniz da Silva")</f>
        <v>Rannah Valentina Vieira Muniz da Silva</v>
      </c>
      <c r="L302" s="5" t="str">
        <f>IFERROR(__xludf.DUMMYFUNCTION("""COMPUTED_VALUE"""),"005.668.444-43")</f>
        <v>005.668.444-43</v>
      </c>
      <c r="M302" s="5" t="str">
        <f>IFERROR(__xludf.DUMMYFUNCTION("""COMPUTED_VALUE"""),"18/03/2025")</f>
        <v>18/03/2025</v>
      </c>
      <c r="N302" s="1"/>
      <c r="O302" s="1" t="str">
        <f>IFERROR(__xludf.DUMMYFUNCTION("""COMPUTED_VALUE"""),"0")</f>
        <v>0</v>
      </c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5.75" customHeight="1">
      <c r="A303" s="1"/>
      <c r="B303" s="1" t="str">
        <f t="array" ref="B303">XLOOKUP(C303,Tabela_1[NOME ESCOLA PONTO ID],Tabela_1[REGIONAL],"NE",0)</f>
        <v>REGIONAL 2</v>
      </c>
      <c r="C303" s="3" t="str">
        <f>IFERROR(__xludf.DUMMYFUNCTION("""COMPUTED_VALUE"""),"CRECHE PROFESSORA LEDA MARIA QUEIROZ DO REGO BARROS")</f>
        <v>CRECHE PROFESSORA LEDA MARIA QUEIROZ DO REGO BARROS</v>
      </c>
      <c r="D303" s="1" t="str">
        <f>IFERROR(__xludf.DUMMYFUNCTION("""COMPUTED_VALUE"""),"26190168")</f>
        <v>26190168</v>
      </c>
      <c r="E303" s="1" t="str">
        <f>IFERROR(__xludf.DUMMYFUNCTION("""COMPUTED_VALUE"""),"INFANTIL 2")</f>
        <v>INFANTIL 2</v>
      </c>
      <c r="F303" s="1" t="str">
        <f>IFERROR(__xludf.DUMMYFUNCTION("""COMPUTED_VALUE"""),"Integral")</f>
        <v>Integral</v>
      </c>
      <c r="G303" s="1" t="str">
        <f>IFERROR(__xludf.DUMMYFUNCTION("""COMPUTED_VALUE"""),"Comum")</f>
        <v>Comum</v>
      </c>
      <c r="H303" s="1" t="str">
        <f>IFERROR(__xludf.DUMMYFUNCTION("""COMPUTED_VALUE"""),"1")</f>
        <v>1</v>
      </c>
      <c r="I303" s="6" t="str">
        <f>IFERROR(__xludf.DUMMYFUNCTION("""COMPUTED_VALUE"""),"26022307802")</f>
        <v>26022307802</v>
      </c>
      <c r="J303" s="1" t="str">
        <f>IFERROR(__xludf.DUMMYFUNCTION("""COMPUTED_VALUE"""),"02/02/2026 18:41:44")</f>
        <v>02/02/2026 18:41:44</v>
      </c>
      <c r="K303" s="1" t="str">
        <f>IFERROR(__xludf.DUMMYFUNCTION("""COMPUTED_VALUE"""),"YAN KLEYSLER DE SOUZA PORTO")</f>
        <v>YAN KLEYSLER DE SOUZA PORTO</v>
      </c>
      <c r="L303" s="7" t="str">
        <f>IFERROR(__xludf.DUMMYFUNCTION("""COMPUTED_VALUE"""),"185.920.164-44")</f>
        <v>185.920.164-44</v>
      </c>
      <c r="M303" s="5" t="str">
        <f>IFERROR(__xludf.DUMMYFUNCTION("""COMPUTED_VALUE"""),"24/06/2023")</f>
        <v>24/06/2023</v>
      </c>
      <c r="N303" s="1"/>
      <c r="O303" s="1" t="str">
        <f>IFERROR(__xludf.DUMMYFUNCTION("""COMPUTED_VALUE"""),"0")</f>
        <v>0</v>
      </c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5.75" customHeight="1">
      <c r="A304" s="1"/>
      <c r="B304" s="1" t="str">
        <f t="array" ref="B304">XLOOKUP(C304,Tabela_1[NOME ESCOLA PONTO ID],Tabela_1[REGIONAL],"NE",0)</f>
        <v>REGIONAL 2</v>
      </c>
      <c r="C304" s="3" t="str">
        <f>IFERROR(__xludf.DUMMYFUNCTION("""COMPUTED_VALUE"""),"CRECHE PROFESSORA LEDA MARIA QUEIROZ DO REGO BARROS")</f>
        <v>CRECHE PROFESSORA LEDA MARIA QUEIROZ DO REGO BARROS</v>
      </c>
      <c r="D304" s="1" t="str">
        <f>IFERROR(__xludf.DUMMYFUNCTION("""COMPUTED_VALUE"""),"26190168")</f>
        <v>26190168</v>
      </c>
      <c r="E304" s="1" t="str">
        <f>IFERROR(__xludf.DUMMYFUNCTION("""COMPUTED_VALUE"""),"INFANTIL 2")</f>
        <v>INFANTIL 2</v>
      </c>
      <c r="F304" s="1" t="str">
        <f>IFERROR(__xludf.DUMMYFUNCTION("""COMPUTED_VALUE"""),"Integral")</f>
        <v>Integral</v>
      </c>
      <c r="G304" s="1" t="str">
        <f>IFERROR(__xludf.DUMMYFUNCTION("""COMPUTED_VALUE"""),"Comum")</f>
        <v>Comum</v>
      </c>
      <c r="H304" s="1" t="str">
        <f>IFERROR(__xludf.DUMMYFUNCTION("""COMPUTED_VALUE"""),"2")</f>
        <v>2</v>
      </c>
      <c r="I304" s="6" t="str">
        <f>IFERROR(__xludf.DUMMYFUNCTION("""COMPUTED_VALUE"""),"26022670060")</f>
        <v>26022670060</v>
      </c>
      <c r="J304" s="1" t="str">
        <f>IFERROR(__xludf.DUMMYFUNCTION("""COMPUTED_VALUE"""),"09/02/2026 08:20:49")</f>
        <v>09/02/2026 08:20:49</v>
      </c>
      <c r="K304" s="1" t="str">
        <f>IFERROR(__xludf.DUMMYFUNCTION("""COMPUTED_VALUE"""),"THEODORO RODRIGUES DE SOUZA")</f>
        <v>THEODORO RODRIGUES DE SOUZA</v>
      </c>
      <c r="L304" s="7" t="str">
        <f>IFERROR(__xludf.DUMMYFUNCTION("""COMPUTED_VALUE"""),"002.234.014-98")</f>
        <v>002.234.014-98</v>
      </c>
      <c r="M304" s="5" t="str">
        <f>IFERROR(__xludf.DUMMYFUNCTION("""COMPUTED_VALUE"""),"10/03/2024")</f>
        <v>10/03/2024</v>
      </c>
      <c r="N304" s="1"/>
      <c r="O304" s="1" t="str">
        <f>IFERROR(__xludf.DUMMYFUNCTION("""COMPUTED_VALUE"""),"0")</f>
        <v>0</v>
      </c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5.75" customHeight="1">
      <c r="A305" s="1"/>
      <c r="B305" s="1" t="str">
        <f t="array" ref="B305">XLOOKUP(C305,Tabela_1[NOME ESCOLA PONTO ID],Tabela_1[REGIONAL],"NE",0)</f>
        <v>REGIONAL 2</v>
      </c>
      <c r="C305" s="3" t="str">
        <f>IFERROR(__xludf.DUMMYFUNCTION("""COMPUTED_VALUE"""),"CRECHE PROFESSORA LEDA MARIA QUEIROZ DO REGO BARROS")</f>
        <v>CRECHE PROFESSORA LEDA MARIA QUEIROZ DO REGO BARROS</v>
      </c>
      <c r="D305" s="1" t="str">
        <f>IFERROR(__xludf.DUMMYFUNCTION("""COMPUTED_VALUE"""),"26190168")</f>
        <v>26190168</v>
      </c>
      <c r="E305" s="1" t="str">
        <f>IFERROR(__xludf.DUMMYFUNCTION("""COMPUTED_VALUE"""),"INFANTIL 2")</f>
        <v>INFANTIL 2</v>
      </c>
      <c r="F305" s="1" t="str">
        <f>IFERROR(__xludf.DUMMYFUNCTION("""COMPUTED_VALUE"""),"Integral")</f>
        <v>Integral</v>
      </c>
      <c r="G305" s="1" t="str">
        <f>IFERROR(__xludf.DUMMYFUNCTION("""COMPUTED_VALUE"""),"Comum")</f>
        <v>Comum</v>
      </c>
      <c r="H305" s="1" t="str">
        <f>IFERROR(__xludf.DUMMYFUNCTION("""COMPUTED_VALUE"""),"3")</f>
        <v>3</v>
      </c>
      <c r="I305" s="4" t="str">
        <f>IFERROR(__xludf.DUMMYFUNCTION("""COMPUTED_VALUE"""),"26032703170")</f>
        <v>26032703170</v>
      </c>
      <c r="J305" s="1" t="str">
        <f>IFERROR(__xludf.DUMMYFUNCTION("""COMPUTED_VALUE"""),"09/03/2026 10:20:55")</f>
        <v>09/03/2026 10:20:55</v>
      </c>
      <c r="K305" s="1" t="str">
        <f>IFERROR(__xludf.DUMMYFUNCTION("""COMPUTED_VALUE"""),"SARAH JAAZIELY DA SILVA ALMEIDA")</f>
        <v>SARAH JAAZIELY DA SILVA ALMEIDA</v>
      </c>
      <c r="L305" s="5" t="str">
        <f>IFERROR(__xludf.DUMMYFUNCTION("""COMPUTED_VALUE"""),"185.906.584-81")</f>
        <v>185.906.584-81</v>
      </c>
      <c r="M305" s="5" t="str">
        <f>IFERROR(__xludf.DUMMYFUNCTION("""COMPUTED_VALUE"""),"19/06/2023")</f>
        <v>19/06/2023</v>
      </c>
      <c r="N305" s="1"/>
      <c r="O305" s="1" t="str">
        <f>IFERROR(__xludf.DUMMYFUNCTION("""COMPUTED_VALUE"""),"0")</f>
        <v>0</v>
      </c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5.75" customHeight="1">
      <c r="A306" s="1"/>
      <c r="B306" s="1" t="str">
        <f t="array" ref="B306">XLOOKUP(C306,Tabela_1[NOME ESCOLA PONTO ID],Tabela_1[REGIONAL],"NE",0)</f>
        <v>REGIONAL 2</v>
      </c>
      <c r="C306" s="3" t="str">
        <f>IFERROR(__xludf.DUMMYFUNCTION("""COMPUTED_VALUE"""),"CRECHE PROFESSORA LEDA MARIA QUEIROZ DO REGO BARROS")</f>
        <v>CRECHE PROFESSORA LEDA MARIA QUEIROZ DO REGO BARROS</v>
      </c>
      <c r="D306" s="1" t="str">
        <f>IFERROR(__xludf.DUMMYFUNCTION("""COMPUTED_VALUE"""),"26190168")</f>
        <v>26190168</v>
      </c>
      <c r="E306" s="1" t="str">
        <f>IFERROR(__xludf.DUMMYFUNCTION("""COMPUTED_VALUE"""),"INFANTIL 2")</f>
        <v>INFANTIL 2</v>
      </c>
      <c r="F306" s="1" t="str">
        <f>IFERROR(__xludf.DUMMYFUNCTION("""COMPUTED_VALUE"""),"Integral")</f>
        <v>Integral</v>
      </c>
      <c r="G306" s="1" t="str">
        <f>IFERROR(__xludf.DUMMYFUNCTION("""COMPUTED_VALUE"""),"Comum")</f>
        <v>Comum</v>
      </c>
      <c r="H306" s="1" t="str">
        <f>IFERROR(__xludf.DUMMYFUNCTION("""COMPUTED_VALUE"""),"4")</f>
        <v>4</v>
      </c>
      <c r="I306" s="4" t="str">
        <f>IFERROR(__xludf.DUMMYFUNCTION("""COMPUTED_VALUE"""),"26042780193")</f>
        <v>26042780193</v>
      </c>
      <c r="J306" s="1" t="str">
        <f>IFERROR(__xludf.DUMMYFUNCTION("""COMPUTED_VALUE"""),"10/04/2026 02:09:34")</f>
        <v>10/04/2026 02:09:34</v>
      </c>
      <c r="K306" s="1" t="str">
        <f>IFERROR(__xludf.DUMMYFUNCTION("""COMPUTED_VALUE"""),"SAMUEL RICARDO SANTOS DO NASCIMENTO")</f>
        <v>SAMUEL RICARDO SANTOS DO NASCIMENTO</v>
      </c>
      <c r="L306" s="5" t="str">
        <f>IFERROR(__xludf.DUMMYFUNCTION("""COMPUTED_VALUE"""),"186.203.434-67")</f>
        <v>186.203.434-67</v>
      </c>
      <c r="M306" s="5" t="str">
        <f>IFERROR(__xludf.DUMMYFUNCTION("""COMPUTED_VALUE"""),"10/08/2023")</f>
        <v>10/08/2023</v>
      </c>
      <c r="N306" s="1"/>
      <c r="O306" s="1" t="str">
        <f>IFERROR(__xludf.DUMMYFUNCTION("""COMPUTED_VALUE"""),"0")</f>
        <v>0</v>
      </c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5.75" customHeight="1">
      <c r="A307" s="1"/>
      <c r="B307" s="1" t="str">
        <f t="array" ref="B307">XLOOKUP(C307,Tabela_1[NOME ESCOLA PONTO ID],Tabela_1[REGIONAL],"NE",0)</f>
        <v>REGIONAL 2</v>
      </c>
      <c r="C307" s="3" t="str">
        <f>IFERROR(__xludf.DUMMYFUNCTION("""COMPUTED_VALUE"""),"CRECHE PROFESSORA LEDA MARIA QUEIROZ DO REGO BARROS")</f>
        <v>CRECHE PROFESSORA LEDA MARIA QUEIROZ DO REGO BARROS</v>
      </c>
      <c r="D307" s="1" t="str">
        <f>IFERROR(__xludf.DUMMYFUNCTION("""COMPUTED_VALUE"""),"26190168")</f>
        <v>26190168</v>
      </c>
      <c r="E307" s="1" t="str">
        <f>IFERROR(__xludf.DUMMYFUNCTION("""COMPUTED_VALUE"""),"INFANTIL 2")</f>
        <v>INFANTIL 2</v>
      </c>
      <c r="F307" s="1" t="str">
        <f>IFERROR(__xludf.DUMMYFUNCTION("""COMPUTED_VALUE"""),"Integral")</f>
        <v>Integral</v>
      </c>
      <c r="G307" s="1" t="str">
        <f>IFERROR(__xludf.DUMMYFUNCTION("""COMPUTED_VALUE"""),"Comum")</f>
        <v>Comum</v>
      </c>
      <c r="H307" s="1" t="str">
        <f>IFERROR(__xludf.DUMMYFUNCTION("""COMPUTED_VALUE"""),"5")</f>
        <v>5</v>
      </c>
      <c r="I307" s="4" t="str">
        <f>IFERROR(__xludf.DUMMYFUNCTION("""COMPUTED_VALUE"""),"26042615582")</f>
        <v>26042615582</v>
      </c>
      <c r="J307" s="1" t="str">
        <f>IFERROR(__xludf.DUMMYFUNCTION("""COMPUTED_VALUE"""),"22/04/2026 11:52:44")</f>
        <v>22/04/2026 11:52:44</v>
      </c>
      <c r="K307" s="1" t="str">
        <f>IFERROR(__xludf.DUMMYFUNCTION("""COMPUTED_VALUE"""),"HARIEL MIGUEL FAUSTINO")</f>
        <v>HARIEL MIGUEL FAUSTINO</v>
      </c>
      <c r="L307" s="5" t="str">
        <f>IFERROR(__xludf.DUMMYFUNCTION("""COMPUTED_VALUE"""),"186.111.564-47")</f>
        <v>186.111.564-47</v>
      </c>
      <c r="M307" s="5" t="str">
        <f>IFERROR(__xludf.DUMMYFUNCTION("""COMPUTED_VALUE"""),"15/07/2023")</f>
        <v>15/07/2023</v>
      </c>
      <c r="N307" s="1"/>
      <c r="O307" s="1" t="str">
        <f>IFERROR(__xludf.DUMMYFUNCTION("""COMPUTED_VALUE"""),"0")</f>
        <v>0</v>
      </c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5.75" customHeight="1">
      <c r="A308" s="1"/>
      <c r="B308" s="1" t="str">
        <f t="array" ref="B308">XLOOKUP(C308,Tabela_1[NOME ESCOLA PONTO ID],Tabela_1[REGIONAL],"NE",0)</f>
        <v>REGIONAL 5</v>
      </c>
      <c r="C308" s="3" t="str">
        <f>IFERROR(__xludf.DUMMYFUNCTION("""COMPUTED_VALUE"""),"ESCOLA DIVINA PROVIDENCIA")</f>
        <v>ESCOLA DIVINA PROVIDENCIA</v>
      </c>
      <c r="D308" s="1" t="str">
        <f>IFERROR(__xludf.DUMMYFUNCTION("""COMPUTED_VALUE"""),"26111659")</f>
        <v>26111659</v>
      </c>
      <c r="E308" s="1" t="str">
        <f>IFERROR(__xludf.DUMMYFUNCTION("""COMPUTED_VALUE"""),"INFANTIL 4")</f>
        <v>INFANTIL 4</v>
      </c>
      <c r="F308" s="1" t="str">
        <f>IFERROR(__xludf.DUMMYFUNCTION("""COMPUTED_VALUE"""),"Matutino/Manhã")</f>
        <v>Matutino/Manhã</v>
      </c>
      <c r="G308" s="1" t="str">
        <f>IFERROR(__xludf.DUMMYFUNCTION("""COMPUTED_VALUE"""),"Comum")</f>
        <v>Comum</v>
      </c>
      <c r="H308" s="1" t="str">
        <f>IFERROR(__xludf.DUMMYFUNCTION("""COMPUTED_VALUE"""),"1")</f>
        <v>1</v>
      </c>
      <c r="I308" s="6" t="str">
        <f>IFERROR(__xludf.DUMMYFUNCTION("""COMPUTED_VALUE"""),"26062788275")</f>
        <v>26062788275</v>
      </c>
      <c r="J308" s="1" t="str">
        <f>IFERROR(__xludf.DUMMYFUNCTION("""COMPUTED_VALUE"""),"08/06/2026 19:28:24")</f>
        <v>08/06/2026 19:28:24</v>
      </c>
      <c r="K308" s="1" t="str">
        <f>IFERROR(__xludf.DUMMYFUNCTION("""COMPUTED_VALUE"""),"Lorena raphaelly farias da Silva")</f>
        <v>Lorena raphaelly farias da Silva</v>
      </c>
      <c r="L308" s="5" t="str">
        <f>IFERROR(__xludf.DUMMYFUNCTION("""COMPUTED_VALUE"""),"176.546.304-17")</f>
        <v>176.546.304-17</v>
      </c>
      <c r="M308" s="5" t="str">
        <f>IFERROR(__xludf.DUMMYFUNCTION("""COMPUTED_VALUE"""),"22/04/2021")</f>
        <v>22/04/2021</v>
      </c>
      <c r="N308" s="1"/>
      <c r="O308" s="1" t="str">
        <f>IFERROR(__xludf.DUMMYFUNCTION("""COMPUTED_VALUE"""),"0")</f>
        <v>0</v>
      </c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5.75" customHeight="1">
      <c r="A309" s="1"/>
      <c r="B309" s="1" t="str">
        <f t="array" ref="B309">XLOOKUP(C309,Tabela_1[NOME ESCOLA PONTO ID],Tabela_1[REGIONAL],"NE",0)</f>
        <v>REGIONAL 5</v>
      </c>
      <c r="C309" s="3" t="str">
        <f>IFERROR(__xludf.DUMMYFUNCTION("""COMPUTED_VALUE"""),"ESCOLA DIVINA PROVIDENCIA")</f>
        <v>ESCOLA DIVINA PROVIDENCIA</v>
      </c>
      <c r="D309" s="1" t="str">
        <f>IFERROR(__xludf.DUMMYFUNCTION("""COMPUTED_VALUE"""),"26111659")</f>
        <v>26111659</v>
      </c>
      <c r="E309" s="1" t="str">
        <f>IFERROR(__xludf.DUMMYFUNCTION("""COMPUTED_VALUE"""),"INFANTIL 4")</f>
        <v>INFANTIL 4</v>
      </c>
      <c r="F309" s="1" t="str">
        <f>IFERROR(__xludf.DUMMYFUNCTION("""COMPUTED_VALUE"""),"Vespertino/Tarde")</f>
        <v>Vespertino/Tarde</v>
      </c>
      <c r="G309" s="1" t="str">
        <f>IFERROR(__xludf.DUMMYFUNCTION("""COMPUTED_VALUE"""),"Comum")</f>
        <v>Comum</v>
      </c>
      <c r="H309" s="1" t="str">
        <f>IFERROR(__xludf.DUMMYFUNCTION("""COMPUTED_VALUE"""),"1")</f>
        <v>1</v>
      </c>
      <c r="I309" s="6" t="str">
        <f>IFERROR(__xludf.DUMMYFUNCTION("""COMPUTED_VALUE"""),"26042415086")</f>
        <v>26042415086</v>
      </c>
      <c r="J309" s="1" t="str">
        <f>IFERROR(__xludf.DUMMYFUNCTION("""COMPUTED_VALUE"""),"26/04/2026 13:27:45")</f>
        <v>26/04/2026 13:27:45</v>
      </c>
      <c r="K309" s="1" t="str">
        <f>IFERROR(__xludf.DUMMYFUNCTION("""COMPUTED_VALUE"""),"DAVI LUIS GOMES DA SILVA")</f>
        <v>DAVI LUIS GOMES DA SILVA</v>
      </c>
      <c r="L309" s="5" t="str">
        <f>IFERROR(__xludf.DUMMYFUNCTION("""COMPUTED_VALUE"""),"178.029.944-38")</f>
        <v>178.029.944-38</v>
      </c>
      <c r="M309" s="5" t="str">
        <f>IFERROR(__xludf.DUMMYFUNCTION("""COMPUTED_VALUE"""),"27/08/2021")</f>
        <v>27/08/2021</v>
      </c>
      <c r="N309" s="1"/>
      <c r="O309" s="1" t="str">
        <f>IFERROR(__xludf.DUMMYFUNCTION("""COMPUTED_VALUE"""),"0")</f>
        <v>0</v>
      </c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5.75" customHeight="1">
      <c r="A310" s="1"/>
      <c r="B310" s="1" t="str">
        <f t="array" ref="B310">XLOOKUP(C310,Tabela_1[NOME ESCOLA PONTO ID],Tabela_1[REGIONAL],"NE",0)</f>
        <v>REGIONAL 5</v>
      </c>
      <c r="C310" s="3" t="str">
        <f>IFERROR(__xludf.DUMMYFUNCTION("""COMPUTED_VALUE"""),"ESCOLA DIVINA PROVIDENCIA")</f>
        <v>ESCOLA DIVINA PROVIDENCIA</v>
      </c>
      <c r="D310" s="1" t="str">
        <f>IFERROR(__xludf.DUMMYFUNCTION("""COMPUTED_VALUE"""),"26111659")</f>
        <v>26111659</v>
      </c>
      <c r="E310" s="1" t="str">
        <f>IFERROR(__xludf.DUMMYFUNCTION("""COMPUTED_VALUE"""),"INFANTIL 5")</f>
        <v>INFANTIL 5</v>
      </c>
      <c r="F310" s="1" t="str">
        <f>IFERROR(__xludf.DUMMYFUNCTION("""COMPUTED_VALUE"""),"Matutino/Manhã")</f>
        <v>Matutino/Manhã</v>
      </c>
      <c r="G310" s="1" t="str">
        <f>IFERROR(__xludf.DUMMYFUNCTION("""COMPUTED_VALUE"""),"Comum")</f>
        <v>Comum</v>
      </c>
      <c r="H310" s="1" t="str">
        <f>IFERROR(__xludf.DUMMYFUNCTION("""COMPUTED_VALUE"""),"1")</f>
        <v>1</v>
      </c>
      <c r="I310" s="6" t="str">
        <f>IFERROR(__xludf.DUMMYFUNCTION("""COMPUTED_VALUE"""),"26012524949")</f>
        <v>26012524949</v>
      </c>
      <c r="J310" s="1" t="str">
        <f>IFERROR(__xludf.DUMMYFUNCTION("""COMPUTED_VALUE"""),"29/01/2026 16:35:18")</f>
        <v>29/01/2026 16:35:18</v>
      </c>
      <c r="K310" s="1" t="str">
        <f>IFERROR(__xludf.DUMMYFUNCTION("""COMPUTED_VALUE"""),"APOLLO VALENTIM MELO DA SILVA")</f>
        <v>APOLLO VALENTIM MELO DA SILVA</v>
      </c>
      <c r="L310" s="5" t="str">
        <f>IFERROR(__xludf.DUMMYFUNCTION("""COMPUTED_VALUE"""),"175.742.254-43")</f>
        <v>175.742.254-43</v>
      </c>
      <c r="M310" s="5" t="str">
        <f>IFERROR(__xludf.DUMMYFUNCTION("""COMPUTED_VALUE"""),"09/12/2020")</f>
        <v>09/12/2020</v>
      </c>
      <c r="N310" s="1"/>
      <c r="O310" s="1" t="str">
        <f>IFERROR(__xludf.DUMMYFUNCTION("""COMPUTED_VALUE"""),"0")</f>
        <v>0</v>
      </c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5.75" customHeight="1">
      <c r="A311" s="1"/>
      <c r="B311" s="1" t="str">
        <f t="array" ref="B311">XLOOKUP(C311,Tabela_1[NOME ESCOLA PONTO ID],Tabela_1[REGIONAL],"NE",0)</f>
        <v>REGIONAL 5</v>
      </c>
      <c r="C311" s="3" t="str">
        <f>IFERROR(__xludf.DUMMYFUNCTION("""COMPUTED_VALUE"""),"ESCOLA DIVINA PROVIDENCIA")</f>
        <v>ESCOLA DIVINA PROVIDENCIA</v>
      </c>
      <c r="D311" s="1" t="str">
        <f>IFERROR(__xludf.DUMMYFUNCTION("""COMPUTED_VALUE"""),"26111659")</f>
        <v>26111659</v>
      </c>
      <c r="E311" s="1" t="str">
        <f>IFERROR(__xludf.DUMMYFUNCTION("""COMPUTED_VALUE"""),"INFANTIL 5")</f>
        <v>INFANTIL 5</v>
      </c>
      <c r="F311" s="1" t="str">
        <f>IFERROR(__xludf.DUMMYFUNCTION("""COMPUTED_VALUE"""),"Matutino/Manhã")</f>
        <v>Matutino/Manhã</v>
      </c>
      <c r="G311" s="1" t="str">
        <f>IFERROR(__xludf.DUMMYFUNCTION("""COMPUTED_VALUE"""),"Comum")</f>
        <v>Comum</v>
      </c>
      <c r="H311" s="1" t="str">
        <f>IFERROR(__xludf.DUMMYFUNCTION("""COMPUTED_VALUE"""),"2")</f>
        <v>2</v>
      </c>
      <c r="I311" s="6" t="str">
        <f>IFERROR(__xludf.DUMMYFUNCTION("""COMPUTED_VALUE"""),"26022875186")</f>
        <v>26022875186</v>
      </c>
      <c r="J311" s="1" t="str">
        <f>IFERROR(__xludf.DUMMYFUNCTION("""COMPUTED_VALUE"""),"09/02/2026 13:32:07")</f>
        <v>09/02/2026 13:32:07</v>
      </c>
      <c r="K311" s="1" t="str">
        <f>IFERROR(__xludf.DUMMYFUNCTION("""COMPUTED_VALUE"""),"RYAN JOSE GONÇALVES DIAS DOS SANTOS")</f>
        <v>RYAN JOSE GONÇALVES DIAS DOS SANTOS</v>
      </c>
      <c r="L311" s="5" t="str">
        <f>IFERROR(__xludf.DUMMYFUNCTION("""COMPUTED_VALUE"""),"174.223.224-89")</f>
        <v>174.223.224-89</v>
      </c>
      <c r="M311" s="5" t="str">
        <f>IFERROR(__xludf.DUMMYFUNCTION("""COMPUTED_VALUE"""),"18/11/2020")</f>
        <v>18/11/2020</v>
      </c>
      <c r="N311" s="1"/>
      <c r="O311" s="1" t="str">
        <f>IFERROR(__xludf.DUMMYFUNCTION("""COMPUTED_VALUE"""),"0")</f>
        <v>0</v>
      </c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5.75" customHeight="1">
      <c r="A312" s="1"/>
      <c r="B312" s="1" t="str">
        <f t="array" ref="B312">XLOOKUP(C312,Tabela_1[NOME ESCOLA PONTO ID],Tabela_1[REGIONAL],"NE",0)</f>
        <v>REGIONAL 5</v>
      </c>
      <c r="C312" s="3" t="str">
        <f>IFERROR(__xludf.DUMMYFUNCTION("""COMPUTED_VALUE"""),"ESCOLA DIVINA PROVIDENCIA")</f>
        <v>ESCOLA DIVINA PROVIDENCIA</v>
      </c>
      <c r="D312" s="1" t="str">
        <f>IFERROR(__xludf.DUMMYFUNCTION("""COMPUTED_VALUE"""),"26111659")</f>
        <v>26111659</v>
      </c>
      <c r="E312" s="1" t="str">
        <f>IFERROR(__xludf.DUMMYFUNCTION("""COMPUTED_VALUE"""),"INFANTIL 5")</f>
        <v>INFANTIL 5</v>
      </c>
      <c r="F312" s="1" t="str">
        <f>IFERROR(__xludf.DUMMYFUNCTION("""COMPUTED_VALUE"""),"Matutino/Manhã")</f>
        <v>Matutino/Manhã</v>
      </c>
      <c r="G312" s="1" t="str">
        <f>IFERROR(__xludf.DUMMYFUNCTION("""COMPUTED_VALUE"""),"Comum")</f>
        <v>Comum</v>
      </c>
      <c r="H312" s="1" t="str">
        <f>IFERROR(__xludf.DUMMYFUNCTION("""COMPUTED_VALUE"""),"3")</f>
        <v>3</v>
      </c>
      <c r="I312" s="6" t="str">
        <f>IFERROR(__xludf.DUMMYFUNCTION("""COMPUTED_VALUE"""),"26022004708")</f>
        <v>26022004708</v>
      </c>
      <c r="J312" s="1" t="str">
        <f>IFERROR(__xludf.DUMMYFUNCTION("""COMPUTED_VALUE"""),"26/02/2026 10:13:54")</f>
        <v>26/02/2026 10:13:54</v>
      </c>
      <c r="K312" s="1" t="str">
        <f>IFERROR(__xludf.DUMMYFUNCTION("""COMPUTED_VALUE"""),"ANTHONY PIETRO ALVES DA SILVA")</f>
        <v>ANTHONY PIETRO ALVES DA SILVA</v>
      </c>
      <c r="L312" s="5" t="str">
        <f>IFERROR(__xludf.DUMMYFUNCTION("""COMPUTED_VALUE"""),"176.736.264-11")</f>
        <v>176.736.264-11</v>
      </c>
      <c r="M312" s="5" t="str">
        <f>IFERROR(__xludf.DUMMYFUNCTION("""COMPUTED_VALUE"""),"01/01/2021")</f>
        <v>01/01/2021</v>
      </c>
      <c r="N312" s="1"/>
      <c r="O312" s="1" t="str">
        <f>IFERROR(__xludf.DUMMYFUNCTION("""COMPUTED_VALUE"""),"0")</f>
        <v>0</v>
      </c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5.75" customHeight="1">
      <c r="A313" s="1"/>
      <c r="B313" s="1" t="str">
        <f t="array" ref="B313">XLOOKUP(C313,Tabela_1[NOME ESCOLA PONTO ID],Tabela_1[REGIONAL],"NE",0)</f>
        <v>REGIONAL 5</v>
      </c>
      <c r="C313" s="3" t="str">
        <f>IFERROR(__xludf.DUMMYFUNCTION("""COMPUTED_VALUE"""),"ESCOLA DIVINA PROVIDENCIA")</f>
        <v>ESCOLA DIVINA PROVIDENCIA</v>
      </c>
      <c r="D313" s="1" t="str">
        <f>IFERROR(__xludf.DUMMYFUNCTION("""COMPUTED_VALUE"""),"26111659")</f>
        <v>26111659</v>
      </c>
      <c r="E313" s="1" t="str">
        <f>IFERROR(__xludf.DUMMYFUNCTION("""COMPUTED_VALUE"""),"INFANTIL 5")</f>
        <v>INFANTIL 5</v>
      </c>
      <c r="F313" s="1" t="str">
        <f>IFERROR(__xludf.DUMMYFUNCTION("""COMPUTED_VALUE"""),"Vespertino/Tarde")</f>
        <v>Vespertino/Tarde</v>
      </c>
      <c r="G313" s="1" t="str">
        <f>IFERROR(__xludf.DUMMYFUNCTION("""COMPUTED_VALUE"""),"Comum")</f>
        <v>Comum</v>
      </c>
      <c r="H313" s="1" t="str">
        <f>IFERROR(__xludf.DUMMYFUNCTION("""COMPUTED_VALUE"""),"1")</f>
        <v>1</v>
      </c>
      <c r="I313" s="6" t="str">
        <f>IFERROR(__xludf.DUMMYFUNCTION("""COMPUTED_VALUE"""),"26012838763")</f>
        <v>26012838763</v>
      </c>
      <c r="J313" s="1" t="str">
        <f>IFERROR(__xludf.DUMMYFUNCTION("""COMPUTED_VALUE"""),"28/01/2026 08:59:44")</f>
        <v>28/01/2026 08:59:44</v>
      </c>
      <c r="K313" s="1" t="str">
        <f>IFERROR(__xludf.DUMMYFUNCTION("""COMPUTED_VALUE"""),"LAUREN HELOÍSA")</f>
        <v>LAUREN HELOÍSA</v>
      </c>
      <c r="L313" s="7" t="str">
        <f>IFERROR(__xludf.DUMMYFUNCTION("""COMPUTED_VALUE"""),"173.232.204-08")</f>
        <v>173.232.204-08</v>
      </c>
      <c r="M313" s="7" t="str">
        <f>IFERROR(__xludf.DUMMYFUNCTION("""COMPUTED_VALUE"""),"18/08/2020")</f>
        <v>18/08/2020</v>
      </c>
      <c r="N313" s="1"/>
      <c r="O313" s="1" t="str">
        <f>IFERROR(__xludf.DUMMYFUNCTION("""COMPUTED_VALUE"""),"0")</f>
        <v>0</v>
      </c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5.75" customHeight="1">
      <c r="A314" s="1"/>
      <c r="B314" s="1" t="str">
        <f t="array" ref="B314">XLOOKUP(C314,Tabela_1[NOME ESCOLA PONTO ID],Tabela_1[REGIONAL],"NE",0)</f>
        <v>REGIONAL 5</v>
      </c>
      <c r="C314" s="3" t="str">
        <f>IFERROR(__xludf.DUMMYFUNCTION("""COMPUTED_VALUE"""),"ESCOLA DIVINA PROVIDENCIA")</f>
        <v>ESCOLA DIVINA PROVIDENCIA</v>
      </c>
      <c r="D314" s="1" t="str">
        <f>IFERROR(__xludf.DUMMYFUNCTION("""COMPUTED_VALUE"""),"26111659")</f>
        <v>26111659</v>
      </c>
      <c r="E314" s="1" t="str">
        <f>IFERROR(__xludf.DUMMYFUNCTION("""COMPUTED_VALUE"""),"INFANTIL 5")</f>
        <v>INFANTIL 5</v>
      </c>
      <c r="F314" s="1" t="str">
        <f>IFERROR(__xludf.DUMMYFUNCTION("""COMPUTED_VALUE"""),"Vespertino/Tarde")</f>
        <v>Vespertino/Tarde</v>
      </c>
      <c r="G314" s="1" t="str">
        <f>IFERROR(__xludf.DUMMYFUNCTION("""COMPUTED_VALUE"""),"Comum")</f>
        <v>Comum</v>
      </c>
      <c r="H314" s="1" t="str">
        <f>IFERROR(__xludf.DUMMYFUNCTION("""COMPUTED_VALUE"""),"2")</f>
        <v>2</v>
      </c>
      <c r="I314" s="6" t="str">
        <f>IFERROR(__xludf.DUMMYFUNCTION("""COMPUTED_VALUE"""),"26012224020")</f>
        <v>26012224020</v>
      </c>
      <c r="J314" s="1" t="str">
        <f>IFERROR(__xludf.DUMMYFUNCTION("""COMPUTED_VALUE"""),"28/01/2026 13:07:11")</f>
        <v>28/01/2026 13:07:11</v>
      </c>
      <c r="K314" s="1" t="str">
        <f>IFERROR(__xludf.DUMMYFUNCTION("""COMPUTED_VALUE"""),"AYLLA SOPHIA ASSUNÇÃO DA SILVA")</f>
        <v>AYLLA SOPHIA ASSUNÇÃO DA SILVA</v>
      </c>
      <c r="L314" s="5" t="str">
        <f>IFERROR(__xludf.DUMMYFUNCTION("""COMPUTED_VALUE"""),"171.767.474-74")</f>
        <v>171.767.474-74</v>
      </c>
      <c r="M314" s="5" t="str">
        <f>IFERROR(__xludf.DUMMYFUNCTION("""COMPUTED_VALUE"""),"06/05/2020")</f>
        <v>06/05/2020</v>
      </c>
      <c r="N314" s="1"/>
      <c r="O314" s="1" t="str">
        <f>IFERROR(__xludf.DUMMYFUNCTION("""COMPUTED_VALUE"""),"0")</f>
        <v>0</v>
      </c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5.75" customHeight="1">
      <c r="A315" s="1"/>
      <c r="B315" s="1" t="str">
        <f t="array" ref="B315">XLOOKUP(C315,Tabela_1[NOME ESCOLA PONTO ID],Tabela_1[REGIONAL],"NE",0)</f>
        <v>REGIONAL 5</v>
      </c>
      <c r="C315" s="3" t="str">
        <f>IFERROR(__xludf.DUMMYFUNCTION("""COMPUTED_VALUE"""),"ESCOLA DIVINA PROVIDENCIA")</f>
        <v>ESCOLA DIVINA PROVIDENCIA</v>
      </c>
      <c r="D315" s="1" t="str">
        <f>IFERROR(__xludf.DUMMYFUNCTION("""COMPUTED_VALUE"""),"26111659")</f>
        <v>26111659</v>
      </c>
      <c r="E315" s="1" t="str">
        <f>IFERROR(__xludf.DUMMYFUNCTION("""COMPUTED_VALUE"""),"INFANTIL 5")</f>
        <v>INFANTIL 5</v>
      </c>
      <c r="F315" s="1" t="str">
        <f>IFERROR(__xludf.DUMMYFUNCTION("""COMPUTED_VALUE"""),"Vespertino/Tarde")</f>
        <v>Vespertino/Tarde</v>
      </c>
      <c r="G315" s="1" t="str">
        <f>IFERROR(__xludf.DUMMYFUNCTION("""COMPUTED_VALUE"""),"Comum")</f>
        <v>Comum</v>
      </c>
      <c r="H315" s="1" t="str">
        <f>IFERROR(__xludf.DUMMYFUNCTION("""COMPUTED_VALUE"""),"3")</f>
        <v>3</v>
      </c>
      <c r="I315" s="6" t="str">
        <f>IFERROR(__xludf.DUMMYFUNCTION("""COMPUTED_VALUE"""),"26022432207")</f>
        <v>26022432207</v>
      </c>
      <c r="J315" s="1" t="str">
        <f>IFERROR(__xludf.DUMMYFUNCTION("""COMPUTED_VALUE"""),"04/02/2026 18:23:41")</f>
        <v>04/02/2026 18:23:41</v>
      </c>
      <c r="K315" s="1" t="str">
        <f>IFERROR(__xludf.DUMMYFUNCTION("""COMPUTED_VALUE"""),"LUANNY FERREIRA SANTIAGO")</f>
        <v>LUANNY FERREIRA SANTIAGO</v>
      </c>
      <c r="L315" s="5" t="str">
        <f>IFERROR(__xludf.DUMMYFUNCTION("""COMPUTED_VALUE"""),"172.863.234-07")</f>
        <v>172.863.234-07</v>
      </c>
      <c r="M315" s="5" t="str">
        <f>IFERROR(__xludf.DUMMYFUNCTION("""COMPUTED_VALUE"""),"07/04/2020")</f>
        <v>07/04/2020</v>
      </c>
      <c r="N315" s="1"/>
      <c r="O315" s="1" t="str">
        <f>IFERROR(__xludf.DUMMYFUNCTION("""COMPUTED_VALUE"""),"0")</f>
        <v>0</v>
      </c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5.75" customHeight="1">
      <c r="A316" s="1"/>
      <c r="B316" s="1" t="str">
        <f t="array" ref="B316">XLOOKUP(C316,Tabela_1[NOME ESCOLA PONTO ID],Tabela_1[REGIONAL],"NE",0)</f>
        <v>REGIONAL 5</v>
      </c>
      <c r="C316" s="3" t="str">
        <f>IFERROR(__xludf.DUMMYFUNCTION("""COMPUTED_VALUE"""),"ESCOLA DIVINA PROVIDENCIA")</f>
        <v>ESCOLA DIVINA PROVIDENCIA</v>
      </c>
      <c r="D316" s="1" t="str">
        <f>IFERROR(__xludf.DUMMYFUNCTION("""COMPUTED_VALUE"""),"26111659")</f>
        <v>26111659</v>
      </c>
      <c r="E316" s="1" t="str">
        <f>IFERROR(__xludf.DUMMYFUNCTION("""COMPUTED_VALUE"""),"INFANTIL 5")</f>
        <v>INFANTIL 5</v>
      </c>
      <c r="F316" s="1" t="str">
        <f>IFERROR(__xludf.DUMMYFUNCTION("""COMPUTED_VALUE"""),"Vespertino/Tarde")</f>
        <v>Vespertino/Tarde</v>
      </c>
      <c r="G316" s="1" t="str">
        <f>IFERROR(__xludf.DUMMYFUNCTION("""COMPUTED_VALUE"""),"Comum")</f>
        <v>Comum</v>
      </c>
      <c r="H316" s="1" t="str">
        <f>IFERROR(__xludf.DUMMYFUNCTION("""COMPUTED_VALUE"""),"4")</f>
        <v>4</v>
      </c>
      <c r="I316" s="6" t="str">
        <f>IFERROR(__xludf.DUMMYFUNCTION("""COMPUTED_VALUE"""),"26062450861")</f>
        <v>26062450861</v>
      </c>
      <c r="J316" s="1" t="str">
        <f>IFERROR(__xludf.DUMMYFUNCTION("""COMPUTED_VALUE"""),"09/06/2026 13:37:11")</f>
        <v>09/06/2026 13:37:11</v>
      </c>
      <c r="K316" s="1" t="str">
        <f>IFERROR(__xludf.DUMMYFUNCTION("""COMPUTED_VALUE"""),"VITOR HUGO GOMES DO NASCIMENTO")</f>
        <v>VITOR HUGO GOMES DO NASCIMENTO</v>
      </c>
      <c r="L316" s="5" t="str">
        <f>IFERROR(__xludf.DUMMYFUNCTION("""COMPUTED_VALUE"""),"174.039.834-32")</f>
        <v>174.039.834-32</v>
      </c>
      <c r="M316" s="7" t="str">
        <f>IFERROR(__xludf.DUMMYFUNCTION("""COMPUTED_VALUE"""),"05/10/2020")</f>
        <v>05/10/2020</v>
      </c>
      <c r="N316" s="1"/>
      <c r="O316" s="1" t="str">
        <f>IFERROR(__xludf.DUMMYFUNCTION("""COMPUTED_VALUE"""),"0")</f>
        <v>0</v>
      </c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5.75" customHeight="1">
      <c r="A317" s="1"/>
      <c r="B317" s="1" t="str">
        <f t="array" ref="B317">XLOOKUP(C317,Tabela_1[NOME ESCOLA PONTO ID],Tabela_1[REGIONAL],"NE",0)</f>
        <v>REGIONAL 6</v>
      </c>
      <c r="C317" s="3" t="str">
        <f>IFERROR(__xludf.DUMMYFUNCTION("""COMPUTED_VALUE"""),"ESCOLA MUNICIPAL ALMIRANTE TAMANDARE")</f>
        <v>ESCOLA MUNICIPAL ALMIRANTE TAMANDARE</v>
      </c>
      <c r="D317" s="1" t="str">
        <f>IFERROR(__xludf.DUMMYFUNCTION("""COMPUTED_VALUE"""),"26109328")</f>
        <v>26109328</v>
      </c>
      <c r="E317" s="1" t="str">
        <f>IFERROR(__xludf.DUMMYFUNCTION("""COMPUTED_VALUE"""),"INFANTIL 4")</f>
        <v>INFANTIL 4</v>
      </c>
      <c r="F317" s="1" t="str">
        <f>IFERROR(__xludf.DUMMYFUNCTION("""COMPUTED_VALUE"""),"Vespertino/Tarde")</f>
        <v>Vespertino/Tarde</v>
      </c>
      <c r="G317" s="1" t="str">
        <f>IFERROR(__xludf.DUMMYFUNCTION("""COMPUTED_VALUE"""),"Comum")</f>
        <v>Comum</v>
      </c>
      <c r="H317" s="1" t="str">
        <f>IFERROR(__xludf.DUMMYFUNCTION("""COMPUTED_VALUE"""),"1")</f>
        <v>1</v>
      </c>
      <c r="I317" s="6" t="str">
        <f>IFERROR(__xludf.DUMMYFUNCTION("""COMPUTED_VALUE"""),"26042789624")</f>
        <v>26042789624</v>
      </c>
      <c r="J317" s="1" t="str">
        <f>IFERROR(__xludf.DUMMYFUNCTION("""COMPUTED_VALUE"""),"06/04/2026 09:58:26")</f>
        <v>06/04/2026 09:58:26</v>
      </c>
      <c r="K317" s="1" t="str">
        <f>IFERROR(__xludf.DUMMYFUNCTION("""COMPUTED_VALUE"""),"HENRIQUE MATEUS SANTANA DA SILVA")</f>
        <v>HENRIQUE MATEUS SANTANA DA SILVA</v>
      </c>
      <c r="L317" s="5" t="str">
        <f>IFERROR(__xludf.DUMMYFUNCTION("""COMPUTED_VALUE"""),"180.914.944-40")</f>
        <v>180.914.944-40</v>
      </c>
      <c r="M317" s="5" t="str">
        <f>IFERROR(__xludf.DUMMYFUNCTION("""COMPUTED_VALUE"""),"17/01/2022")</f>
        <v>17/01/2022</v>
      </c>
      <c r="N317" s="1"/>
      <c r="O317" s="1" t="str">
        <f>IFERROR(__xludf.DUMMYFUNCTION("""COMPUTED_VALUE"""),"0")</f>
        <v>0</v>
      </c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5.75" customHeight="1">
      <c r="A318" s="1"/>
      <c r="B318" s="1" t="str">
        <f t="array" ref="B318">XLOOKUP(C318,Tabela_1[NOME ESCOLA PONTO ID],Tabela_1[REGIONAL],"NE",0)</f>
        <v>REGIONAL 6</v>
      </c>
      <c r="C318" s="3" t="str">
        <f>IFERROR(__xludf.DUMMYFUNCTION("""COMPUTED_VALUE"""),"ESCOLA MUNICIPAL ALMIRANTE TAMANDARE")</f>
        <v>ESCOLA MUNICIPAL ALMIRANTE TAMANDARE</v>
      </c>
      <c r="D318" s="1" t="str">
        <f>IFERROR(__xludf.DUMMYFUNCTION("""COMPUTED_VALUE"""),"26109328")</f>
        <v>26109328</v>
      </c>
      <c r="E318" s="1" t="str">
        <f>IFERROR(__xludf.DUMMYFUNCTION("""COMPUTED_VALUE"""),"INFANTIL 5")</f>
        <v>INFANTIL 5</v>
      </c>
      <c r="F318" s="1" t="str">
        <f>IFERROR(__xludf.DUMMYFUNCTION("""COMPUTED_VALUE"""),"Matutino/Manhã")</f>
        <v>Matutino/Manhã</v>
      </c>
      <c r="G318" s="1" t="str">
        <f>IFERROR(__xludf.DUMMYFUNCTION("""COMPUTED_VALUE"""),"Comum")</f>
        <v>Comum</v>
      </c>
      <c r="H318" s="1" t="str">
        <f>IFERROR(__xludf.DUMMYFUNCTION("""COMPUTED_VALUE"""),"1")</f>
        <v>1</v>
      </c>
      <c r="I318" s="6" t="str">
        <f>IFERROR(__xludf.DUMMYFUNCTION("""COMPUTED_VALUE"""),"26032041396")</f>
        <v>26032041396</v>
      </c>
      <c r="J318" s="1" t="str">
        <f>IFERROR(__xludf.DUMMYFUNCTION("""COMPUTED_VALUE"""),"16/03/2026 10:20:01")</f>
        <v>16/03/2026 10:20:01</v>
      </c>
      <c r="K318" s="1" t="str">
        <f>IFERROR(__xludf.DUMMYFUNCTION("""COMPUTED_VALUE"""),"MARIA LUIZA ALVES DOS SANTOS")</f>
        <v>MARIA LUIZA ALVES DOS SANTOS</v>
      </c>
      <c r="L318" s="5" t="str">
        <f>IFERROR(__xludf.DUMMYFUNCTION("""COMPUTED_VALUE"""),"176.993.744-79")</f>
        <v>176.993.744-79</v>
      </c>
      <c r="M318" s="7" t="str">
        <f>IFERROR(__xludf.DUMMYFUNCTION("""COMPUTED_VALUE"""),"30/11/2020")</f>
        <v>30/11/2020</v>
      </c>
      <c r="N318" s="1"/>
      <c r="O318" s="1" t="str">
        <f>IFERROR(__xludf.DUMMYFUNCTION("""COMPUTED_VALUE"""),"0")</f>
        <v>0</v>
      </c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5.75" customHeight="1">
      <c r="A319" s="1"/>
      <c r="B319" s="1" t="str">
        <f t="array" ref="B319">XLOOKUP(C319,Tabela_1[NOME ESCOLA PONTO ID],Tabela_1[REGIONAL],"NE",0)</f>
        <v>REGIONAL 6</v>
      </c>
      <c r="C319" s="3" t="str">
        <f>IFERROR(__xludf.DUMMYFUNCTION("""COMPUTED_VALUE"""),"ESCOLA MUNICIPAL ALMIRANTE TAMANDARE")</f>
        <v>ESCOLA MUNICIPAL ALMIRANTE TAMANDARE</v>
      </c>
      <c r="D319" s="1" t="str">
        <f>IFERROR(__xludf.DUMMYFUNCTION("""COMPUTED_VALUE"""),"26109328")</f>
        <v>26109328</v>
      </c>
      <c r="E319" s="1" t="str">
        <f>IFERROR(__xludf.DUMMYFUNCTION("""COMPUTED_VALUE"""),"INFANTIL 5")</f>
        <v>INFANTIL 5</v>
      </c>
      <c r="F319" s="1" t="str">
        <f>IFERROR(__xludf.DUMMYFUNCTION("""COMPUTED_VALUE"""),"Vespertino/Tarde")</f>
        <v>Vespertino/Tarde</v>
      </c>
      <c r="G319" s="1" t="str">
        <f>IFERROR(__xludf.DUMMYFUNCTION("""COMPUTED_VALUE"""),"Comum")</f>
        <v>Comum</v>
      </c>
      <c r="H319" s="1" t="str">
        <f>IFERROR(__xludf.DUMMYFUNCTION("""COMPUTED_VALUE"""),"1")</f>
        <v>1</v>
      </c>
      <c r="I319" s="6" t="str">
        <f>IFERROR(__xludf.DUMMYFUNCTION("""COMPUTED_VALUE"""),"26022576294")</f>
        <v>26022576294</v>
      </c>
      <c r="J319" s="1" t="str">
        <f>IFERROR(__xludf.DUMMYFUNCTION("""COMPUTED_VALUE"""),"25/02/2026 15:33:50")</f>
        <v>25/02/2026 15:33:50</v>
      </c>
      <c r="K319" s="1" t="str">
        <f>IFERROR(__xludf.DUMMYFUNCTION("""COMPUTED_VALUE"""),"ANNA JÚLIA CAMPELO DOS SANTOS")</f>
        <v>ANNA JÚLIA CAMPELO DOS SANTOS</v>
      </c>
      <c r="L319" s="5" t="str">
        <f>IFERROR(__xludf.DUMMYFUNCTION("""COMPUTED_VALUE"""),"174.878.864-76")</f>
        <v>174.878.864-76</v>
      </c>
      <c r="M319" s="5" t="str">
        <f>IFERROR(__xludf.DUMMYFUNCTION("""COMPUTED_VALUE"""),"02/01/2021")</f>
        <v>02/01/2021</v>
      </c>
      <c r="N319" s="1"/>
      <c r="O319" s="1" t="str">
        <f>IFERROR(__xludf.DUMMYFUNCTION("""COMPUTED_VALUE"""),"0")</f>
        <v>0</v>
      </c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5.75" customHeight="1">
      <c r="A320" s="1"/>
      <c r="B320" s="1" t="str">
        <f t="array" ref="B320">XLOOKUP(C320,Tabela_1[NOME ESCOLA PONTO ID],Tabela_1[REGIONAL],"NE",0)</f>
        <v>REGIONAL 6</v>
      </c>
      <c r="C320" s="3" t="str">
        <f>IFERROR(__xludf.DUMMYFUNCTION("""COMPUTED_VALUE"""),"ESCOLA MUNICIPAL ALMIRANTE TAMANDARE")</f>
        <v>ESCOLA MUNICIPAL ALMIRANTE TAMANDARE</v>
      </c>
      <c r="D320" s="1" t="str">
        <f>IFERROR(__xludf.DUMMYFUNCTION("""COMPUTED_VALUE"""),"26109328")</f>
        <v>26109328</v>
      </c>
      <c r="E320" s="1" t="str">
        <f>IFERROR(__xludf.DUMMYFUNCTION("""COMPUTED_VALUE"""),"INFANTIL 5")</f>
        <v>INFANTIL 5</v>
      </c>
      <c r="F320" s="1" t="str">
        <f>IFERROR(__xludf.DUMMYFUNCTION("""COMPUTED_VALUE"""),"Vespertino/Tarde")</f>
        <v>Vespertino/Tarde</v>
      </c>
      <c r="G320" s="1" t="str">
        <f>IFERROR(__xludf.DUMMYFUNCTION("""COMPUTED_VALUE"""),"Comum")</f>
        <v>Comum</v>
      </c>
      <c r="H320" s="1" t="str">
        <f>IFERROR(__xludf.DUMMYFUNCTION("""COMPUTED_VALUE"""),"2")</f>
        <v>2</v>
      </c>
      <c r="I320" s="6" t="str">
        <f>IFERROR(__xludf.DUMMYFUNCTION("""COMPUTED_VALUE"""),"26022573901")</f>
        <v>26022573901</v>
      </c>
      <c r="J320" s="1" t="str">
        <f>IFERROR(__xludf.DUMMYFUNCTION("""COMPUTED_VALUE"""),"26/02/2026 13:57:57")</f>
        <v>26/02/2026 13:57:57</v>
      </c>
      <c r="K320" s="1" t="str">
        <f>IFERROR(__xludf.DUMMYFUNCTION("""COMPUTED_VALUE"""),"AYLLAHADASSAGOMESDASILVA")</f>
        <v>AYLLAHADASSAGOMESDASILVA</v>
      </c>
      <c r="L320" s="5" t="str">
        <f>IFERROR(__xludf.DUMMYFUNCTION("""COMPUTED_VALUE"""),"183.304.394-45")</f>
        <v>183.304.394-45</v>
      </c>
      <c r="M320" s="5" t="str">
        <f>IFERROR(__xludf.DUMMYFUNCTION("""COMPUTED_VALUE"""),"01/01/2021")</f>
        <v>01/01/2021</v>
      </c>
      <c r="N320" s="1"/>
      <c r="O320" s="1" t="str">
        <f>IFERROR(__xludf.DUMMYFUNCTION("""COMPUTED_VALUE"""),"0")</f>
        <v>0</v>
      </c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5.75" customHeight="1">
      <c r="A321" s="1"/>
      <c r="B321" s="1" t="str">
        <f t="array" ref="B321">XLOOKUP(C321,Tabela_1[NOME ESCOLA PONTO ID],Tabela_1[REGIONAL],"NE",0)</f>
        <v>REGIONAL 6</v>
      </c>
      <c r="C321" s="3" t="str">
        <f>IFERROR(__xludf.DUMMYFUNCTION("""COMPUTED_VALUE"""),"ESCOLA MUNICIPAL ALMIRANTE TAMANDARE")</f>
        <v>ESCOLA MUNICIPAL ALMIRANTE TAMANDARE</v>
      </c>
      <c r="D321" s="1" t="str">
        <f>IFERROR(__xludf.DUMMYFUNCTION("""COMPUTED_VALUE"""),"26109328")</f>
        <v>26109328</v>
      </c>
      <c r="E321" s="1" t="str">
        <f>IFERROR(__xludf.DUMMYFUNCTION("""COMPUTED_VALUE"""),"INFANTIL 5")</f>
        <v>INFANTIL 5</v>
      </c>
      <c r="F321" s="1" t="str">
        <f>IFERROR(__xludf.DUMMYFUNCTION("""COMPUTED_VALUE"""),"Vespertino/Tarde")</f>
        <v>Vespertino/Tarde</v>
      </c>
      <c r="G321" s="1" t="str">
        <f>IFERROR(__xludf.DUMMYFUNCTION("""COMPUTED_VALUE"""),"Comum")</f>
        <v>Comum</v>
      </c>
      <c r="H321" s="1" t="str">
        <f>IFERROR(__xludf.DUMMYFUNCTION("""COMPUTED_VALUE"""),"3")</f>
        <v>3</v>
      </c>
      <c r="I321" s="6" t="str">
        <f>IFERROR(__xludf.DUMMYFUNCTION("""COMPUTED_VALUE"""),"26052111146")</f>
        <v>26052111146</v>
      </c>
      <c r="J321" s="1" t="str">
        <f>IFERROR(__xludf.DUMMYFUNCTION("""COMPUTED_VALUE"""),"06/05/2026 08:39:09")</f>
        <v>06/05/2026 08:39:09</v>
      </c>
      <c r="K321" s="1" t="str">
        <f>IFERROR(__xludf.DUMMYFUNCTION("""COMPUTED_VALUE"""),"GABRIELA EMANUELY LEITE SANTOS")</f>
        <v>GABRIELA EMANUELY LEITE SANTOS</v>
      </c>
      <c r="L321" s="5" t="str">
        <f>IFERROR(__xludf.DUMMYFUNCTION("""COMPUTED_VALUE"""),"122.198.115-30")</f>
        <v>122.198.115-30</v>
      </c>
      <c r="M321" s="7" t="str">
        <f>IFERROR(__xludf.DUMMYFUNCTION("""COMPUTED_VALUE"""),"31/10/2020")</f>
        <v>31/10/2020</v>
      </c>
      <c r="N321" s="1"/>
      <c r="O321" s="1" t="str">
        <f>IFERROR(__xludf.DUMMYFUNCTION("""COMPUTED_VALUE"""),"0")</f>
        <v>0</v>
      </c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5.75" customHeight="1">
      <c r="A322" s="1"/>
      <c r="B322" s="1" t="str">
        <f t="array" ref="B322">XLOOKUP(C322,Tabela_1[NOME ESCOLA PONTO ID],Tabela_1[REGIONAL],"NE",0)</f>
        <v>REGIONAL 2</v>
      </c>
      <c r="C322" s="3" t="str">
        <f>IFERROR(__xludf.DUMMYFUNCTION("""COMPUTED_VALUE"""),"ESCOLA MUNICIPAL D EMERY CARNEIRO")</f>
        <v>ESCOLA MUNICIPAL D EMERY CARNEIRO</v>
      </c>
      <c r="D322" s="1" t="str">
        <f>IFERROR(__xludf.DUMMYFUNCTION("""COMPUTED_VALUE"""),"26110334")</f>
        <v>26110334</v>
      </c>
      <c r="E322" s="1" t="str">
        <f>IFERROR(__xludf.DUMMYFUNCTION("""COMPUTED_VALUE"""),"INFANTIL 4")</f>
        <v>INFANTIL 4</v>
      </c>
      <c r="F322" s="1" t="str">
        <f>IFERROR(__xludf.DUMMYFUNCTION("""COMPUTED_VALUE"""),"Vespertino/Tarde")</f>
        <v>Vespertino/Tarde</v>
      </c>
      <c r="G322" s="1" t="str">
        <f>IFERROR(__xludf.DUMMYFUNCTION("""COMPUTED_VALUE"""),"Comum")</f>
        <v>Comum</v>
      </c>
      <c r="H322" s="1" t="str">
        <f>IFERROR(__xludf.DUMMYFUNCTION("""COMPUTED_VALUE"""),"1")</f>
        <v>1</v>
      </c>
      <c r="I322" s="4" t="str">
        <f>IFERROR(__xludf.DUMMYFUNCTION("""COMPUTED_VALUE"""),"26052808259")</f>
        <v>26052808259</v>
      </c>
      <c r="J322" s="1" t="str">
        <f>IFERROR(__xludf.DUMMYFUNCTION("""COMPUTED_VALUE"""),"13/05/2026 15:16:04")</f>
        <v>13/05/2026 15:16:04</v>
      </c>
      <c r="K322" s="1" t="str">
        <f>IFERROR(__xludf.DUMMYFUNCTION("""COMPUTED_VALUE"""),"PEDRO HENRIQUE FERREIRA DA SILVA")</f>
        <v>PEDRO HENRIQUE FERREIRA DA SILVA</v>
      </c>
      <c r="L322" s="5" t="str">
        <f>IFERROR(__xludf.DUMMYFUNCTION("""COMPUTED_VALUE"""),"180.894.584-08")</f>
        <v>180.894.584-08</v>
      </c>
      <c r="M322" s="5" t="str">
        <f>IFERROR(__xludf.DUMMYFUNCTION("""COMPUTED_VALUE"""),"18/03/2022")</f>
        <v>18/03/2022</v>
      </c>
      <c r="N322" s="1"/>
      <c r="O322" s="1" t="str">
        <f>IFERROR(__xludf.DUMMYFUNCTION("""COMPUTED_VALUE"""),"0")</f>
        <v>0</v>
      </c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5.75" customHeight="1">
      <c r="A323" s="1"/>
      <c r="B323" s="1" t="str">
        <f t="array" ref="B323">XLOOKUP(C323,Tabela_1[NOME ESCOLA PONTO ID],Tabela_1[REGIONAL],"NE",0)</f>
        <v>REGIONAL 2</v>
      </c>
      <c r="C323" s="3" t="str">
        <f>IFERROR(__xludf.DUMMYFUNCTION("""COMPUTED_VALUE"""),"ESCOLA MUNICIPAL DAVINO TENORIO")</f>
        <v>ESCOLA MUNICIPAL DAVINO TENORIO</v>
      </c>
      <c r="D323" s="1" t="str">
        <f>IFERROR(__xludf.DUMMYFUNCTION("""COMPUTED_VALUE"""),"26110156")</f>
        <v>26110156</v>
      </c>
      <c r="E323" s="1" t="str">
        <f>IFERROR(__xludf.DUMMYFUNCTION("""COMPUTED_VALUE"""),"INFANTIL 4")</f>
        <v>INFANTIL 4</v>
      </c>
      <c r="F323" s="1" t="str">
        <f>IFERROR(__xludf.DUMMYFUNCTION("""COMPUTED_VALUE"""),"Vespertino/Tarde")</f>
        <v>Vespertino/Tarde</v>
      </c>
      <c r="G323" s="1" t="str">
        <f>IFERROR(__xludf.DUMMYFUNCTION("""COMPUTED_VALUE"""),"Comum")</f>
        <v>Comum</v>
      </c>
      <c r="H323" s="1" t="str">
        <f>IFERROR(__xludf.DUMMYFUNCTION("""COMPUTED_VALUE"""),"1")</f>
        <v>1</v>
      </c>
      <c r="I323" s="4" t="str">
        <f>IFERROR(__xludf.DUMMYFUNCTION("""COMPUTED_VALUE"""),"26022028644")</f>
        <v>26022028644</v>
      </c>
      <c r="J323" s="1" t="str">
        <f>IFERROR(__xludf.DUMMYFUNCTION("""COMPUTED_VALUE"""),"28/02/2026 09:06:10")</f>
        <v>28/02/2026 09:06:10</v>
      </c>
      <c r="K323" s="1" t="str">
        <f>IFERROR(__xludf.DUMMYFUNCTION("""COMPUTED_VALUE"""),"THEO VICTOR SOARES DA SILVA")</f>
        <v>THEO VICTOR SOARES DA SILVA</v>
      </c>
      <c r="L323" s="7" t="str">
        <f>IFERROR(__xludf.DUMMYFUNCTION("""COMPUTED_VALUE"""),"178.694.054-00")</f>
        <v>178.694.054-00</v>
      </c>
      <c r="M323" s="5" t="str">
        <f>IFERROR(__xludf.DUMMYFUNCTION("""COMPUTED_VALUE"""),"12/09/2021")</f>
        <v>12/09/2021</v>
      </c>
      <c r="N323" s="1"/>
      <c r="O323" s="1" t="str">
        <f>IFERROR(__xludf.DUMMYFUNCTION("""COMPUTED_VALUE"""),"0")</f>
        <v>0</v>
      </c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5.75" customHeight="1">
      <c r="A324" s="1"/>
      <c r="B324" s="1" t="str">
        <f t="array" ref="B324">XLOOKUP(C324,Tabela_1[NOME ESCOLA PONTO ID],Tabela_1[REGIONAL],"NE",0)</f>
        <v>REGIONAL 2</v>
      </c>
      <c r="C324" s="3" t="str">
        <f>IFERROR(__xludf.DUMMYFUNCTION("""COMPUTED_VALUE"""),"ESCOLA MUNICIPAL DAVINO TENORIO")</f>
        <v>ESCOLA MUNICIPAL DAVINO TENORIO</v>
      </c>
      <c r="D324" s="1" t="str">
        <f>IFERROR(__xludf.DUMMYFUNCTION("""COMPUTED_VALUE"""),"26110156")</f>
        <v>26110156</v>
      </c>
      <c r="E324" s="1" t="str">
        <f>IFERROR(__xludf.DUMMYFUNCTION("""COMPUTED_VALUE"""),"INFANTIL 4")</f>
        <v>INFANTIL 4</v>
      </c>
      <c r="F324" s="1" t="str">
        <f>IFERROR(__xludf.DUMMYFUNCTION("""COMPUTED_VALUE"""),"Vespertino/Tarde")</f>
        <v>Vespertino/Tarde</v>
      </c>
      <c r="G324" s="1" t="str">
        <f>IFERROR(__xludf.DUMMYFUNCTION("""COMPUTED_VALUE"""),"Comum")</f>
        <v>Comum</v>
      </c>
      <c r="H324" s="1" t="str">
        <f>IFERROR(__xludf.DUMMYFUNCTION("""COMPUTED_VALUE"""),"2")</f>
        <v>2</v>
      </c>
      <c r="I324" s="6" t="str">
        <f>IFERROR(__xludf.DUMMYFUNCTION("""COMPUTED_VALUE"""),"26042217151")</f>
        <v>26042217151</v>
      </c>
      <c r="J324" s="1" t="str">
        <f>IFERROR(__xludf.DUMMYFUNCTION("""COMPUTED_VALUE"""),"22/04/2026 12:05:06")</f>
        <v>22/04/2026 12:05:06</v>
      </c>
      <c r="K324" s="1" t="str">
        <f>IFERROR(__xludf.DUMMYFUNCTION("""COMPUTED_VALUE"""),"HENRY MIGUEL FAUSTINO")</f>
        <v>HENRY MIGUEL FAUSTINO</v>
      </c>
      <c r="L324" s="5" t="str">
        <f>IFERROR(__xludf.DUMMYFUNCTION("""COMPUTED_VALUE"""),"180.558.524-05")</f>
        <v>180.558.524-05</v>
      </c>
      <c r="M324" s="7" t="str">
        <f>IFERROR(__xludf.DUMMYFUNCTION("""COMPUTED_VALUE"""),"25/01/2022")</f>
        <v>25/01/2022</v>
      </c>
      <c r="N324" s="1"/>
      <c r="O324" s="1" t="str">
        <f>IFERROR(__xludf.DUMMYFUNCTION("""COMPUTED_VALUE"""),"0")</f>
        <v>0</v>
      </c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5.75" customHeight="1">
      <c r="A325" s="1"/>
      <c r="B325" s="1" t="str">
        <f t="array" ref="B325">XLOOKUP(C325,Tabela_1[NOME ESCOLA PONTO ID],Tabela_1[REGIONAL],"NE",0)</f>
        <v>REGIONAL 2</v>
      </c>
      <c r="C325" s="3" t="str">
        <f>IFERROR(__xludf.DUMMYFUNCTION("""COMPUTED_VALUE"""),"ESCOLA MUNICIPAL DAVINO TENORIO")</f>
        <v>ESCOLA MUNICIPAL DAVINO TENORIO</v>
      </c>
      <c r="D325" s="1" t="str">
        <f>IFERROR(__xludf.DUMMYFUNCTION("""COMPUTED_VALUE"""),"26110156")</f>
        <v>26110156</v>
      </c>
      <c r="E325" s="1" t="str">
        <f>IFERROR(__xludf.DUMMYFUNCTION("""COMPUTED_VALUE"""),"INFANTIL 4")</f>
        <v>INFANTIL 4</v>
      </c>
      <c r="F325" s="1" t="str">
        <f>IFERROR(__xludf.DUMMYFUNCTION("""COMPUTED_VALUE"""),"Vespertino/Tarde")</f>
        <v>Vespertino/Tarde</v>
      </c>
      <c r="G325" s="1" t="str">
        <f>IFERROR(__xludf.DUMMYFUNCTION("""COMPUTED_VALUE"""),"Comum")</f>
        <v>Comum</v>
      </c>
      <c r="H325" s="1" t="str">
        <f>IFERROR(__xludf.DUMMYFUNCTION("""COMPUTED_VALUE"""),"3")</f>
        <v>3</v>
      </c>
      <c r="I325" s="6" t="str">
        <f>IFERROR(__xludf.DUMMYFUNCTION("""COMPUTED_VALUE"""),"26062769227")</f>
        <v>26062769227</v>
      </c>
      <c r="J325" s="1" t="str">
        <f>IFERROR(__xludf.DUMMYFUNCTION("""COMPUTED_VALUE"""),"09/06/2026 15:50:31")</f>
        <v>09/06/2026 15:50:31</v>
      </c>
      <c r="K325" s="1" t="str">
        <f>IFERROR(__xludf.DUMMYFUNCTION("""COMPUTED_VALUE"""),"Luan")</f>
        <v>Luan</v>
      </c>
      <c r="L325" s="5" t="str">
        <f>IFERROR(__xludf.DUMMYFUNCTION("""COMPUTED_VALUE"""),"181.497.414-88")</f>
        <v>181.497.414-88</v>
      </c>
      <c r="M325" s="5" t="str">
        <f>IFERROR(__xludf.DUMMYFUNCTION("""COMPUTED_VALUE"""),"06/01/2022")</f>
        <v>06/01/2022</v>
      </c>
      <c r="N325" s="1"/>
      <c r="O325" s="1" t="str">
        <f>IFERROR(__xludf.DUMMYFUNCTION("""COMPUTED_VALUE"""),"0")</f>
        <v>0</v>
      </c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5.75" customHeight="1">
      <c r="A326" s="1"/>
      <c r="B326" s="1" t="str">
        <f t="array" ref="B326">XLOOKUP(C326,Tabela_1[NOME ESCOLA PONTO ID],Tabela_1[REGIONAL],"NE",0)</f>
        <v>REGIONAL 1</v>
      </c>
      <c r="C326" s="3" t="str">
        <f>IFERROR(__xludf.DUMMYFUNCTION("""COMPUTED_VALUE"""),"ESCOLA MUNICIPAL DOUTOR MAURÍCIO MARTINS DE ALBUQUERQUE")</f>
        <v>ESCOLA MUNICIPAL DOUTOR MAURÍCIO MARTINS DE ALBUQUERQUE</v>
      </c>
      <c r="D326" s="1" t="str">
        <f>IFERROR(__xludf.DUMMYFUNCTION("""COMPUTED_VALUE"""),"26109026")</f>
        <v>26109026</v>
      </c>
      <c r="E326" s="1" t="str">
        <f>IFERROR(__xludf.DUMMYFUNCTION("""COMPUTED_VALUE"""),"INFANTIL 5")</f>
        <v>INFANTIL 5</v>
      </c>
      <c r="F326" s="1" t="str">
        <f>IFERROR(__xludf.DUMMYFUNCTION("""COMPUTED_VALUE"""),"Vespertino/Tarde")</f>
        <v>Vespertino/Tarde</v>
      </c>
      <c r="G326" s="1" t="str">
        <f>IFERROR(__xludf.DUMMYFUNCTION("""COMPUTED_VALUE"""),"Comum")</f>
        <v>Comum</v>
      </c>
      <c r="H326" s="1" t="str">
        <f>IFERROR(__xludf.DUMMYFUNCTION("""COMPUTED_VALUE"""),"1")</f>
        <v>1</v>
      </c>
      <c r="I326" s="6" t="str">
        <f>IFERROR(__xludf.DUMMYFUNCTION("""COMPUTED_VALUE"""),"26032440829")</f>
        <v>26032440829</v>
      </c>
      <c r="J326" s="1" t="str">
        <f>IFERROR(__xludf.DUMMYFUNCTION("""COMPUTED_VALUE"""),"05/03/2026 10:57:10")</f>
        <v>05/03/2026 10:57:10</v>
      </c>
      <c r="K326" s="1" t="str">
        <f>IFERROR(__xludf.DUMMYFUNCTION("""COMPUTED_VALUE"""),"LETICIA MICAELI SANTOS DA SILVA")</f>
        <v>LETICIA MICAELI SANTOS DA SILVA</v>
      </c>
      <c r="L326" s="5" t="str">
        <f>IFERROR(__xludf.DUMMYFUNCTION("""COMPUTED_VALUE"""),"176.243.264-18")</f>
        <v>176.243.264-18</v>
      </c>
      <c r="M326" s="5" t="str">
        <f>IFERROR(__xludf.DUMMYFUNCTION("""COMPUTED_VALUE"""),"19/03/2021")</f>
        <v>19/03/2021</v>
      </c>
      <c r="N326" s="1"/>
      <c r="O326" s="1" t="str">
        <f>IFERROR(__xludf.DUMMYFUNCTION("""COMPUTED_VALUE"""),"0")</f>
        <v>0</v>
      </c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5.75" customHeight="1">
      <c r="A327" s="1"/>
      <c r="B327" s="1" t="str">
        <f t="array" ref="B327">XLOOKUP(C327,Tabela_1[NOME ESCOLA PONTO ID],Tabela_1[REGIONAL],"NE",0)</f>
        <v>REGIONAL 1</v>
      </c>
      <c r="C327" s="3" t="str">
        <f>IFERROR(__xludf.DUMMYFUNCTION("""COMPUTED_VALUE"""),"ESCOLA MUNICIPAL DR JOSE LEOPOLDINO")</f>
        <v>ESCOLA MUNICIPAL DR JOSE LEOPOLDINO</v>
      </c>
      <c r="D327" s="1" t="str">
        <f>IFERROR(__xludf.DUMMYFUNCTION("""COMPUTED_VALUE"""),"26110962")</f>
        <v>26110962</v>
      </c>
      <c r="E327" s="1" t="str">
        <f>IFERROR(__xludf.DUMMYFUNCTION("""COMPUTED_VALUE"""),"INFANTIL 5")</f>
        <v>INFANTIL 5</v>
      </c>
      <c r="F327" s="1" t="str">
        <f>IFERROR(__xludf.DUMMYFUNCTION("""COMPUTED_VALUE"""),"Vespertino/Tarde")</f>
        <v>Vespertino/Tarde</v>
      </c>
      <c r="G327" s="1" t="str">
        <f>IFERROR(__xludf.DUMMYFUNCTION("""COMPUTED_VALUE"""),"Comum")</f>
        <v>Comum</v>
      </c>
      <c r="H327" s="1" t="str">
        <f>IFERROR(__xludf.DUMMYFUNCTION("""COMPUTED_VALUE"""),"1")</f>
        <v>1</v>
      </c>
      <c r="I327" s="6" t="str">
        <f>IFERROR(__xludf.DUMMYFUNCTION("""COMPUTED_VALUE"""),"26062932359")</f>
        <v>26062932359</v>
      </c>
      <c r="J327" s="1" t="str">
        <f>IFERROR(__xludf.DUMMYFUNCTION("""COMPUTED_VALUE"""),"02/06/2026 19:20:33")</f>
        <v>02/06/2026 19:20:33</v>
      </c>
      <c r="K327" s="1" t="str">
        <f>IFERROR(__xludf.DUMMYFUNCTION("""COMPUTED_VALUE"""),"João Yuri belo da silva")</f>
        <v>João Yuri belo da silva</v>
      </c>
      <c r="L327" s="5" t="str">
        <f>IFERROR(__xludf.DUMMYFUNCTION("""COMPUTED_VALUE"""),"172.142.404-08")</f>
        <v>172.142.404-08</v>
      </c>
      <c r="M327" s="5" t="str">
        <f>IFERROR(__xludf.DUMMYFUNCTION("""COMPUTED_VALUE"""),"01/06/2020")</f>
        <v>01/06/2020</v>
      </c>
      <c r="N327" s="1"/>
      <c r="O327" s="1" t="str">
        <f>IFERROR(__xludf.DUMMYFUNCTION("""COMPUTED_VALUE"""),"0")</f>
        <v>0</v>
      </c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5.75" customHeight="1">
      <c r="A328" s="1"/>
      <c r="B328" s="1" t="str">
        <f t="array" ref="B328">XLOOKUP(C328,Tabela_1[NOME ESCOLA PONTO ID],Tabela_1[REGIONAL],"NE",0)</f>
        <v>REGIONAL 2</v>
      </c>
      <c r="C328" s="3" t="str">
        <f>IFERROR(__xludf.DUMMYFUNCTION("""COMPUTED_VALUE"""),"ESCOLA MUNICIPAL DR LUIZ REGUEIRA")</f>
        <v>ESCOLA MUNICIPAL DR LUIZ REGUEIRA</v>
      </c>
      <c r="D328" s="1" t="str">
        <f>IFERROR(__xludf.DUMMYFUNCTION("""COMPUTED_VALUE"""),"26541734")</f>
        <v>26541734</v>
      </c>
      <c r="E328" s="1" t="str">
        <f>IFERROR(__xludf.DUMMYFUNCTION("""COMPUTED_VALUE"""),"INFANTIL 4")</f>
        <v>INFANTIL 4</v>
      </c>
      <c r="F328" s="1" t="str">
        <f>IFERROR(__xludf.DUMMYFUNCTION("""COMPUTED_VALUE"""),"Matutino/Manhã")</f>
        <v>Matutino/Manhã</v>
      </c>
      <c r="G328" s="1" t="str">
        <f>IFERROR(__xludf.DUMMYFUNCTION("""COMPUTED_VALUE"""),"Comum")</f>
        <v>Comum</v>
      </c>
      <c r="H328" s="1" t="str">
        <f>IFERROR(__xludf.DUMMYFUNCTION("""COMPUTED_VALUE"""),"1")</f>
        <v>1</v>
      </c>
      <c r="I328" s="6" t="str">
        <f>IFERROR(__xludf.DUMMYFUNCTION("""COMPUTED_VALUE"""),"26022999479")</f>
        <v>26022999479</v>
      </c>
      <c r="J328" s="1" t="str">
        <f>IFERROR(__xludf.DUMMYFUNCTION("""COMPUTED_VALUE"""),"05/02/2026 22:30:30")</f>
        <v>05/02/2026 22:30:30</v>
      </c>
      <c r="K328" s="1" t="str">
        <f>IFERROR(__xludf.DUMMYFUNCTION("""COMPUTED_VALUE"""),"ANA PATRÍCIA DOS SANTOS BARBOSA")</f>
        <v>ANA PATRÍCIA DOS SANTOS BARBOSA</v>
      </c>
      <c r="L328" s="7" t="str">
        <f>IFERROR(__xludf.DUMMYFUNCTION("""COMPUTED_VALUE"""),"183.574.814-77")</f>
        <v>183.574.814-77</v>
      </c>
      <c r="M328" s="5" t="str">
        <f>IFERROR(__xludf.DUMMYFUNCTION("""COMPUTED_VALUE"""),"01/04/2021")</f>
        <v>01/04/2021</v>
      </c>
      <c r="N328" s="1"/>
      <c r="O328" s="1" t="str">
        <f>IFERROR(__xludf.DUMMYFUNCTION("""COMPUTED_VALUE"""),"0")</f>
        <v>0</v>
      </c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5.75" customHeight="1">
      <c r="A329" s="1"/>
      <c r="B329" s="1" t="str">
        <f t="array" ref="B329">XLOOKUP(C329,Tabela_1[NOME ESCOLA PONTO ID],Tabela_1[REGIONAL],"NE",0)</f>
        <v>REGIONAL 2</v>
      </c>
      <c r="C329" s="3" t="str">
        <f>IFERROR(__xludf.DUMMYFUNCTION("""COMPUTED_VALUE"""),"ESCOLA MUNICIPAL DR LUIZ REGUEIRA")</f>
        <v>ESCOLA MUNICIPAL DR LUIZ REGUEIRA</v>
      </c>
      <c r="D329" s="1" t="str">
        <f>IFERROR(__xludf.DUMMYFUNCTION("""COMPUTED_VALUE"""),"26541734")</f>
        <v>26541734</v>
      </c>
      <c r="E329" s="1" t="str">
        <f>IFERROR(__xludf.DUMMYFUNCTION("""COMPUTED_VALUE"""),"INFANTIL 4")</f>
        <v>INFANTIL 4</v>
      </c>
      <c r="F329" s="1" t="str">
        <f>IFERROR(__xludf.DUMMYFUNCTION("""COMPUTED_VALUE"""),"Matutino/Manhã")</f>
        <v>Matutino/Manhã</v>
      </c>
      <c r="G329" s="1" t="str">
        <f>IFERROR(__xludf.DUMMYFUNCTION("""COMPUTED_VALUE"""),"Comum")</f>
        <v>Comum</v>
      </c>
      <c r="H329" s="1" t="str">
        <f>IFERROR(__xludf.DUMMYFUNCTION("""COMPUTED_VALUE"""),"2")</f>
        <v>2</v>
      </c>
      <c r="I329" s="6" t="str">
        <f>IFERROR(__xludf.DUMMYFUNCTION("""COMPUTED_VALUE"""),"26022098436")</f>
        <v>26022098436</v>
      </c>
      <c r="J329" s="1" t="str">
        <f>IFERROR(__xludf.DUMMYFUNCTION("""COMPUTED_VALUE"""),"06/02/2026 09:49:18")</f>
        <v>06/02/2026 09:49:18</v>
      </c>
      <c r="K329" s="1" t="str">
        <f>IFERROR(__xludf.DUMMYFUNCTION("""COMPUTED_VALUE"""),"ARYELLE VITÓRIA AMARANTE DE AMORIM")</f>
        <v>ARYELLE VITÓRIA AMARANTE DE AMORIM</v>
      </c>
      <c r="L329" s="5" t="str">
        <f>IFERROR(__xludf.DUMMYFUNCTION("""COMPUTED_VALUE"""),"178.248.454-00")</f>
        <v>178.248.454-00</v>
      </c>
      <c r="M329" s="5" t="str">
        <f>IFERROR(__xludf.DUMMYFUNCTION("""COMPUTED_VALUE"""),"18/08/2021")</f>
        <v>18/08/2021</v>
      </c>
      <c r="N329" s="1"/>
      <c r="O329" s="1" t="str">
        <f>IFERROR(__xludf.DUMMYFUNCTION("""COMPUTED_VALUE"""),"0")</f>
        <v>0</v>
      </c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5.75" customHeight="1">
      <c r="A330" s="1"/>
      <c r="B330" s="1" t="str">
        <f t="array" ref="B330">XLOOKUP(C330,Tabela_1[NOME ESCOLA PONTO ID],Tabela_1[REGIONAL],"NE",0)</f>
        <v>REGIONAL 2</v>
      </c>
      <c r="C330" s="3" t="str">
        <f>IFERROR(__xludf.DUMMYFUNCTION("""COMPUTED_VALUE"""),"ESCOLA MUNICIPAL JOSE CLAUDINO DA SILVA")</f>
        <v>ESCOLA MUNICIPAL JOSE CLAUDINO DA SILVA</v>
      </c>
      <c r="D330" s="1" t="str">
        <f>IFERROR(__xludf.DUMMYFUNCTION("""COMPUTED_VALUE"""),"26110342")</f>
        <v>26110342</v>
      </c>
      <c r="E330" s="1" t="str">
        <f>IFERROR(__xludf.DUMMYFUNCTION("""COMPUTED_VALUE"""),"INFANTIL 4")</f>
        <v>INFANTIL 4</v>
      </c>
      <c r="F330" s="1" t="str">
        <f>IFERROR(__xludf.DUMMYFUNCTION("""COMPUTED_VALUE"""),"Vespertino/Tarde")</f>
        <v>Vespertino/Tarde</v>
      </c>
      <c r="G330" s="1" t="str">
        <f>IFERROR(__xludf.DUMMYFUNCTION("""COMPUTED_VALUE"""),"Comum")</f>
        <v>Comum</v>
      </c>
      <c r="H330" s="1" t="str">
        <f>IFERROR(__xludf.DUMMYFUNCTION("""COMPUTED_VALUE"""),"1")</f>
        <v>1</v>
      </c>
      <c r="I330" s="6" t="str">
        <f>IFERROR(__xludf.DUMMYFUNCTION("""COMPUTED_VALUE"""),"26052212613")</f>
        <v>26052212613</v>
      </c>
      <c r="J330" s="1" t="str">
        <f>IFERROR(__xludf.DUMMYFUNCTION("""COMPUTED_VALUE"""),"07/05/2026 18:54:45")</f>
        <v>07/05/2026 18:54:45</v>
      </c>
      <c r="K330" s="1" t="str">
        <f>IFERROR(__xludf.DUMMYFUNCTION("""COMPUTED_VALUE"""),"REBECA MANUELLA CHALEGRE FIRMINO")</f>
        <v>REBECA MANUELLA CHALEGRE FIRMINO</v>
      </c>
      <c r="L330" s="5" t="str">
        <f>IFERROR(__xludf.DUMMYFUNCTION("""COMPUTED_VALUE"""),"177.110.124-54")</f>
        <v>177.110.124-54</v>
      </c>
      <c r="M330" s="7" t="str">
        <f>IFERROR(__xludf.DUMMYFUNCTION("""COMPUTED_VALUE"""),"15/06/2021")</f>
        <v>15/06/2021</v>
      </c>
      <c r="N330" s="1"/>
      <c r="O330" s="1" t="str">
        <f>IFERROR(__xludf.DUMMYFUNCTION("""COMPUTED_VALUE"""),"0")</f>
        <v>0</v>
      </c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5.75" customHeight="1">
      <c r="A331" s="1"/>
      <c r="B331" s="1" t="str">
        <f t="array" ref="B331">XLOOKUP(C331,Tabela_1[NOME ESCOLA PONTO ID],Tabela_1[REGIONAL],"NE",0)</f>
        <v>REGIONAL 6</v>
      </c>
      <c r="C331" s="3" t="str">
        <f>IFERROR(__xludf.DUMMYFUNCTION("""COMPUTED_VALUE"""),"ESCOLA MUNICIPAL JOSE RODOVALHO - ESCOLA DE TEMPO INTEGRAL")</f>
        <v>ESCOLA MUNICIPAL JOSE RODOVALHO - ESCOLA DE TEMPO INTEGRAL</v>
      </c>
      <c r="D331" s="1" t="str">
        <f>IFERROR(__xludf.DUMMYFUNCTION("""COMPUTED_VALUE"""),"26155036")</f>
        <v>26155036</v>
      </c>
      <c r="E331" s="1" t="str">
        <f>IFERROR(__xludf.DUMMYFUNCTION("""COMPUTED_VALUE"""),"INFANTIL 4")</f>
        <v>INFANTIL 4</v>
      </c>
      <c r="F331" s="1" t="str">
        <f>IFERROR(__xludf.DUMMYFUNCTION("""COMPUTED_VALUE"""),"Integral")</f>
        <v>Integral</v>
      </c>
      <c r="G331" s="1" t="str">
        <f>IFERROR(__xludf.DUMMYFUNCTION("""COMPUTED_VALUE"""),"Comum")</f>
        <v>Comum</v>
      </c>
      <c r="H331" s="1" t="str">
        <f>IFERROR(__xludf.DUMMYFUNCTION("""COMPUTED_VALUE"""),"1")</f>
        <v>1</v>
      </c>
      <c r="I331" s="6" t="str">
        <f>IFERROR(__xludf.DUMMYFUNCTION("""COMPUTED_VALUE"""),"26012020968")</f>
        <v>26012020968</v>
      </c>
      <c r="J331" s="1" t="str">
        <f>IFERROR(__xludf.DUMMYFUNCTION("""COMPUTED_VALUE"""),"28/01/2026 14:32:33")</f>
        <v>28/01/2026 14:32:33</v>
      </c>
      <c r="K331" s="1" t="str">
        <f>IFERROR(__xludf.DUMMYFUNCTION("""COMPUTED_VALUE"""),"VICTORIA EMANUELLY CELESTINA DOS SANTOS")</f>
        <v>VICTORIA EMANUELLY CELESTINA DOS SANTOS</v>
      </c>
      <c r="L331" s="5" t="str">
        <f>IFERROR(__xludf.DUMMYFUNCTION("""COMPUTED_VALUE"""),"176.305.804-28")</f>
        <v>176.305.804-28</v>
      </c>
      <c r="M331" s="5" t="str">
        <f>IFERROR(__xludf.DUMMYFUNCTION("""COMPUTED_VALUE"""),"09/04/2021")</f>
        <v>09/04/2021</v>
      </c>
      <c r="N331" s="1"/>
      <c r="O331" s="1" t="str">
        <f>IFERROR(__xludf.DUMMYFUNCTION("""COMPUTED_VALUE"""),"0")</f>
        <v>0</v>
      </c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5.75" customHeight="1">
      <c r="A332" s="1"/>
      <c r="B332" s="1" t="str">
        <f t="array" ref="B332">XLOOKUP(C332,Tabela_1[NOME ESCOLA PONTO ID],Tabela_1[REGIONAL],"NE",0)</f>
        <v>REGIONAL 6</v>
      </c>
      <c r="C332" s="3" t="str">
        <f>IFERROR(__xludf.DUMMYFUNCTION("""COMPUTED_VALUE"""),"ESCOLA MUNICIPAL JOSE RODOVALHO - ESCOLA DE TEMPO INTEGRAL")</f>
        <v>ESCOLA MUNICIPAL JOSE RODOVALHO - ESCOLA DE TEMPO INTEGRAL</v>
      </c>
      <c r="D332" s="1" t="str">
        <f>IFERROR(__xludf.DUMMYFUNCTION("""COMPUTED_VALUE"""),"26155036")</f>
        <v>26155036</v>
      </c>
      <c r="E332" s="1" t="str">
        <f>IFERROR(__xludf.DUMMYFUNCTION("""COMPUTED_VALUE"""),"INFANTIL 4")</f>
        <v>INFANTIL 4</v>
      </c>
      <c r="F332" s="1" t="str">
        <f>IFERROR(__xludf.DUMMYFUNCTION("""COMPUTED_VALUE"""),"Integral")</f>
        <v>Integral</v>
      </c>
      <c r="G332" s="1" t="str">
        <f>IFERROR(__xludf.DUMMYFUNCTION("""COMPUTED_VALUE"""),"Comum")</f>
        <v>Comum</v>
      </c>
      <c r="H332" s="1" t="str">
        <f>IFERROR(__xludf.DUMMYFUNCTION("""COMPUTED_VALUE"""),"2")</f>
        <v>2</v>
      </c>
      <c r="I332" s="4" t="str">
        <f>IFERROR(__xludf.DUMMYFUNCTION("""COMPUTED_VALUE"""),"26032677956")</f>
        <v>26032677956</v>
      </c>
      <c r="J332" s="1" t="str">
        <f>IFERROR(__xludf.DUMMYFUNCTION("""COMPUTED_VALUE"""),"19/03/2026 13:56:18")</f>
        <v>19/03/2026 13:56:18</v>
      </c>
      <c r="K332" s="1" t="str">
        <f>IFERROR(__xludf.DUMMYFUNCTION("""COMPUTED_VALUE"""),"PIETRO DINIZ SANTOS DA SILVA")</f>
        <v>PIETRO DINIZ SANTOS DA SILVA</v>
      </c>
      <c r="L332" s="5" t="str">
        <f>IFERROR(__xludf.DUMMYFUNCTION("""COMPUTED_VALUE"""),"176.766.404-40")</f>
        <v>176.766.404-40</v>
      </c>
      <c r="M332" s="5" t="str">
        <f>IFERROR(__xludf.DUMMYFUNCTION("""COMPUTED_VALUE"""),"20/05/2021")</f>
        <v>20/05/2021</v>
      </c>
      <c r="N332" s="1"/>
      <c r="O332" s="1" t="str">
        <f>IFERROR(__xludf.DUMMYFUNCTION("""COMPUTED_VALUE"""),"0")</f>
        <v>0</v>
      </c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5.75" customHeight="1">
      <c r="A333" s="1"/>
      <c r="B333" s="1" t="str">
        <f t="array" ref="B333">XLOOKUP(C333,Tabela_1[NOME ESCOLA PONTO ID],Tabela_1[REGIONAL],"NE",0)</f>
        <v>REGIONAL 6</v>
      </c>
      <c r="C333" s="3" t="str">
        <f>IFERROR(__xludf.DUMMYFUNCTION("""COMPUTED_VALUE"""),"ESCOLA MUNICIPAL JOSE RODOVALHO - ESCOLA DE TEMPO INTEGRAL")</f>
        <v>ESCOLA MUNICIPAL JOSE RODOVALHO - ESCOLA DE TEMPO INTEGRAL</v>
      </c>
      <c r="D333" s="1" t="str">
        <f>IFERROR(__xludf.DUMMYFUNCTION("""COMPUTED_VALUE"""),"26155036")</f>
        <v>26155036</v>
      </c>
      <c r="E333" s="1" t="str">
        <f>IFERROR(__xludf.DUMMYFUNCTION("""COMPUTED_VALUE"""),"INFANTIL 4")</f>
        <v>INFANTIL 4</v>
      </c>
      <c r="F333" s="1" t="str">
        <f>IFERROR(__xludf.DUMMYFUNCTION("""COMPUTED_VALUE"""),"Integral")</f>
        <v>Integral</v>
      </c>
      <c r="G333" s="1" t="str">
        <f>IFERROR(__xludf.DUMMYFUNCTION("""COMPUTED_VALUE"""),"Comum")</f>
        <v>Comum</v>
      </c>
      <c r="H333" s="1" t="str">
        <f>IFERROR(__xludf.DUMMYFUNCTION("""COMPUTED_VALUE"""),"3")</f>
        <v>3</v>
      </c>
      <c r="I333" s="4" t="str">
        <f>IFERROR(__xludf.DUMMYFUNCTION("""COMPUTED_VALUE"""),"26042544778")</f>
        <v>26042544778</v>
      </c>
      <c r="J333" s="1" t="str">
        <f>IFERROR(__xludf.DUMMYFUNCTION("""COMPUTED_VALUE"""),"23/04/2026 11:00:36")</f>
        <v>23/04/2026 11:00:36</v>
      </c>
      <c r="K333" s="1" t="str">
        <f>IFERROR(__xludf.DUMMYFUNCTION("""COMPUTED_VALUE"""),"HEITOR HENRIQUE DA SILVA CARNEIRO")</f>
        <v>HEITOR HENRIQUE DA SILVA CARNEIRO</v>
      </c>
      <c r="L333" s="5" t="str">
        <f>IFERROR(__xludf.DUMMYFUNCTION("""COMPUTED_VALUE"""),"180.105.184-41")</f>
        <v>180.105.184-41</v>
      </c>
      <c r="M333" s="5" t="str">
        <f>IFERROR(__xludf.DUMMYFUNCTION("""COMPUTED_VALUE"""),"26/11/2021")</f>
        <v>26/11/2021</v>
      </c>
      <c r="N333" s="1"/>
      <c r="O333" s="1" t="str">
        <f>IFERROR(__xludf.DUMMYFUNCTION("""COMPUTED_VALUE"""),"0")</f>
        <v>0</v>
      </c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5.75" customHeight="1">
      <c r="A334" s="1"/>
      <c r="B334" s="1" t="str">
        <f t="array" ref="B334">XLOOKUP(C334,Tabela_1[NOME ESCOLA PONTO ID],Tabela_1[REGIONAL],"NE",0)</f>
        <v>REGIONAL 6</v>
      </c>
      <c r="C334" s="3" t="str">
        <f>IFERROR(__xludf.DUMMYFUNCTION("""COMPUTED_VALUE"""),"ESCOLA MUNICIPAL JOSE RODOVALHO - ESCOLA DE TEMPO INTEGRAL")</f>
        <v>ESCOLA MUNICIPAL JOSE RODOVALHO - ESCOLA DE TEMPO INTEGRAL</v>
      </c>
      <c r="D334" s="1" t="str">
        <f>IFERROR(__xludf.DUMMYFUNCTION("""COMPUTED_VALUE"""),"26155036")</f>
        <v>26155036</v>
      </c>
      <c r="E334" s="1" t="str">
        <f>IFERROR(__xludf.DUMMYFUNCTION("""COMPUTED_VALUE"""),"INFANTIL 5")</f>
        <v>INFANTIL 5</v>
      </c>
      <c r="F334" s="1" t="str">
        <f>IFERROR(__xludf.DUMMYFUNCTION("""COMPUTED_VALUE"""),"Integral")</f>
        <v>Integral</v>
      </c>
      <c r="G334" s="1" t="str">
        <f>IFERROR(__xludf.DUMMYFUNCTION("""COMPUTED_VALUE"""),"Comum")</f>
        <v>Comum</v>
      </c>
      <c r="H334" s="1" t="str">
        <f>IFERROR(__xludf.DUMMYFUNCTION("""COMPUTED_VALUE"""),"1")</f>
        <v>1</v>
      </c>
      <c r="I334" s="4" t="str">
        <f>IFERROR(__xludf.DUMMYFUNCTION("""COMPUTED_VALUE"""),"26032154551")</f>
        <v>26032154551</v>
      </c>
      <c r="J334" s="1" t="str">
        <f>IFERROR(__xludf.DUMMYFUNCTION("""COMPUTED_VALUE"""),"13/03/2026 19:24:46")</f>
        <v>13/03/2026 19:24:46</v>
      </c>
      <c r="K334" s="1" t="str">
        <f>IFERROR(__xludf.DUMMYFUNCTION("""COMPUTED_VALUE"""),"ELENA FERREIRA VIEIRA")</f>
        <v>ELENA FERREIRA VIEIRA</v>
      </c>
      <c r="L334" s="5" t="str">
        <f>IFERROR(__xludf.DUMMYFUNCTION("""COMPUTED_VALUE"""),"222.791.957-47")</f>
        <v>222.791.957-47</v>
      </c>
      <c r="M334" s="5" t="str">
        <f>IFERROR(__xludf.DUMMYFUNCTION("""COMPUTED_VALUE"""),"29/07/2020")</f>
        <v>29/07/2020</v>
      </c>
      <c r="N334" s="1"/>
      <c r="O334" s="1" t="str">
        <f>IFERROR(__xludf.DUMMYFUNCTION("""COMPUTED_VALUE"""),"0")</f>
        <v>0</v>
      </c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5.75" customHeight="1">
      <c r="A335" s="1"/>
      <c r="B335" s="1" t="str">
        <f t="array" ref="B335">XLOOKUP(C335,Tabela_1[NOME ESCOLA PONTO ID],Tabela_1[REGIONAL],"NE",0)</f>
        <v>REGIONAL 6</v>
      </c>
      <c r="C335" s="3" t="str">
        <f>IFERROR(__xludf.DUMMYFUNCTION("""COMPUTED_VALUE"""),"ESCOLA MUNICIPAL JOSE RODOVALHO - ESCOLA DE TEMPO INTEGRAL")</f>
        <v>ESCOLA MUNICIPAL JOSE RODOVALHO - ESCOLA DE TEMPO INTEGRAL</v>
      </c>
      <c r="D335" s="1" t="str">
        <f>IFERROR(__xludf.DUMMYFUNCTION("""COMPUTED_VALUE"""),"26155036")</f>
        <v>26155036</v>
      </c>
      <c r="E335" s="1" t="str">
        <f>IFERROR(__xludf.DUMMYFUNCTION("""COMPUTED_VALUE"""),"INFANTIL 5")</f>
        <v>INFANTIL 5</v>
      </c>
      <c r="F335" s="1" t="str">
        <f>IFERROR(__xludf.DUMMYFUNCTION("""COMPUTED_VALUE"""),"Integral")</f>
        <v>Integral</v>
      </c>
      <c r="G335" s="1" t="str">
        <f>IFERROR(__xludf.DUMMYFUNCTION("""COMPUTED_VALUE"""),"Comum")</f>
        <v>Comum</v>
      </c>
      <c r="H335" s="1" t="str">
        <f>IFERROR(__xludf.DUMMYFUNCTION("""COMPUTED_VALUE"""),"2")</f>
        <v>2</v>
      </c>
      <c r="I335" s="4" t="str">
        <f>IFERROR(__xludf.DUMMYFUNCTION("""COMPUTED_VALUE"""),"26042672605")</f>
        <v>26042672605</v>
      </c>
      <c r="J335" s="1" t="str">
        <f>IFERROR(__xludf.DUMMYFUNCTION("""COMPUTED_VALUE"""),"06/04/2026 11:28:19")</f>
        <v>06/04/2026 11:28:19</v>
      </c>
      <c r="K335" s="1" t="str">
        <f>IFERROR(__xludf.DUMMYFUNCTION("""COMPUTED_VALUE"""),"LUCAS LORENZO MARQUES DO NASCIMENTO")</f>
        <v>LUCAS LORENZO MARQUES DO NASCIMENTO</v>
      </c>
      <c r="L335" s="5" t="str">
        <f>IFERROR(__xludf.DUMMYFUNCTION("""COMPUTED_VALUE"""),"173.473.104-40")</f>
        <v>173.473.104-40</v>
      </c>
      <c r="M335" s="5" t="str">
        <f>IFERROR(__xludf.DUMMYFUNCTION("""COMPUTED_VALUE"""),"22/09/2020")</f>
        <v>22/09/2020</v>
      </c>
      <c r="N335" s="1"/>
      <c r="O335" s="1" t="str">
        <f>IFERROR(__xludf.DUMMYFUNCTION("""COMPUTED_VALUE"""),"0")</f>
        <v>0</v>
      </c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5.75" customHeight="1">
      <c r="A336" s="1"/>
      <c r="B336" s="1" t="str">
        <f t="array" ref="B336">XLOOKUP(C336,Tabela_1[NOME ESCOLA PONTO ID],Tabela_1[REGIONAL],"NE",0)</f>
        <v>REGIONAL 6</v>
      </c>
      <c r="C336" s="3" t="str">
        <f>IFERROR(__xludf.DUMMYFUNCTION("""COMPUTED_VALUE"""),"ESCOLA MUNICIPAL JOSE RODOVALHO - ESCOLA DE TEMPO INTEGRAL")</f>
        <v>ESCOLA MUNICIPAL JOSE RODOVALHO - ESCOLA DE TEMPO INTEGRAL</v>
      </c>
      <c r="D336" s="1" t="str">
        <f>IFERROR(__xludf.DUMMYFUNCTION("""COMPUTED_VALUE"""),"26155036")</f>
        <v>26155036</v>
      </c>
      <c r="E336" s="1" t="str">
        <f>IFERROR(__xludf.DUMMYFUNCTION("""COMPUTED_VALUE"""),"INFANTIL 5")</f>
        <v>INFANTIL 5</v>
      </c>
      <c r="F336" s="1" t="str">
        <f>IFERROR(__xludf.DUMMYFUNCTION("""COMPUTED_VALUE"""),"Integral")</f>
        <v>Integral</v>
      </c>
      <c r="G336" s="1" t="str">
        <f>IFERROR(__xludf.DUMMYFUNCTION("""COMPUTED_VALUE"""),"Comum")</f>
        <v>Comum</v>
      </c>
      <c r="H336" s="1" t="str">
        <f>IFERROR(__xludf.DUMMYFUNCTION("""COMPUTED_VALUE"""),"3")</f>
        <v>3</v>
      </c>
      <c r="I336" s="4" t="str">
        <f>IFERROR(__xludf.DUMMYFUNCTION("""COMPUTED_VALUE"""),"26042040238")</f>
        <v>26042040238</v>
      </c>
      <c r="J336" s="1" t="str">
        <f>IFERROR(__xludf.DUMMYFUNCTION("""COMPUTED_VALUE"""),"09/04/2026 14:14:48")</f>
        <v>09/04/2026 14:14:48</v>
      </c>
      <c r="K336" s="1" t="str">
        <f>IFERROR(__xludf.DUMMYFUNCTION("""COMPUTED_VALUE"""),"TALISON RODRIGO MARINHO BELO")</f>
        <v>TALISON RODRIGO MARINHO BELO</v>
      </c>
      <c r="L336" s="5" t="str">
        <f>IFERROR(__xludf.DUMMYFUNCTION("""COMPUTED_VALUE"""),"171.357.904-99")</f>
        <v>171.357.904-99</v>
      </c>
      <c r="M336" s="5" t="str">
        <f>IFERROR(__xludf.DUMMYFUNCTION("""COMPUTED_VALUE"""),"07/04/2020")</f>
        <v>07/04/2020</v>
      </c>
      <c r="N336" s="1"/>
      <c r="O336" s="1" t="str">
        <f>IFERROR(__xludf.DUMMYFUNCTION("""COMPUTED_VALUE"""),"0")</f>
        <v>0</v>
      </c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5.75" customHeight="1">
      <c r="A337" s="1"/>
      <c r="B337" s="1" t="str">
        <f t="array" ref="B337">XLOOKUP(C337,Tabela_1[NOME ESCOLA PONTO ID],Tabela_1[REGIONAL],"NE",0)</f>
        <v>REGIONAL 6</v>
      </c>
      <c r="C337" s="3" t="str">
        <f>IFERROR(__xludf.DUMMYFUNCTION("""COMPUTED_VALUE"""),"ESCOLA MUNICIPAL JOSE RODOVALHO - ESCOLA DE TEMPO INTEGRAL")</f>
        <v>ESCOLA MUNICIPAL JOSE RODOVALHO - ESCOLA DE TEMPO INTEGRAL</v>
      </c>
      <c r="D337" s="1" t="str">
        <f>IFERROR(__xludf.DUMMYFUNCTION("""COMPUTED_VALUE"""),"26155036")</f>
        <v>26155036</v>
      </c>
      <c r="E337" s="1" t="str">
        <f>IFERROR(__xludf.DUMMYFUNCTION("""COMPUTED_VALUE"""),"INFANTIL 5")</f>
        <v>INFANTIL 5</v>
      </c>
      <c r="F337" s="1" t="str">
        <f>IFERROR(__xludf.DUMMYFUNCTION("""COMPUTED_VALUE"""),"Integral")</f>
        <v>Integral</v>
      </c>
      <c r="G337" s="1" t="str">
        <f>IFERROR(__xludf.DUMMYFUNCTION("""COMPUTED_VALUE"""),"Comum")</f>
        <v>Comum</v>
      </c>
      <c r="H337" s="1" t="str">
        <f>IFERROR(__xludf.DUMMYFUNCTION("""COMPUTED_VALUE"""),"4")</f>
        <v>4</v>
      </c>
      <c r="I337" s="4" t="str">
        <f>IFERROR(__xludf.DUMMYFUNCTION("""COMPUTED_VALUE"""),"26042514028")</f>
        <v>26042514028</v>
      </c>
      <c r="J337" s="1" t="str">
        <f>IFERROR(__xludf.DUMMYFUNCTION("""COMPUTED_VALUE"""),"23/04/2026 08:21:30")</f>
        <v>23/04/2026 08:21:30</v>
      </c>
      <c r="K337" s="1" t="str">
        <f>IFERROR(__xludf.DUMMYFUNCTION("""COMPUTED_VALUE"""),"YANNA KAILLANE GUSMÃO BARBOSA DA SILVA")</f>
        <v>YANNA KAILLANE GUSMÃO BARBOSA DA SILVA</v>
      </c>
      <c r="L337" s="5" t="str">
        <f>IFERROR(__xludf.DUMMYFUNCTION("""COMPUTED_VALUE"""),"175.827.674-62")</f>
        <v>175.827.674-62</v>
      </c>
      <c r="M337" s="5" t="str">
        <f>IFERROR(__xludf.DUMMYFUNCTION("""COMPUTED_VALUE"""),"11/02/2021")</f>
        <v>11/02/2021</v>
      </c>
      <c r="N337" s="1"/>
      <c r="O337" s="1" t="str">
        <f>IFERROR(__xludf.DUMMYFUNCTION("""COMPUTED_VALUE"""),"0")</f>
        <v>0</v>
      </c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5.75" customHeight="1">
      <c r="A338" s="1"/>
      <c r="B338" s="1" t="str">
        <f t="array" ref="B338">XLOOKUP(C338,Tabela_1[NOME ESCOLA PONTO ID],Tabela_1[REGIONAL],"NE",0)</f>
        <v>REGIONAL 5</v>
      </c>
      <c r="C338" s="3" t="str">
        <f>IFERROR(__xludf.DUMMYFUNCTION("""COMPUTED_VALUE"""),"ESCOLA MUNICIPAL MARECHAL COSTA E SILVA")</f>
        <v>ESCOLA MUNICIPAL MARECHAL COSTA E SILVA</v>
      </c>
      <c r="D338" s="1" t="str">
        <f>IFERROR(__xludf.DUMMYFUNCTION("""COMPUTED_VALUE"""),"26111543")</f>
        <v>26111543</v>
      </c>
      <c r="E338" s="1" t="str">
        <f>IFERROR(__xludf.DUMMYFUNCTION("""COMPUTED_VALUE"""),"INFANTIL 5")</f>
        <v>INFANTIL 5</v>
      </c>
      <c r="F338" s="1" t="str">
        <f>IFERROR(__xludf.DUMMYFUNCTION("""COMPUTED_VALUE"""),"Matutino/Manhã")</f>
        <v>Matutino/Manhã</v>
      </c>
      <c r="G338" s="1" t="str">
        <f>IFERROR(__xludf.DUMMYFUNCTION("""COMPUTED_VALUE"""),"Comum")</f>
        <v>Comum</v>
      </c>
      <c r="H338" s="1" t="str">
        <f>IFERROR(__xludf.DUMMYFUNCTION("""COMPUTED_VALUE"""),"1")</f>
        <v>1</v>
      </c>
      <c r="I338" s="4" t="str">
        <f>IFERROR(__xludf.DUMMYFUNCTION("""COMPUTED_VALUE"""),"26032271458")</f>
        <v>26032271458</v>
      </c>
      <c r="J338" s="1" t="str">
        <f>IFERROR(__xludf.DUMMYFUNCTION("""COMPUTED_VALUE"""),"17/03/2026 16:06:30")</f>
        <v>17/03/2026 16:06:30</v>
      </c>
      <c r="K338" s="1" t="str">
        <f>IFERROR(__xludf.DUMMYFUNCTION("""COMPUTED_VALUE"""),"BENJAMIM FELIX DA SILVA HONORATO")</f>
        <v>BENJAMIM FELIX DA SILVA HONORATO</v>
      </c>
      <c r="L338" s="5" t="str">
        <f>IFERROR(__xludf.DUMMYFUNCTION("""COMPUTED_VALUE"""),"173.933.634-88")</f>
        <v>173.933.634-88</v>
      </c>
      <c r="M338" s="5" t="str">
        <f>IFERROR(__xludf.DUMMYFUNCTION("""COMPUTED_VALUE"""),"08/10/2020")</f>
        <v>08/10/2020</v>
      </c>
      <c r="N338" s="1"/>
      <c r="O338" s="1" t="str">
        <f>IFERROR(__xludf.DUMMYFUNCTION("""COMPUTED_VALUE"""),"0")</f>
        <v>0</v>
      </c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5.75" customHeight="1">
      <c r="A339" s="1"/>
      <c r="B339" s="1" t="str">
        <f t="array" ref="B339">XLOOKUP(C339,Tabela_1[NOME ESCOLA PONTO ID],Tabela_1[REGIONAL],"NE",0)</f>
        <v>REGIONAL 5</v>
      </c>
      <c r="C339" s="3" t="str">
        <f>IFERROR(__xludf.DUMMYFUNCTION("""COMPUTED_VALUE"""),"ESCOLA MUNICIPAL MARECHAL COSTA E SILVA")</f>
        <v>ESCOLA MUNICIPAL MARECHAL COSTA E SILVA</v>
      </c>
      <c r="D339" s="1" t="str">
        <f>IFERROR(__xludf.DUMMYFUNCTION("""COMPUTED_VALUE"""),"26111543")</f>
        <v>26111543</v>
      </c>
      <c r="E339" s="1" t="str">
        <f>IFERROR(__xludf.DUMMYFUNCTION("""COMPUTED_VALUE"""),"INFANTIL 5")</f>
        <v>INFANTIL 5</v>
      </c>
      <c r="F339" s="1" t="str">
        <f>IFERROR(__xludf.DUMMYFUNCTION("""COMPUTED_VALUE"""),"Vespertino/Tarde")</f>
        <v>Vespertino/Tarde</v>
      </c>
      <c r="G339" s="1" t="str">
        <f>IFERROR(__xludf.DUMMYFUNCTION("""COMPUTED_VALUE"""),"Comum")</f>
        <v>Comum</v>
      </c>
      <c r="H339" s="1" t="str">
        <f>IFERROR(__xludf.DUMMYFUNCTION("""COMPUTED_VALUE"""),"1")</f>
        <v>1</v>
      </c>
      <c r="I339" s="4" t="str">
        <f>IFERROR(__xludf.DUMMYFUNCTION("""COMPUTED_VALUE"""),"26022503387")</f>
        <v>26022503387</v>
      </c>
      <c r="J339" s="1" t="str">
        <f>IFERROR(__xludf.DUMMYFUNCTION("""COMPUTED_VALUE"""),"05/02/2026 01:05:01")</f>
        <v>05/02/2026 01:05:01</v>
      </c>
      <c r="K339" s="1" t="str">
        <f>IFERROR(__xludf.DUMMYFUNCTION("""COMPUTED_VALUE"""),"MARINA VITÓRIA DA SILVA")</f>
        <v>MARINA VITÓRIA DA SILVA</v>
      </c>
      <c r="L339" s="5" t="str">
        <f>IFERROR(__xludf.DUMMYFUNCTION("""COMPUTED_VALUE"""),"176.952.714-11")</f>
        <v>176.952.714-11</v>
      </c>
      <c r="M339" s="5" t="str">
        <f>IFERROR(__xludf.DUMMYFUNCTION("""COMPUTED_VALUE"""),"24/03/2021")</f>
        <v>24/03/2021</v>
      </c>
      <c r="N339" s="1"/>
      <c r="O339" s="1" t="str">
        <f>IFERROR(__xludf.DUMMYFUNCTION("""COMPUTED_VALUE"""),"0")</f>
        <v>0</v>
      </c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5.75" customHeight="1">
      <c r="A340" s="1"/>
      <c r="B340" s="1" t="str">
        <f t="array" ref="B340">XLOOKUP(C340,Tabela_1[NOME ESCOLA PONTO ID],Tabela_1[REGIONAL],"NE",0)</f>
        <v>REGIONAL 1</v>
      </c>
      <c r="C340" s="3" t="str">
        <f>IFERROR(__xludf.DUMMYFUNCTION("""COMPUTED_VALUE"""),"ESCOLA MUNICIPAL MARIA DE LOURDES RAMOS")</f>
        <v>ESCOLA MUNICIPAL MARIA DE LOURDES RAMOS</v>
      </c>
      <c r="D340" s="1" t="str">
        <f>IFERROR(__xludf.DUMMYFUNCTION("""COMPUTED_VALUE"""),"26111110")</f>
        <v>26111110</v>
      </c>
      <c r="E340" s="1" t="str">
        <f>IFERROR(__xludf.DUMMYFUNCTION("""COMPUTED_VALUE"""),"INFANTIL 5")</f>
        <v>INFANTIL 5</v>
      </c>
      <c r="F340" s="1" t="str">
        <f>IFERROR(__xludf.DUMMYFUNCTION("""COMPUTED_VALUE"""),"Vespertino/Tarde")</f>
        <v>Vespertino/Tarde</v>
      </c>
      <c r="G340" s="1" t="str">
        <f>IFERROR(__xludf.DUMMYFUNCTION("""COMPUTED_VALUE"""),"Comum")</f>
        <v>Comum</v>
      </c>
      <c r="H340" s="1" t="str">
        <f>IFERROR(__xludf.DUMMYFUNCTION("""COMPUTED_VALUE"""),"1")</f>
        <v>1</v>
      </c>
      <c r="I340" s="4" t="str">
        <f>IFERROR(__xludf.DUMMYFUNCTION("""COMPUTED_VALUE"""),"26032107136")</f>
        <v>26032107136</v>
      </c>
      <c r="J340" s="1" t="str">
        <f>IFERROR(__xludf.DUMMYFUNCTION("""COMPUTED_VALUE"""),"03/03/2026 12:30:35")</f>
        <v>03/03/2026 12:30:35</v>
      </c>
      <c r="K340" s="1" t="str">
        <f>IFERROR(__xludf.DUMMYFUNCTION("""COMPUTED_VALUE"""),"LAURA VALLENTINA BERNARDO MELO DA SILVA")</f>
        <v>LAURA VALLENTINA BERNARDO MELO DA SILVA</v>
      </c>
      <c r="L340" s="7" t="str">
        <f>IFERROR(__xludf.DUMMYFUNCTION("""COMPUTED_VALUE"""),"174.249.374-21")</f>
        <v>174.249.374-21</v>
      </c>
      <c r="M340" s="7" t="str">
        <f>IFERROR(__xludf.DUMMYFUNCTION("""COMPUTED_VALUE"""),"17/11/2020")</f>
        <v>17/11/2020</v>
      </c>
      <c r="N340" s="1"/>
      <c r="O340" s="1" t="str">
        <f>IFERROR(__xludf.DUMMYFUNCTION("""COMPUTED_VALUE"""),"0")</f>
        <v>0</v>
      </c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5.75" customHeight="1">
      <c r="A341" s="1"/>
      <c r="B341" s="1" t="str">
        <f t="array" ref="B341">XLOOKUP(C341,Tabela_1[NOME ESCOLA PONTO ID],Tabela_1[REGIONAL],"NE",0)</f>
        <v>REGIONAL 2</v>
      </c>
      <c r="C341" s="3" t="str">
        <f>IFERROR(__xludf.DUMMYFUNCTION("""COMPUTED_VALUE"""),"ESCOLA MUNICIPAL NOSSA SENHORA DA CONCEIÇÃO")</f>
        <v>ESCOLA MUNICIPAL NOSSA SENHORA DA CONCEIÇÃO</v>
      </c>
      <c r="D341" s="1" t="str">
        <f>IFERROR(__xludf.DUMMYFUNCTION("""COMPUTED_VALUE"""),"26139987")</f>
        <v>26139987</v>
      </c>
      <c r="E341" s="1" t="str">
        <f>IFERROR(__xludf.DUMMYFUNCTION("""COMPUTED_VALUE"""),"INFANTIL 4")</f>
        <v>INFANTIL 4</v>
      </c>
      <c r="F341" s="1" t="str">
        <f>IFERROR(__xludf.DUMMYFUNCTION("""COMPUTED_VALUE"""),"Matutino/Manhã")</f>
        <v>Matutino/Manhã</v>
      </c>
      <c r="G341" s="1" t="str">
        <f>IFERROR(__xludf.DUMMYFUNCTION("""COMPUTED_VALUE"""),"Comum")</f>
        <v>Comum</v>
      </c>
      <c r="H341" s="1" t="str">
        <f>IFERROR(__xludf.DUMMYFUNCTION("""COMPUTED_VALUE"""),"1")</f>
        <v>1</v>
      </c>
      <c r="I341" s="6" t="str">
        <f>IFERROR(__xludf.DUMMYFUNCTION("""COMPUTED_VALUE"""),"26012003704")</f>
        <v>26012003704</v>
      </c>
      <c r="J341" s="1" t="str">
        <f>IFERROR(__xludf.DUMMYFUNCTION("""COMPUTED_VALUE"""),"29/01/2026 09:05:19")</f>
        <v>29/01/2026 09:05:19</v>
      </c>
      <c r="K341" s="1" t="str">
        <f>IFERROR(__xludf.DUMMYFUNCTION("""COMPUTED_VALUE"""),"RAVI BENJAMIN RODRIGUES DE LIRA")</f>
        <v>RAVI BENJAMIN RODRIGUES DE LIRA</v>
      </c>
      <c r="L341" s="5" t="str">
        <f>IFERROR(__xludf.DUMMYFUNCTION("""COMPUTED_VALUE"""),"179.431.394-02")</f>
        <v>179.431.394-02</v>
      </c>
      <c r="M341" s="5" t="str">
        <f>IFERROR(__xludf.DUMMYFUNCTION("""COMPUTED_VALUE"""),"03/12/2021")</f>
        <v>03/12/2021</v>
      </c>
      <c r="N341" s="1"/>
      <c r="O341" s="1" t="str">
        <f>IFERROR(__xludf.DUMMYFUNCTION("""COMPUTED_VALUE"""),"0")</f>
        <v>0</v>
      </c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5.75" customHeight="1">
      <c r="A342" s="1"/>
      <c r="B342" s="1" t="str">
        <f t="array" ref="B342">XLOOKUP(C342,Tabela_1[NOME ESCOLA PONTO ID],Tabela_1[REGIONAL],"NE",0)</f>
        <v>REGIONAL 2</v>
      </c>
      <c r="C342" s="3" t="str">
        <f>IFERROR(__xludf.DUMMYFUNCTION("""COMPUTED_VALUE"""),"ESCOLA MUNICIPAL NOSSA SENHORA DA CONCEIÇÃO")</f>
        <v>ESCOLA MUNICIPAL NOSSA SENHORA DA CONCEIÇÃO</v>
      </c>
      <c r="D342" s="1" t="str">
        <f>IFERROR(__xludf.DUMMYFUNCTION("""COMPUTED_VALUE"""),"26139987")</f>
        <v>26139987</v>
      </c>
      <c r="E342" s="1" t="str">
        <f>IFERROR(__xludf.DUMMYFUNCTION("""COMPUTED_VALUE"""),"INFANTIL 4")</f>
        <v>INFANTIL 4</v>
      </c>
      <c r="F342" s="1" t="str">
        <f>IFERROR(__xludf.DUMMYFUNCTION("""COMPUTED_VALUE"""),"Matutino/Manhã")</f>
        <v>Matutino/Manhã</v>
      </c>
      <c r="G342" s="1" t="str">
        <f>IFERROR(__xludf.DUMMYFUNCTION("""COMPUTED_VALUE"""),"Comum")</f>
        <v>Comum</v>
      </c>
      <c r="H342" s="1" t="str">
        <f>IFERROR(__xludf.DUMMYFUNCTION("""COMPUTED_VALUE"""),"2")</f>
        <v>2</v>
      </c>
      <c r="I342" s="6" t="str">
        <f>IFERROR(__xludf.DUMMYFUNCTION("""COMPUTED_VALUE"""),"26022857082")</f>
        <v>26022857082</v>
      </c>
      <c r="J342" s="1" t="str">
        <f>IFERROR(__xludf.DUMMYFUNCTION("""COMPUTED_VALUE"""),"09/02/2026 14:55:06")</f>
        <v>09/02/2026 14:55:06</v>
      </c>
      <c r="K342" s="1" t="str">
        <f>IFERROR(__xludf.DUMMYFUNCTION("""COMPUTED_VALUE"""),"AURORA RAQUEL ROSENO MACIEL")</f>
        <v>AURORA RAQUEL ROSENO MACIEL</v>
      </c>
      <c r="L342" s="5" t="str">
        <f>IFERROR(__xludf.DUMMYFUNCTION("""COMPUTED_VALUE"""),"178.496.574-03")</f>
        <v>178.496.574-03</v>
      </c>
      <c r="M342" s="7" t="str">
        <f>IFERROR(__xludf.DUMMYFUNCTION("""COMPUTED_VALUE"""),"17/09/2021")</f>
        <v>17/09/2021</v>
      </c>
      <c r="N342" s="1"/>
      <c r="O342" s="1" t="str">
        <f>IFERROR(__xludf.DUMMYFUNCTION("""COMPUTED_VALUE"""),"0")</f>
        <v>0</v>
      </c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5.75" customHeight="1">
      <c r="A343" s="1"/>
      <c r="B343" s="1" t="str">
        <f t="array" ref="B343">XLOOKUP(C343,Tabela_1[NOME ESCOLA PONTO ID],Tabela_1[REGIONAL],"NE",0)</f>
        <v>REGIONAL 2</v>
      </c>
      <c r="C343" s="3" t="str">
        <f>IFERROR(__xludf.DUMMYFUNCTION("""COMPUTED_VALUE"""),"ESCOLA MUNICIPAL NOSSA SENHORA DA CONCEIÇÃO")</f>
        <v>ESCOLA MUNICIPAL NOSSA SENHORA DA CONCEIÇÃO</v>
      </c>
      <c r="D343" s="1" t="str">
        <f>IFERROR(__xludf.DUMMYFUNCTION("""COMPUTED_VALUE"""),"26139987")</f>
        <v>26139987</v>
      </c>
      <c r="E343" s="1" t="str">
        <f>IFERROR(__xludf.DUMMYFUNCTION("""COMPUTED_VALUE"""),"INFANTIL 4")</f>
        <v>INFANTIL 4</v>
      </c>
      <c r="F343" s="1" t="str">
        <f>IFERROR(__xludf.DUMMYFUNCTION("""COMPUTED_VALUE"""),"Vespertino/Tarde")</f>
        <v>Vespertino/Tarde</v>
      </c>
      <c r="G343" s="1" t="str">
        <f>IFERROR(__xludf.DUMMYFUNCTION("""COMPUTED_VALUE"""),"Comum")</f>
        <v>Comum</v>
      </c>
      <c r="H343" s="1" t="str">
        <f>IFERROR(__xludf.DUMMYFUNCTION("""COMPUTED_VALUE"""),"1")</f>
        <v>1</v>
      </c>
      <c r="I343" s="6" t="str">
        <f>IFERROR(__xludf.DUMMYFUNCTION("""COMPUTED_VALUE"""),"26022459034")</f>
        <v>26022459034</v>
      </c>
      <c r="J343" s="1" t="str">
        <f>IFERROR(__xludf.DUMMYFUNCTION("""COMPUTED_VALUE"""),"03/02/2026 17:43:14")</f>
        <v>03/02/2026 17:43:14</v>
      </c>
      <c r="K343" s="1" t="str">
        <f>IFERROR(__xludf.DUMMYFUNCTION("""COMPUTED_VALUE"""),"MAYA GEOVANNA  ARAÚJO DA SILVA")</f>
        <v>MAYA GEOVANNA  ARAÚJO DA SILVA</v>
      </c>
      <c r="L343" s="5" t="str">
        <f>IFERROR(__xludf.DUMMYFUNCTION("""COMPUTED_VALUE"""),"180.881.774-56")</f>
        <v>180.881.774-56</v>
      </c>
      <c r="M343" s="5" t="str">
        <f>IFERROR(__xludf.DUMMYFUNCTION("""COMPUTED_VALUE"""),"20/01/2022")</f>
        <v>20/01/2022</v>
      </c>
      <c r="N343" s="1"/>
      <c r="O343" s="1" t="str">
        <f>IFERROR(__xludf.DUMMYFUNCTION("""COMPUTED_VALUE"""),"0")</f>
        <v>0</v>
      </c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5.75" customHeight="1">
      <c r="A344" s="1"/>
      <c r="B344" s="1" t="str">
        <f t="array" ref="B344">XLOOKUP(C344,Tabela_1[NOME ESCOLA PONTO ID],Tabela_1[REGIONAL],"NE",0)</f>
        <v>REGIONAL 2</v>
      </c>
      <c r="C344" s="3" t="str">
        <f>IFERROR(__xludf.DUMMYFUNCTION("""COMPUTED_VALUE"""),"ESCOLA MUNICIPAL NOSSA SENHORA DA CONCEIÇÃO")</f>
        <v>ESCOLA MUNICIPAL NOSSA SENHORA DA CONCEIÇÃO</v>
      </c>
      <c r="D344" s="1" t="str">
        <f>IFERROR(__xludf.DUMMYFUNCTION("""COMPUTED_VALUE"""),"26139987")</f>
        <v>26139987</v>
      </c>
      <c r="E344" s="1" t="str">
        <f>IFERROR(__xludf.DUMMYFUNCTION("""COMPUTED_VALUE"""),"INFANTIL 4")</f>
        <v>INFANTIL 4</v>
      </c>
      <c r="F344" s="1" t="str">
        <f>IFERROR(__xludf.DUMMYFUNCTION("""COMPUTED_VALUE"""),"Vespertino/Tarde")</f>
        <v>Vespertino/Tarde</v>
      </c>
      <c r="G344" s="1" t="str">
        <f>IFERROR(__xludf.DUMMYFUNCTION("""COMPUTED_VALUE"""),"Comum")</f>
        <v>Comum</v>
      </c>
      <c r="H344" s="1" t="str">
        <f>IFERROR(__xludf.DUMMYFUNCTION("""COMPUTED_VALUE"""),"2")</f>
        <v>2</v>
      </c>
      <c r="I344" s="6" t="str">
        <f>IFERROR(__xludf.DUMMYFUNCTION("""COMPUTED_VALUE"""),"26022478613")</f>
        <v>26022478613</v>
      </c>
      <c r="J344" s="1" t="str">
        <f>IFERROR(__xludf.DUMMYFUNCTION("""COMPUTED_VALUE"""),"16/02/2026 16:33:52")</f>
        <v>16/02/2026 16:33:52</v>
      </c>
      <c r="K344" s="1" t="str">
        <f>IFERROR(__xludf.DUMMYFUNCTION("""COMPUTED_VALUE"""),"ENZO MIGUEL OLIVEIRA DA SILVA")</f>
        <v>ENZO MIGUEL OLIVEIRA DA SILVA</v>
      </c>
      <c r="L344" s="5" t="str">
        <f>IFERROR(__xludf.DUMMYFUNCTION("""COMPUTED_VALUE"""),"092.575.144-80")</f>
        <v>092.575.144-80</v>
      </c>
      <c r="M344" s="5" t="str">
        <f>IFERROR(__xludf.DUMMYFUNCTION("""COMPUTED_VALUE"""),"05/11/2021")</f>
        <v>05/11/2021</v>
      </c>
      <c r="N344" s="1"/>
      <c r="O344" s="1" t="str">
        <f>IFERROR(__xludf.DUMMYFUNCTION("""COMPUTED_VALUE"""),"0")</f>
        <v>0</v>
      </c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5.75" customHeight="1">
      <c r="A345" s="1"/>
      <c r="B345" s="1" t="str">
        <f t="array" ref="B345">XLOOKUP(C345,Tabela_1[NOME ESCOLA PONTO ID],Tabela_1[REGIONAL],"NE",0)</f>
        <v>REGIONAL 2</v>
      </c>
      <c r="C345" s="3" t="str">
        <f>IFERROR(__xludf.DUMMYFUNCTION("""COMPUTED_VALUE"""),"ESCOLA MUNICIPAL NOSSA SENHORA DA CONCEIÇÃO")</f>
        <v>ESCOLA MUNICIPAL NOSSA SENHORA DA CONCEIÇÃO</v>
      </c>
      <c r="D345" s="1" t="str">
        <f>IFERROR(__xludf.DUMMYFUNCTION("""COMPUTED_VALUE"""),"26139987")</f>
        <v>26139987</v>
      </c>
      <c r="E345" s="1" t="str">
        <f>IFERROR(__xludf.DUMMYFUNCTION("""COMPUTED_VALUE"""),"INFANTIL 4")</f>
        <v>INFANTIL 4</v>
      </c>
      <c r="F345" s="1" t="str">
        <f>IFERROR(__xludf.DUMMYFUNCTION("""COMPUTED_VALUE"""),"Vespertino/Tarde")</f>
        <v>Vespertino/Tarde</v>
      </c>
      <c r="G345" s="1" t="str">
        <f>IFERROR(__xludf.DUMMYFUNCTION("""COMPUTED_VALUE"""),"Comum")</f>
        <v>Comum</v>
      </c>
      <c r="H345" s="1" t="str">
        <f>IFERROR(__xludf.DUMMYFUNCTION("""COMPUTED_VALUE"""),"3")</f>
        <v>3</v>
      </c>
      <c r="I345" s="6" t="str">
        <f>IFERROR(__xludf.DUMMYFUNCTION("""COMPUTED_VALUE"""),"26032817494")</f>
        <v>26032817494</v>
      </c>
      <c r="J345" s="1" t="str">
        <f>IFERROR(__xludf.DUMMYFUNCTION("""COMPUTED_VALUE"""),"24/03/2026 15:35:20")</f>
        <v>24/03/2026 15:35:20</v>
      </c>
      <c r="K345" s="1" t="str">
        <f>IFERROR(__xludf.DUMMYFUNCTION("""COMPUTED_VALUE"""),"MIGUEL MACIEL DA SILVA LOPES")</f>
        <v>MIGUEL MACIEL DA SILVA LOPES</v>
      </c>
      <c r="L345" s="5" t="str">
        <f>IFERROR(__xludf.DUMMYFUNCTION("""COMPUTED_VALUE"""),"180.868.714-01")</f>
        <v>180.868.714-01</v>
      </c>
      <c r="M345" s="5" t="str">
        <f>IFERROR(__xludf.DUMMYFUNCTION("""COMPUTED_VALUE"""),"11/03/2022")</f>
        <v>11/03/2022</v>
      </c>
      <c r="N345" s="1"/>
      <c r="O345" s="1" t="str">
        <f>IFERROR(__xludf.DUMMYFUNCTION("""COMPUTED_VALUE"""),"0")</f>
        <v>0</v>
      </c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5.75" customHeight="1">
      <c r="A346" s="1"/>
      <c r="B346" s="1" t="str">
        <f t="array" ref="B346">XLOOKUP(C346,Tabela_1[NOME ESCOLA PONTO ID],Tabela_1[REGIONAL],"NE",0)</f>
        <v>REGIONAL 2</v>
      </c>
      <c r="C346" s="3" t="str">
        <f>IFERROR(__xludf.DUMMYFUNCTION("""COMPUTED_VALUE"""),"ESCOLA MUNICIPAL NOSSA SENHORA DA CONCEIÇÃO")</f>
        <v>ESCOLA MUNICIPAL NOSSA SENHORA DA CONCEIÇÃO</v>
      </c>
      <c r="D346" s="1" t="str">
        <f>IFERROR(__xludf.DUMMYFUNCTION("""COMPUTED_VALUE"""),"26139987")</f>
        <v>26139987</v>
      </c>
      <c r="E346" s="1" t="str">
        <f>IFERROR(__xludf.DUMMYFUNCTION("""COMPUTED_VALUE"""),"INFANTIL 4")</f>
        <v>INFANTIL 4</v>
      </c>
      <c r="F346" s="1" t="str">
        <f>IFERROR(__xludf.DUMMYFUNCTION("""COMPUTED_VALUE"""),"Vespertino/Tarde")</f>
        <v>Vespertino/Tarde</v>
      </c>
      <c r="G346" s="1" t="str">
        <f>IFERROR(__xludf.DUMMYFUNCTION("""COMPUTED_VALUE"""),"Comum")</f>
        <v>Comum</v>
      </c>
      <c r="H346" s="1" t="str">
        <f>IFERROR(__xludf.DUMMYFUNCTION("""COMPUTED_VALUE"""),"4")</f>
        <v>4</v>
      </c>
      <c r="I346" s="6" t="str">
        <f>IFERROR(__xludf.DUMMYFUNCTION("""COMPUTED_VALUE"""),"26032313385")</f>
        <v>26032313385</v>
      </c>
      <c r="J346" s="1" t="str">
        <f>IFERROR(__xludf.DUMMYFUNCTION("""COMPUTED_VALUE"""),"27/03/2026 00:01:46")</f>
        <v>27/03/2026 00:01:46</v>
      </c>
      <c r="K346" s="1" t="str">
        <f>IFERROR(__xludf.DUMMYFUNCTION("""COMPUTED_VALUE"""),"ANTHONY GABRIEL RAPOSO GOMES DA SILVA")</f>
        <v>ANTHONY GABRIEL RAPOSO GOMES DA SILVA</v>
      </c>
      <c r="L346" s="5" t="str">
        <f>IFERROR(__xludf.DUMMYFUNCTION("""COMPUTED_VALUE"""),"177.044.674-50")</f>
        <v>177.044.674-50</v>
      </c>
      <c r="M346" s="5" t="str">
        <f>IFERROR(__xludf.DUMMYFUNCTION("""COMPUTED_VALUE"""),"11/06/2021")</f>
        <v>11/06/2021</v>
      </c>
      <c r="N346" s="1"/>
      <c r="O346" s="1" t="str">
        <f>IFERROR(__xludf.DUMMYFUNCTION("""COMPUTED_VALUE"""),"0")</f>
        <v>0</v>
      </c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5.75" customHeight="1">
      <c r="A347" s="1"/>
      <c r="B347" s="1" t="str">
        <f t="array" ref="B347">XLOOKUP(C347,Tabela_1[NOME ESCOLA PONTO ID],Tabela_1[REGIONAL],"NE",0)</f>
        <v>REGIONAL 2</v>
      </c>
      <c r="C347" s="3" t="str">
        <f>IFERROR(__xludf.DUMMYFUNCTION("""COMPUTED_VALUE"""),"ESCOLA MUNICIPAL NOSSA SENHORA DA CONCEIÇÃO")</f>
        <v>ESCOLA MUNICIPAL NOSSA SENHORA DA CONCEIÇÃO</v>
      </c>
      <c r="D347" s="1" t="str">
        <f>IFERROR(__xludf.DUMMYFUNCTION("""COMPUTED_VALUE"""),"26139987")</f>
        <v>26139987</v>
      </c>
      <c r="E347" s="1" t="str">
        <f>IFERROR(__xludf.DUMMYFUNCTION("""COMPUTED_VALUE"""),"INFANTIL 5")</f>
        <v>INFANTIL 5</v>
      </c>
      <c r="F347" s="1" t="str">
        <f>IFERROR(__xludf.DUMMYFUNCTION("""COMPUTED_VALUE"""),"Matutino/Manhã")</f>
        <v>Matutino/Manhã</v>
      </c>
      <c r="G347" s="1" t="str">
        <f>IFERROR(__xludf.DUMMYFUNCTION("""COMPUTED_VALUE"""),"Comum")</f>
        <v>Comum</v>
      </c>
      <c r="H347" s="1" t="str">
        <f>IFERROR(__xludf.DUMMYFUNCTION("""COMPUTED_VALUE"""),"1")</f>
        <v>1</v>
      </c>
      <c r="I347" s="6" t="str">
        <f>IFERROR(__xludf.DUMMYFUNCTION("""COMPUTED_VALUE"""),"26032249228")</f>
        <v>26032249228</v>
      </c>
      <c r="J347" s="1" t="str">
        <f>IFERROR(__xludf.DUMMYFUNCTION("""COMPUTED_VALUE"""),"04/03/2026 11:40:39")</f>
        <v>04/03/2026 11:40:39</v>
      </c>
      <c r="K347" s="1" t="str">
        <f>IFERROR(__xludf.DUMMYFUNCTION("""COMPUTED_VALUE"""),"ANA CLARA DE VASCONCELOS SANTOS")</f>
        <v>ANA CLARA DE VASCONCELOS SANTOS</v>
      </c>
      <c r="L347" s="5" t="str">
        <f>IFERROR(__xludf.DUMMYFUNCTION("""COMPUTED_VALUE"""),"174.021.444-70")</f>
        <v>174.021.444-70</v>
      </c>
      <c r="M347" s="5" t="str">
        <f>IFERROR(__xludf.DUMMYFUNCTION("""COMPUTED_VALUE"""),"12/09/2020")</f>
        <v>12/09/2020</v>
      </c>
      <c r="N347" s="1"/>
      <c r="O347" s="1" t="str">
        <f>IFERROR(__xludf.DUMMYFUNCTION("""COMPUTED_VALUE"""),"0")</f>
        <v>0</v>
      </c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5.75" customHeight="1">
      <c r="A348" s="1"/>
      <c r="B348" s="1" t="str">
        <f t="array" ref="B348">XLOOKUP(C348,Tabela_1[NOME ESCOLA PONTO ID],Tabela_1[REGIONAL],"NE",0)</f>
        <v>REGIONAL 2</v>
      </c>
      <c r="C348" s="3" t="str">
        <f>IFERROR(__xludf.DUMMYFUNCTION("""COMPUTED_VALUE"""),"ESCOLA MUNICIPAL NOSSA SENHORA DA CONCEIÇÃO")</f>
        <v>ESCOLA MUNICIPAL NOSSA SENHORA DA CONCEIÇÃO</v>
      </c>
      <c r="D348" s="1" t="str">
        <f>IFERROR(__xludf.DUMMYFUNCTION("""COMPUTED_VALUE"""),"26139987")</f>
        <v>26139987</v>
      </c>
      <c r="E348" s="1" t="str">
        <f>IFERROR(__xludf.DUMMYFUNCTION("""COMPUTED_VALUE"""),"INFANTIL 5")</f>
        <v>INFANTIL 5</v>
      </c>
      <c r="F348" s="1" t="str">
        <f>IFERROR(__xludf.DUMMYFUNCTION("""COMPUTED_VALUE"""),"Vespertino/Tarde")</f>
        <v>Vespertino/Tarde</v>
      </c>
      <c r="G348" s="1" t="str">
        <f>IFERROR(__xludf.DUMMYFUNCTION("""COMPUTED_VALUE"""),"Comum")</f>
        <v>Comum</v>
      </c>
      <c r="H348" s="1" t="str">
        <f>IFERROR(__xludf.DUMMYFUNCTION("""COMPUTED_VALUE"""),"1")</f>
        <v>1</v>
      </c>
      <c r="I348" s="6" t="str">
        <f>IFERROR(__xludf.DUMMYFUNCTION("""COMPUTED_VALUE"""),"26022750743")</f>
        <v>26022750743</v>
      </c>
      <c r="J348" s="1" t="str">
        <f>IFERROR(__xludf.DUMMYFUNCTION("""COMPUTED_VALUE"""),"03/02/2026 13:06:05")</f>
        <v>03/02/2026 13:06:05</v>
      </c>
      <c r="K348" s="1" t="str">
        <f>IFERROR(__xludf.DUMMYFUNCTION("""COMPUTED_VALUE"""),"JENEFER GRAZIELE DA SILVA LIMA")</f>
        <v>JENEFER GRAZIELE DA SILVA LIMA</v>
      </c>
      <c r="L348" s="5" t="str">
        <f>IFERROR(__xludf.DUMMYFUNCTION("""COMPUTED_VALUE"""),"173.342.964-60")</f>
        <v>173.342.964-60</v>
      </c>
      <c r="M348" s="5" t="str">
        <f>IFERROR(__xludf.DUMMYFUNCTION("""COMPUTED_VALUE"""),"04/04/2020")</f>
        <v>04/04/2020</v>
      </c>
      <c r="N348" s="1"/>
      <c r="O348" s="1" t="str">
        <f>IFERROR(__xludf.DUMMYFUNCTION("""COMPUTED_VALUE"""),"0")</f>
        <v>0</v>
      </c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5.75" customHeight="1">
      <c r="A349" s="1"/>
      <c r="B349" s="1" t="str">
        <f t="array" ref="B349">XLOOKUP(C349,Tabela_1[NOME ESCOLA PONTO ID],Tabela_1[REGIONAL],"NE",0)</f>
        <v>REGIONAL 2</v>
      </c>
      <c r="C349" s="3" t="str">
        <f>IFERROR(__xludf.DUMMYFUNCTION("""COMPUTED_VALUE"""),"ESCOLA MUNICIPAL NOSSA SENHORA DA CONCEIÇÃO")</f>
        <v>ESCOLA MUNICIPAL NOSSA SENHORA DA CONCEIÇÃO</v>
      </c>
      <c r="D349" s="1" t="str">
        <f>IFERROR(__xludf.DUMMYFUNCTION("""COMPUTED_VALUE"""),"26139987")</f>
        <v>26139987</v>
      </c>
      <c r="E349" s="1" t="str">
        <f>IFERROR(__xludf.DUMMYFUNCTION("""COMPUTED_VALUE"""),"INFANTIL 5")</f>
        <v>INFANTIL 5</v>
      </c>
      <c r="F349" s="1" t="str">
        <f>IFERROR(__xludf.DUMMYFUNCTION("""COMPUTED_VALUE"""),"Vespertino/Tarde")</f>
        <v>Vespertino/Tarde</v>
      </c>
      <c r="G349" s="1" t="str">
        <f>IFERROR(__xludf.DUMMYFUNCTION("""COMPUTED_VALUE"""),"Comum")</f>
        <v>Comum</v>
      </c>
      <c r="H349" s="1" t="str">
        <f>IFERROR(__xludf.DUMMYFUNCTION("""COMPUTED_VALUE"""),"2")</f>
        <v>2</v>
      </c>
      <c r="I349" s="6" t="str">
        <f>IFERROR(__xludf.DUMMYFUNCTION("""COMPUTED_VALUE"""),"26042569547")</f>
        <v>26042569547</v>
      </c>
      <c r="J349" s="1" t="str">
        <f>IFERROR(__xludf.DUMMYFUNCTION("""COMPUTED_VALUE"""),"29/04/2026 11:08:16")</f>
        <v>29/04/2026 11:08:16</v>
      </c>
      <c r="K349" s="1" t="str">
        <f>IFERROR(__xludf.DUMMYFUNCTION("""COMPUTED_VALUE"""),"FABRIELLY MARIA DA SILVA")</f>
        <v>FABRIELLY MARIA DA SILVA</v>
      </c>
      <c r="L349" s="5" t="str">
        <f>IFERROR(__xludf.DUMMYFUNCTION("""COMPUTED_VALUE"""),"174.170.044-23")</f>
        <v>174.170.044-23</v>
      </c>
      <c r="M349" s="5" t="str">
        <f>IFERROR(__xludf.DUMMYFUNCTION("""COMPUTED_VALUE"""),"08/11/2020")</f>
        <v>08/11/2020</v>
      </c>
      <c r="N349" s="1"/>
      <c r="O349" s="1" t="str">
        <f>IFERROR(__xludf.DUMMYFUNCTION("""COMPUTED_VALUE"""),"0")</f>
        <v>0</v>
      </c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5.75" customHeight="1">
      <c r="A350" s="1"/>
      <c r="B350" s="1" t="str">
        <f t="array" ref="B350">XLOOKUP(C350,Tabela_1[NOME ESCOLA PONTO ID],Tabela_1[REGIONAL],"NE",0)</f>
        <v>REGIONAL 7</v>
      </c>
      <c r="C350" s="3" t="str">
        <f>IFERROR(__xludf.DUMMYFUNCTION("""COMPUTED_VALUE"""),"ESCOLA MUNICIPAL NOSSA SENHORA DE FATIMA")</f>
        <v>ESCOLA MUNICIPAL NOSSA SENHORA DE FATIMA</v>
      </c>
      <c r="D350" s="1" t="str">
        <f>IFERROR(__xludf.DUMMYFUNCTION("""COMPUTED_VALUE"""),"26109417")</f>
        <v>26109417</v>
      </c>
      <c r="E350" s="1" t="str">
        <f>IFERROR(__xludf.DUMMYFUNCTION("""COMPUTED_VALUE"""),"INFANTIL 4")</f>
        <v>INFANTIL 4</v>
      </c>
      <c r="F350" s="1" t="str">
        <f>IFERROR(__xludf.DUMMYFUNCTION("""COMPUTED_VALUE"""),"Matutino/Manhã")</f>
        <v>Matutino/Manhã</v>
      </c>
      <c r="G350" s="1" t="str">
        <f>IFERROR(__xludf.DUMMYFUNCTION("""COMPUTED_VALUE"""),"Comum")</f>
        <v>Comum</v>
      </c>
      <c r="H350" s="1" t="str">
        <f>IFERROR(__xludf.DUMMYFUNCTION("""COMPUTED_VALUE"""),"1")</f>
        <v>1</v>
      </c>
      <c r="I350" s="6" t="str">
        <f>IFERROR(__xludf.DUMMYFUNCTION("""COMPUTED_VALUE"""),"26012175876")</f>
        <v>26012175876</v>
      </c>
      <c r="J350" s="1" t="str">
        <f>IFERROR(__xludf.DUMMYFUNCTION("""COMPUTED_VALUE"""),"28/01/2026 08:30:12")</f>
        <v>28/01/2026 08:30:12</v>
      </c>
      <c r="K350" s="1" t="str">
        <f>IFERROR(__xludf.DUMMYFUNCTION("""COMPUTED_VALUE"""),"MARIA LETICIA DA SILVA  DOS SANTOS")</f>
        <v>MARIA LETICIA DA SILVA  DOS SANTOS</v>
      </c>
      <c r="L350" s="5" t="str">
        <f>IFERROR(__xludf.DUMMYFUNCTION("""COMPUTED_VALUE"""),"177.334.924-40")</f>
        <v>177.334.924-40</v>
      </c>
      <c r="M350" s="5" t="str">
        <f>IFERROR(__xludf.DUMMYFUNCTION("""COMPUTED_VALUE"""),"07/07/2021")</f>
        <v>07/07/2021</v>
      </c>
      <c r="N350" s="1"/>
      <c r="O350" s="1" t="str">
        <f>IFERROR(__xludf.DUMMYFUNCTION("""COMPUTED_VALUE"""),"0")</f>
        <v>0</v>
      </c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5.75" customHeight="1">
      <c r="A351" s="1"/>
      <c r="B351" s="1" t="str">
        <f t="array" ref="B351">XLOOKUP(C351,Tabela_1[NOME ESCOLA PONTO ID],Tabela_1[REGIONAL],"NE",0)</f>
        <v>REGIONAL 7</v>
      </c>
      <c r="C351" s="3" t="str">
        <f>IFERROR(__xludf.DUMMYFUNCTION("""COMPUTED_VALUE"""),"ESCOLA MUNICIPAL NOSSA SENHORA DE FATIMA")</f>
        <v>ESCOLA MUNICIPAL NOSSA SENHORA DE FATIMA</v>
      </c>
      <c r="D351" s="1" t="str">
        <f>IFERROR(__xludf.DUMMYFUNCTION("""COMPUTED_VALUE"""),"26109417")</f>
        <v>26109417</v>
      </c>
      <c r="E351" s="1" t="str">
        <f>IFERROR(__xludf.DUMMYFUNCTION("""COMPUTED_VALUE"""),"INFANTIL 4")</f>
        <v>INFANTIL 4</v>
      </c>
      <c r="F351" s="1" t="str">
        <f>IFERROR(__xludf.DUMMYFUNCTION("""COMPUTED_VALUE"""),"Matutino/Manhã")</f>
        <v>Matutino/Manhã</v>
      </c>
      <c r="G351" s="1" t="str">
        <f>IFERROR(__xludf.DUMMYFUNCTION("""COMPUTED_VALUE"""),"Comum")</f>
        <v>Comum</v>
      </c>
      <c r="H351" s="1" t="str">
        <f>IFERROR(__xludf.DUMMYFUNCTION("""COMPUTED_VALUE"""),"2")</f>
        <v>2</v>
      </c>
      <c r="I351" s="6" t="str">
        <f>IFERROR(__xludf.DUMMYFUNCTION("""COMPUTED_VALUE"""),"26012074325")</f>
        <v>26012074325</v>
      </c>
      <c r="J351" s="1" t="str">
        <f>IFERROR(__xludf.DUMMYFUNCTION("""COMPUTED_VALUE"""),"29/01/2026 12:05:04")</f>
        <v>29/01/2026 12:05:04</v>
      </c>
      <c r="K351" s="1" t="str">
        <f>IFERROR(__xludf.DUMMYFUNCTION("""COMPUTED_VALUE"""),"RUI DE FREITAS SALLES NETO")</f>
        <v>RUI DE FREITAS SALLES NETO</v>
      </c>
      <c r="L351" s="5" t="str">
        <f>IFERROR(__xludf.DUMMYFUNCTION("""COMPUTED_VALUE"""),"178.934.424-76")</f>
        <v>178.934.424-76</v>
      </c>
      <c r="M351" s="5" t="str">
        <f>IFERROR(__xludf.DUMMYFUNCTION("""COMPUTED_VALUE"""),"23/08/2021")</f>
        <v>23/08/2021</v>
      </c>
      <c r="N351" s="1"/>
      <c r="O351" s="1" t="str">
        <f>IFERROR(__xludf.DUMMYFUNCTION("""COMPUTED_VALUE"""),"0")</f>
        <v>0</v>
      </c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5.75" customHeight="1">
      <c r="A352" s="1"/>
      <c r="B352" s="1" t="str">
        <f t="array" ref="B352">XLOOKUP(C352,Tabela_1[NOME ESCOLA PONTO ID],Tabela_1[REGIONAL],"NE",0)</f>
        <v>REGIONAL 7</v>
      </c>
      <c r="C352" s="3" t="str">
        <f>IFERROR(__xludf.DUMMYFUNCTION("""COMPUTED_VALUE"""),"ESCOLA MUNICIPAL NOSSA SENHORA DE FATIMA")</f>
        <v>ESCOLA MUNICIPAL NOSSA SENHORA DE FATIMA</v>
      </c>
      <c r="D352" s="1" t="str">
        <f>IFERROR(__xludf.DUMMYFUNCTION("""COMPUTED_VALUE"""),"26109417")</f>
        <v>26109417</v>
      </c>
      <c r="E352" s="1" t="str">
        <f>IFERROR(__xludf.DUMMYFUNCTION("""COMPUTED_VALUE"""),"INFANTIL 4")</f>
        <v>INFANTIL 4</v>
      </c>
      <c r="F352" s="1" t="str">
        <f>IFERROR(__xludf.DUMMYFUNCTION("""COMPUTED_VALUE"""),"Matutino/Manhã")</f>
        <v>Matutino/Manhã</v>
      </c>
      <c r="G352" s="1" t="str">
        <f>IFERROR(__xludf.DUMMYFUNCTION("""COMPUTED_VALUE"""),"Comum")</f>
        <v>Comum</v>
      </c>
      <c r="H352" s="1" t="str">
        <f>IFERROR(__xludf.DUMMYFUNCTION("""COMPUTED_VALUE"""),"3")</f>
        <v>3</v>
      </c>
      <c r="I352" s="6" t="str">
        <f>IFERROR(__xludf.DUMMYFUNCTION("""COMPUTED_VALUE"""),"26032086981")</f>
        <v>26032086981</v>
      </c>
      <c r="J352" s="1" t="str">
        <f>IFERROR(__xludf.DUMMYFUNCTION("""COMPUTED_VALUE"""),"05/03/2026 15:12:55")</f>
        <v>05/03/2026 15:12:55</v>
      </c>
      <c r="K352" s="1" t="str">
        <f>IFERROR(__xludf.DUMMYFUNCTION("""COMPUTED_VALUE"""),"LUCCA LORENZO MARCIONILO MALTA")</f>
        <v>LUCCA LORENZO MARCIONILO MALTA</v>
      </c>
      <c r="L352" s="5" t="str">
        <f>IFERROR(__xludf.DUMMYFUNCTION("""COMPUTED_VALUE"""),"179.345.684-44")</f>
        <v>179.345.684-44</v>
      </c>
      <c r="M352" s="5" t="str">
        <f>IFERROR(__xludf.DUMMYFUNCTION("""COMPUTED_VALUE"""),"08/11/2021")</f>
        <v>08/11/2021</v>
      </c>
      <c r="N352" s="1"/>
      <c r="O352" s="1" t="str">
        <f>IFERROR(__xludf.DUMMYFUNCTION("""COMPUTED_VALUE"""),"0")</f>
        <v>0</v>
      </c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5.75" customHeight="1">
      <c r="A353" s="1"/>
      <c r="B353" s="1" t="str">
        <f t="array" ref="B353">XLOOKUP(C353,Tabela_1[NOME ESCOLA PONTO ID],Tabela_1[REGIONAL],"NE",0)</f>
        <v>REGIONAL 7</v>
      </c>
      <c r="C353" s="3" t="str">
        <f>IFERROR(__xludf.DUMMYFUNCTION("""COMPUTED_VALUE"""),"ESCOLA MUNICIPAL NOSSA SENHORA DE FATIMA")</f>
        <v>ESCOLA MUNICIPAL NOSSA SENHORA DE FATIMA</v>
      </c>
      <c r="D353" s="1" t="str">
        <f>IFERROR(__xludf.DUMMYFUNCTION("""COMPUTED_VALUE"""),"26109417")</f>
        <v>26109417</v>
      </c>
      <c r="E353" s="1" t="str">
        <f>IFERROR(__xludf.DUMMYFUNCTION("""COMPUTED_VALUE"""),"INFANTIL 4")</f>
        <v>INFANTIL 4</v>
      </c>
      <c r="F353" s="1" t="str">
        <f>IFERROR(__xludf.DUMMYFUNCTION("""COMPUTED_VALUE"""),"Vespertino/Tarde")</f>
        <v>Vespertino/Tarde</v>
      </c>
      <c r="G353" s="1" t="str">
        <f>IFERROR(__xludf.DUMMYFUNCTION("""COMPUTED_VALUE"""),"Comum")</f>
        <v>Comum</v>
      </c>
      <c r="H353" s="1" t="str">
        <f>IFERROR(__xludf.DUMMYFUNCTION("""COMPUTED_VALUE"""),"1")</f>
        <v>1</v>
      </c>
      <c r="I353" s="6" t="str">
        <f>IFERROR(__xludf.DUMMYFUNCTION("""COMPUTED_VALUE"""),"26012775453")</f>
        <v>26012775453</v>
      </c>
      <c r="J353" s="1" t="str">
        <f>IFERROR(__xludf.DUMMYFUNCTION("""COMPUTED_VALUE"""),"28/01/2026 08:37:10")</f>
        <v>28/01/2026 08:37:10</v>
      </c>
      <c r="K353" s="1" t="str">
        <f>IFERROR(__xludf.DUMMYFUNCTION("""COMPUTED_VALUE"""),"ROBERT BENÍCIO DA SILVA QUARESMA")</f>
        <v>ROBERT BENÍCIO DA SILVA QUARESMA</v>
      </c>
      <c r="L353" s="5" t="str">
        <f>IFERROR(__xludf.DUMMYFUNCTION("""COMPUTED_VALUE"""),"180.371.084-57")</f>
        <v>180.371.084-57</v>
      </c>
      <c r="M353" s="5" t="str">
        <f>IFERROR(__xludf.DUMMYFUNCTION("""COMPUTED_VALUE"""),"11/01/2022")</f>
        <v>11/01/2022</v>
      </c>
      <c r="N353" s="1"/>
      <c r="O353" s="1" t="str">
        <f>IFERROR(__xludf.DUMMYFUNCTION("""COMPUTED_VALUE"""),"0")</f>
        <v>0</v>
      </c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5.75" customHeight="1">
      <c r="A354" s="1"/>
      <c r="B354" s="1" t="str">
        <f t="array" ref="B354">XLOOKUP(C354,Tabela_1[NOME ESCOLA PONTO ID],Tabela_1[REGIONAL],"NE",0)</f>
        <v>REGIONAL 7</v>
      </c>
      <c r="C354" s="3" t="str">
        <f>IFERROR(__xludf.DUMMYFUNCTION("""COMPUTED_VALUE"""),"ESCOLA MUNICIPAL NOSSA SENHORA DE FATIMA")</f>
        <v>ESCOLA MUNICIPAL NOSSA SENHORA DE FATIMA</v>
      </c>
      <c r="D354" s="1" t="str">
        <f>IFERROR(__xludf.DUMMYFUNCTION("""COMPUTED_VALUE"""),"26109417")</f>
        <v>26109417</v>
      </c>
      <c r="E354" s="1" t="str">
        <f>IFERROR(__xludf.DUMMYFUNCTION("""COMPUTED_VALUE"""),"INFANTIL 4")</f>
        <v>INFANTIL 4</v>
      </c>
      <c r="F354" s="1" t="str">
        <f>IFERROR(__xludf.DUMMYFUNCTION("""COMPUTED_VALUE"""),"Vespertino/Tarde")</f>
        <v>Vespertino/Tarde</v>
      </c>
      <c r="G354" s="1" t="str">
        <f>IFERROR(__xludf.DUMMYFUNCTION("""COMPUTED_VALUE"""),"Comum")</f>
        <v>Comum</v>
      </c>
      <c r="H354" s="1" t="str">
        <f>IFERROR(__xludf.DUMMYFUNCTION("""COMPUTED_VALUE"""),"2")</f>
        <v>2</v>
      </c>
      <c r="I354" s="6" t="str">
        <f>IFERROR(__xludf.DUMMYFUNCTION("""COMPUTED_VALUE"""),"26012175189")</f>
        <v>26012175189</v>
      </c>
      <c r="J354" s="1" t="str">
        <f>IFERROR(__xludf.DUMMYFUNCTION("""COMPUTED_VALUE"""),"29/01/2026 10:59:28")</f>
        <v>29/01/2026 10:59:28</v>
      </c>
      <c r="K354" s="1" t="str">
        <f>IFERROR(__xludf.DUMMYFUNCTION("""COMPUTED_VALUE"""),"GEOVANA BEATRIZ DA SILVA")</f>
        <v>GEOVANA BEATRIZ DA SILVA</v>
      </c>
      <c r="L354" s="5" t="str">
        <f>IFERROR(__xludf.DUMMYFUNCTION("""COMPUTED_VALUE"""),"177.059.234-24")</f>
        <v>177.059.234-24</v>
      </c>
      <c r="M354" s="7" t="str">
        <f>IFERROR(__xludf.DUMMYFUNCTION("""COMPUTED_VALUE"""),"12/06/2021")</f>
        <v>12/06/2021</v>
      </c>
      <c r="N354" s="1"/>
      <c r="O354" s="1" t="str">
        <f>IFERROR(__xludf.DUMMYFUNCTION("""COMPUTED_VALUE"""),"0")</f>
        <v>0</v>
      </c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5.75" customHeight="1">
      <c r="A355" s="1"/>
      <c r="B355" s="1" t="str">
        <f t="array" ref="B355">XLOOKUP(C355,Tabela_1[NOME ESCOLA PONTO ID],Tabela_1[REGIONAL],"NE",0)</f>
        <v>REGIONAL 7</v>
      </c>
      <c r="C355" s="3" t="str">
        <f>IFERROR(__xludf.DUMMYFUNCTION("""COMPUTED_VALUE"""),"ESCOLA MUNICIPAL NOSSA SENHORA DE FATIMA")</f>
        <v>ESCOLA MUNICIPAL NOSSA SENHORA DE FATIMA</v>
      </c>
      <c r="D355" s="1" t="str">
        <f>IFERROR(__xludf.DUMMYFUNCTION("""COMPUTED_VALUE"""),"26109417")</f>
        <v>26109417</v>
      </c>
      <c r="E355" s="1" t="str">
        <f>IFERROR(__xludf.DUMMYFUNCTION("""COMPUTED_VALUE"""),"INFANTIL 4")</f>
        <v>INFANTIL 4</v>
      </c>
      <c r="F355" s="1" t="str">
        <f>IFERROR(__xludf.DUMMYFUNCTION("""COMPUTED_VALUE"""),"Vespertino/Tarde")</f>
        <v>Vespertino/Tarde</v>
      </c>
      <c r="G355" s="1" t="str">
        <f>IFERROR(__xludf.DUMMYFUNCTION("""COMPUTED_VALUE"""),"Comum")</f>
        <v>Comum</v>
      </c>
      <c r="H355" s="1" t="str">
        <f>IFERROR(__xludf.DUMMYFUNCTION("""COMPUTED_VALUE"""),"3")</f>
        <v>3</v>
      </c>
      <c r="I355" s="6" t="str">
        <f>IFERROR(__xludf.DUMMYFUNCTION("""COMPUTED_VALUE"""),"26012715363")</f>
        <v>26012715363</v>
      </c>
      <c r="J355" s="1" t="str">
        <f>IFERROR(__xludf.DUMMYFUNCTION("""COMPUTED_VALUE"""),"29/01/2026 11:30:25")</f>
        <v>29/01/2026 11:30:25</v>
      </c>
      <c r="K355" s="1" t="str">
        <f>IFERROR(__xludf.DUMMYFUNCTION("""COMPUTED_VALUE"""),"ARTHUR HENRIQUE ALVES DA SILVA")</f>
        <v>ARTHUR HENRIQUE ALVES DA SILVA</v>
      </c>
      <c r="L355" s="7" t="str">
        <f>IFERROR(__xludf.DUMMYFUNCTION("""COMPUTED_VALUE"""),"177.774.854-23")</f>
        <v>177.774.854-23</v>
      </c>
      <c r="M355" s="5" t="str">
        <f>IFERROR(__xludf.DUMMYFUNCTION("""COMPUTED_VALUE"""),"20/07/2021")</f>
        <v>20/07/2021</v>
      </c>
      <c r="N355" s="1"/>
      <c r="O355" s="1" t="str">
        <f>IFERROR(__xludf.DUMMYFUNCTION("""COMPUTED_VALUE"""),"0")</f>
        <v>0</v>
      </c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5.75" customHeight="1">
      <c r="A356" s="1"/>
      <c r="B356" s="1" t="str">
        <f t="array" ref="B356">XLOOKUP(C356,Tabela_1[NOME ESCOLA PONTO ID],Tabela_1[REGIONAL],"NE",0)</f>
        <v>REGIONAL 6</v>
      </c>
      <c r="C356" s="3" t="str">
        <f>IFERROR(__xludf.DUMMYFUNCTION("""COMPUTED_VALUE"""),"ESCOLA MUNICIPAL NOSSA SENHORA DO LORETO")</f>
        <v>ESCOLA MUNICIPAL NOSSA SENHORA DO LORETO</v>
      </c>
      <c r="D356" s="1" t="str">
        <f>IFERROR(__xludf.DUMMYFUNCTION("""COMPUTED_VALUE"""),"26100220")</f>
        <v>26100220</v>
      </c>
      <c r="E356" s="1" t="str">
        <f>IFERROR(__xludf.DUMMYFUNCTION("""COMPUTED_VALUE"""),"INFANTIL 5")</f>
        <v>INFANTIL 5</v>
      </c>
      <c r="F356" s="1" t="str">
        <f>IFERROR(__xludf.DUMMYFUNCTION("""COMPUTED_VALUE"""),"Vespertino/Tarde")</f>
        <v>Vespertino/Tarde</v>
      </c>
      <c r="G356" s="1" t="str">
        <f>IFERROR(__xludf.DUMMYFUNCTION("""COMPUTED_VALUE"""),"Comum")</f>
        <v>Comum</v>
      </c>
      <c r="H356" s="1" t="str">
        <f>IFERROR(__xludf.DUMMYFUNCTION("""COMPUTED_VALUE"""),"1")</f>
        <v>1</v>
      </c>
      <c r="I356" s="4" t="str">
        <f>IFERROR(__xludf.DUMMYFUNCTION("""COMPUTED_VALUE"""),"26032632240")</f>
        <v>26032632240</v>
      </c>
      <c r="J356" s="1" t="str">
        <f>IFERROR(__xludf.DUMMYFUNCTION("""COMPUTED_VALUE"""),"19/03/2026 11:51:08")</f>
        <v>19/03/2026 11:51:08</v>
      </c>
      <c r="K356" s="1" t="str">
        <f>IFERROR(__xludf.DUMMYFUNCTION("""COMPUTED_VALUE"""),"LORRANE GEOVANA COSMO DA SILVA")</f>
        <v>LORRANE GEOVANA COSMO DA SILVA</v>
      </c>
      <c r="L356" s="5" t="str">
        <f>IFERROR(__xludf.DUMMYFUNCTION("""COMPUTED_VALUE"""),"175.597.714-08")</f>
        <v>175.597.714-08</v>
      </c>
      <c r="M356" s="5" t="str">
        <f>IFERROR(__xludf.DUMMYFUNCTION("""COMPUTED_VALUE"""),"02/12/2020")</f>
        <v>02/12/2020</v>
      </c>
      <c r="N356" s="1"/>
      <c r="O356" s="1" t="str">
        <f>IFERROR(__xludf.DUMMYFUNCTION("""COMPUTED_VALUE"""),"0")</f>
        <v>0</v>
      </c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5.75" customHeight="1">
      <c r="A357" s="1"/>
      <c r="B357" s="1" t="str">
        <f t="array" ref="B357">XLOOKUP(C357,Tabela_1[NOME ESCOLA PONTO ID],Tabela_1[REGIONAL],"NE",0)</f>
        <v>REGIONAL 1</v>
      </c>
      <c r="C357" s="3" t="str">
        <f>IFERROR(__xludf.DUMMYFUNCTION("""COMPUTED_VALUE"""),"ESCOLA MUNICIPAL PADRE AURINO CARACCIOLO")</f>
        <v>ESCOLA MUNICIPAL PADRE AURINO CARACCIOLO</v>
      </c>
      <c r="D357" s="1" t="str">
        <f>IFERROR(__xludf.DUMMYFUNCTION("""COMPUTED_VALUE"""),"26108976")</f>
        <v>26108976</v>
      </c>
      <c r="E357" s="1" t="str">
        <f>IFERROR(__xludf.DUMMYFUNCTION("""COMPUTED_VALUE"""),"INFANTIL 4")</f>
        <v>INFANTIL 4</v>
      </c>
      <c r="F357" s="1" t="str">
        <f>IFERROR(__xludf.DUMMYFUNCTION("""COMPUTED_VALUE"""),"Vespertino/Tarde")</f>
        <v>Vespertino/Tarde</v>
      </c>
      <c r="G357" s="1" t="str">
        <f>IFERROR(__xludf.DUMMYFUNCTION("""COMPUTED_VALUE"""),"Comum")</f>
        <v>Comum</v>
      </c>
      <c r="H357" s="1" t="str">
        <f>IFERROR(__xludf.DUMMYFUNCTION("""COMPUTED_VALUE"""),"1")</f>
        <v>1</v>
      </c>
      <c r="I357" s="4" t="str">
        <f>IFERROR(__xludf.DUMMYFUNCTION("""COMPUTED_VALUE"""),"26012968388")</f>
        <v>26012968388</v>
      </c>
      <c r="J357" s="1" t="str">
        <f>IFERROR(__xludf.DUMMYFUNCTION("""COMPUTED_VALUE"""),"29/01/2026 13:38:28")</f>
        <v>29/01/2026 13:38:28</v>
      </c>
      <c r="K357" s="1" t="str">
        <f>IFERROR(__xludf.DUMMYFUNCTION("""COMPUTED_VALUE"""),"MARYA ALLICE PALMEIRA BARRETO DA SILVA")</f>
        <v>MARYA ALLICE PALMEIRA BARRETO DA SILVA</v>
      </c>
      <c r="L357" s="5" t="str">
        <f>IFERROR(__xludf.DUMMYFUNCTION("""COMPUTED_VALUE"""),"178.982.784-10")</f>
        <v>178.982.784-10</v>
      </c>
      <c r="M357" s="5" t="str">
        <f>IFERROR(__xludf.DUMMYFUNCTION("""COMPUTED_VALUE"""),"20/10/2021")</f>
        <v>20/10/2021</v>
      </c>
      <c r="N357" s="1"/>
      <c r="O357" s="1" t="str">
        <f>IFERROR(__xludf.DUMMYFUNCTION("""COMPUTED_VALUE"""),"0")</f>
        <v>0</v>
      </c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5.75" customHeight="1">
      <c r="A358" s="1"/>
      <c r="B358" s="1" t="str">
        <f t="array" ref="B358">XLOOKUP(C358,Tabela_1[NOME ESCOLA PONTO ID],Tabela_1[REGIONAL],"NE",0)</f>
        <v>REGIONAL 1</v>
      </c>
      <c r="C358" s="3" t="str">
        <f>IFERROR(__xludf.DUMMYFUNCTION("""COMPUTED_VALUE"""),"ESCOLA MUNICIPAL PADRE AURINO CARACCIOLO")</f>
        <v>ESCOLA MUNICIPAL PADRE AURINO CARACCIOLO</v>
      </c>
      <c r="D358" s="1" t="str">
        <f>IFERROR(__xludf.DUMMYFUNCTION("""COMPUTED_VALUE"""),"26108976")</f>
        <v>26108976</v>
      </c>
      <c r="E358" s="1" t="str">
        <f>IFERROR(__xludf.DUMMYFUNCTION("""COMPUTED_VALUE"""),"INFANTIL 5")</f>
        <v>INFANTIL 5</v>
      </c>
      <c r="F358" s="1" t="str">
        <f>IFERROR(__xludf.DUMMYFUNCTION("""COMPUTED_VALUE"""),"Matutino/Manhã")</f>
        <v>Matutino/Manhã</v>
      </c>
      <c r="G358" s="1" t="str">
        <f>IFERROR(__xludf.DUMMYFUNCTION("""COMPUTED_VALUE"""),"Comum")</f>
        <v>Comum</v>
      </c>
      <c r="H358" s="1" t="str">
        <f>IFERROR(__xludf.DUMMYFUNCTION("""COMPUTED_VALUE"""),"1")</f>
        <v>1</v>
      </c>
      <c r="I358" s="4" t="str">
        <f>IFERROR(__xludf.DUMMYFUNCTION("""COMPUTED_VALUE"""),"26042609680")</f>
        <v>26042609680</v>
      </c>
      <c r="J358" s="1" t="str">
        <f>IFERROR(__xludf.DUMMYFUNCTION("""COMPUTED_VALUE"""),"16/04/2026 17:33:13")</f>
        <v>16/04/2026 17:33:13</v>
      </c>
      <c r="K358" s="1" t="str">
        <f>IFERROR(__xludf.DUMMYFUNCTION("""COMPUTED_VALUE"""),"MARIA HELENA BARBOSA DOS SANTOS")</f>
        <v>MARIA HELENA BARBOSA DOS SANTOS</v>
      </c>
      <c r="L358" s="5" t="str">
        <f>IFERROR(__xludf.DUMMYFUNCTION("""COMPUTED_VALUE"""),"175.473.274-78")</f>
        <v>175.473.274-78</v>
      </c>
      <c r="M358" s="5" t="str">
        <f>IFERROR(__xludf.DUMMYFUNCTION("""COMPUTED_VALUE"""),"23/01/2021")</f>
        <v>23/01/2021</v>
      </c>
      <c r="N358" s="1"/>
      <c r="O358" s="1" t="str">
        <f>IFERROR(__xludf.DUMMYFUNCTION("""COMPUTED_VALUE"""),"0")</f>
        <v>0</v>
      </c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5.75" customHeight="1">
      <c r="A359" s="1"/>
      <c r="B359" s="1" t="str">
        <f t="array" ref="B359">XLOOKUP(C359,Tabela_1[NOME ESCOLA PONTO ID],Tabela_1[REGIONAL],"NE",0)</f>
        <v>REGIONAL 1</v>
      </c>
      <c r="C359" s="3" t="str">
        <f>IFERROR(__xludf.DUMMYFUNCTION("""COMPUTED_VALUE"""),"ESCOLA MUNICIPAL PADRE AURINO CARACCIOLO")</f>
        <v>ESCOLA MUNICIPAL PADRE AURINO CARACCIOLO</v>
      </c>
      <c r="D359" s="1" t="str">
        <f>IFERROR(__xludf.DUMMYFUNCTION("""COMPUTED_VALUE"""),"26108976")</f>
        <v>26108976</v>
      </c>
      <c r="E359" s="1" t="str">
        <f>IFERROR(__xludf.DUMMYFUNCTION("""COMPUTED_VALUE"""),"INFANTIL 5")</f>
        <v>INFANTIL 5</v>
      </c>
      <c r="F359" s="1" t="str">
        <f>IFERROR(__xludf.DUMMYFUNCTION("""COMPUTED_VALUE"""),"Vespertino/Tarde")</f>
        <v>Vespertino/Tarde</v>
      </c>
      <c r="G359" s="1" t="str">
        <f>IFERROR(__xludf.DUMMYFUNCTION("""COMPUTED_VALUE"""),"Comum")</f>
        <v>Comum</v>
      </c>
      <c r="H359" s="1" t="str">
        <f>IFERROR(__xludf.DUMMYFUNCTION("""COMPUTED_VALUE"""),"1")</f>
        <v>1</v>
      </c>
      <c r="I359" s="4" t="str">
        <f>IFERROR(__xludf.DUMMYFUNCTION("""COMPUTED_VALUE"""),"26052096453")</f>
        <v>26052096453</v>
      </c>
      <c r="J359" s="1" t="str">
        <f>IFERROR(__xludf.DUMMYFUNCTION("""COMPUTED_VALUE"""),"19/05/2026 13:20:31")</f>
        <v>19/05/2026 13:20:31</v>
      </c>
      <c r="K359" s="1" t="str">
        <f>IFERROR(__xludf.DUMMYFUNCTION("""COMPUTED_VALUE"""),"Eloá Gabriela Ferreira")</f>
        <v>Eloá Gabriela Ferreira</v>
      </c>
      <c r="L359" s="5" t="str">
        <f>IFERROR(__xludf.DUMMYFUNCTION("""COMPUTED_VALUE"""),"173.038.194-44")</f>
        <v>173.038.194-44</v>
      </c>
      <c r="M359" s="5" t="str">
        <f>IFERROR(__xludf.DUMMYFUNCTION("""COMPUTED_VALUE"""),"13/08/2020")</f>
        <v>13/08/2020</v>
      </c>
      <c r="N359" s="1"/>
      <c r="O359" s="1" t="str">
        <f>IFERROR(__xludf.DUMMYFUNCTION("""COMPUTED_VALUE"""),"0")</f>
        <v>0</v>
      </c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5.75" customHeight="1">
      <c r="A360" s="1"/>
      <c r="B360" s="1" t="str">
        <f t="array" ref="B360">XLOOKUP(C360,Tabela_1[NOME ESCOLA PONTO ID],Tabela_1[REGIONAL],"NE",0)</f>
        <v>REGIONAL 1</v>
      </c>
      <c r="C360" s="3" t="str">
        <f>IFERROR(__xludf.DUMMYFUNCTION("""COMPUTED_VALUE"""),"ESCOLA MUNICIPAL POETA VINICIUS DE MORAIS")</f>
        <v>ESCOLA MUNICIPAL POETA VINICIUS DE MORAIS</v>
      </c>
      <c r="D360" s="1" t="str">
        <f>IFERROR(__xludf.DUMMYFUNCTION("""COMPUTED_VALUE"""),"26109239")</f>
        <v>26109239</v>
      </c>
      <c r="E360" s="1" t="str">
        <f>IFERROR(__xludf.DUMMYFUNCTION("""COMPUTED_VALUE"""),"INFANTIL 4")</f>
        <v>INFANTIL 4</v>
      </c>
      <c r="F360" s="1" t="str">
        <f>IFERROR(__xludf.DUMMYFUNCTION("""COMPUTED_VALUE"""),"Vespertino/Tarde")</f>
        <v>Vespertino/Tarde</v>
      </c>
      <c r="G360" s="1" t="str">
        <f>IFERROR(__xludf.DUMMYFUNCTION("""COMPUTED_VALUE"""),"Comum")</f>
        <v>Comum</v>
      </c>
      <c r="H360" s="1" t="str">
        <f>IFERROR(__xludf.DUMMYFUNCTION("""COMPUTED_VALUE"""),"1")</f>
        <v>1</v>
      </c>
      <c r="I360" s="4" t="str">
        <f>IFERROR(__xludf.DUMMYFUNCTION("""COMPUTED_VALUE"""),"26022124778")</f>
        <v>26022124778</v>
      </c>
      <c r="J360" s="1" t="str">
        <f>IFERROR(__xludf.DUMMYFUNCTION("""COMPUTED_VALUE"""),"03/02/2026 11:30:10")</f>
        <v>03/02/2026 11:30:10</v>
      </c>
      <c r="K360" s="1" t="str">
        <f>IFERROR(__xludf.DUMMYFUNCTION("""COMPUTED_VALUE"""),"THALYSSON DAVID FARIAS DA SILVA")</f>
        <v>THALYSSON DAVID FARIAS DA SILVA</v>
      </c>
      <c r="L360" s="5" t="str">
        <f>IFERROR(__xludf.DUMMYFUNCTION("""COMPUTED_VALUE"""),"177.691.954-89")</f>
        <v>177.691.954-89</v>
      </c>
      <c r="M360" s="5" t="str">
        <f>IFERROR(__xludf.DUMMYFUNCTION("""COMPUTED_VALUE"""),"18/07/2021")</f>
        <v>18/07/2021</v>
      </c>
      <c r="N360" s="1"/>
      <c r="O360" s="1" t="str">
        <f>IFERROR(__xludf.DUMMYFUNCTION("""COMPUTED_VALUE"""),"0")</f>
        <v>0</v>
      </c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5.75" customHeight="1">
      <c r="A361" s="1"/>
      <c r="B361" s="1" t="str">
        <f t="array" ref="B361">XLOOKUP(C361,Tabela_1[NOME ESCOLA PONTO ID],Tabela_1[REGIONAL],"NE",0)</f>
        <v>REGIONAL 1</v>
      </c>
      <c r="C361" s="3" t="str">
        <f>IFERROR(__xludf.DUMMYFUNCTION("""COMPUTED_VALUE"""),"ESCOLA MUNICIPAL POETA VINICIUS DE MORAIS")</f>
        <v>ESCOLA MUNICIPAL POETA VINICIUS DE MORAIS</v>
      </c>
      <c r="D361" s="1" t="str">
        <f>IFERROR(__xludf.DUMMYFUNCTION("""COMPUTED_VALUE"""),"26109239")</f>
        <v>26109239</v>
      </c>
      <c r="E361" s="1" t="str">
        <f>IFERROR(__xludf.DUMMYFUNCTION("""COMPUTED_VALUE"""),"INFANTIL 4")</f>
        <v>INFANTIL 4</v>
      </c>
      <c r="F361" s="1" t="str">
        <f>IFERROR(__xludf.DUMMYFUNCTION("""COMPUTED_VALUE"""),"Vespertino/Tarde")</f>
        <v>Vespertino/Tarde</v>
      </c>
      <c r="G361" s="1" t="str">
        <f>IFERROR(__xludf.DUMMYFUNCTION("""COMPUTED_VALUE"""),"Comum")</f>
        <v>Comum</v>
      </c>
      <c r="H361" s="1" t="str">
        <f>IFERROR(__xludf.DUMMYFUNCTION("""COMPUTED_VALUE"""),"2")</f>
        <v>2</v>
      </c>
      <c r="I361" s="4" t="str">
        <f>IFERROR(__xludf.DUMMYFUNCTION("""COMPUTED_VALUE"""),"26042713506")</f>
        <v>26042713506</v>
      </c>
      <c r="J361" s="1" t="str">
        <f>IFERROR(__xludf.DUMMYFUNCTION("""COMPUTED_VALUE"""),"24/04/2026 19:53:17")</f>
        <v>24/04/2026 19:53:17</v>
      </c>
      <c r="K361" s="1" t="str">
        <f>IFERROR(__xludf.DUMMYFUNCTION("""COMPUTED_VALUE"""),"MARIA ALICIA LOPES DOS SANTOS FERREIRA")</f>
        <v>MARIA ALICIA LOPES DOS SANTOS FERREIRA</v>
      </c>
      <c r="L361" s="7" t="str">
        <f>IFERROR(__xludf.DUMMYFUNCTION("""COMPUTED_VALUE"""),"178.026.414-38")</f>
        <v>178.026.414-38</v>
      </c>
      <c r="M361" s="5" t="str">
        <f>IFERROR(__xludf.DUMMYFUNCTION("""COMPUTED_VALUE"""),"22/08/2021")</f>
        <v>22/08/2021</v>
      </c>
      <c r="N361" s="1"/>
      <c r="O361" s="1" t="str">
        <f>IFERROR(__xludf.DUMMYFUNCTION("""COMPUTED_VALUE"""),"0")</f>
        <v>0</v>
      </c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5.75" customHeight="1">
      <c r="A362" s="1"/>
      <c r="B362" s="1" t="str">
        <f t="array" ref="B362">XLOOKUP(C362,Tabela_1[NOME ESCOLA PONTO ID],Tabela_1[REGIONAL],"NE",0)</f>
        <v>REGIONAL 6</v>
      </c>
      <c r="C362" s="3" t="str">
        <f>IFERROR(__xludf.DUMMYFUNCTION("""COMPUTED_VALUE"""),"ESCOLA MUNICIPAL PROFESSOR ALMIR OLÍMPIO ALVES")</f>
        <v>ESCOLA MUNICIPAL PROFESSOR ALMIR OLÍMPIO ALVES</v>
      </c>
      <c r="D362" s="1" t="str">
        <f>IFERROR(__xludf.DUMMYFUNCTION("""COMPUTED_VALUE"""),"26137755")</f>
        <v>26137755</v>
      </c>
      <c r="E362" s="1" t="str">
        <f>IFERROR(__xludf.DUMMYFUNCTION("""COMPUTED_VALUE"""),"INFANTIL 4")</f>
        <v>INFANTIL 4</v>
      </c>
      <c r="F362" s="1" t="str">
        <f>IFERROR(__xludf.DUMMYFUNCTION("""COMPUTED_VALUE"""),"Vespertino/Tarde")</f>
        <v>Vespertino/Tarde</v>
      </c>
      <c r="G362" s="1" t="str">
        <f>IFERROR(__xludf.DUMMYFUNCTION("""COMPUTED_VALUE"""),"Comum")</f>
        <v>Comum</v>
      </c>
      <c r="H362" s="1" t="str">
        <f>IFERROR(__xludf.DUMMYFUNCTION("""COMPUTED_VALUE"""),"1")</f>
        <v>1</v>
      </c>
      <c r="I362" s="4" t="str">
        <f>IFERROR(__xludf.DUMMYFUNCTION("""COMPUTED_VALUE"""),"26052022753")</f>
        <v>26052022753</v>
      </c>
      <c r="J362" s="1" t="str">
        <f>IFERROR(__xludf.DUMMYFUNCTION("""COMPUTED_VALUE"""),"28/05/2026 23:46:14")</f>
        <v>28/05/2026 23:46:14</v>
      </c>
      <c r="K362" s="1" t="str">
        <f>IFERROR(__xludf.DUMMYFUNCTION("""COMPUTED_VALUE"""),"João Lucas Lima de Araujo")</f>
        <v>João Lucas Lima de Araujo</v>
      </c>
      <c r="L362" s="5" t="str">
        <f>IFERROR(__xludf.DUMMYFUNCTION("""COMPUTED_VALUE"""),"180.219.524-66")</f>
        <v>180.219.524-66</v>
      </c>
      <c r="M362" s="5" t="str">
        <f>IFERROR(__xludf.DUMMYFUNCTION("""COMPUTED_VALUE"""),"28/12/2021")</f>
        <v>28/12/2021</v>
      </c>
      <c r="N362" s="1"/>
      <c r="O362" s="1" t="str">
        <f>IFERROR(__xludf.DUMMYFUNCTION("""COMPUTED_VALUE"""),"0")</f>
        <v>0</v>
      </c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5.75" customHeight="1">
      <c r="A363" s="1"/>
      <c r="B363" s="1" t="str">
        <f t="array" ref="B363">XLOOKUP(C363,Tabela_1[NOME ESCOLA PONTO ID],Tabela_1[REGIONAL],"NE",0)</f>
        <v>REGIONAL 6</v>
      </c>
      <c r="C363" s="3" t="str">
        <f>IFERROR(__xludf.DUMMYFUNCTION("""COMPUTED_VALUE"""),"ESCOLA MUNICIPAL PROFESSOR ALMIR OLÍMPIO ALVES")</f>
        <v>ESCOLA MUNICIPAL PROFESSOR ALMIR OLÍMPIO ALVES</v>
      </c>
      <c r="D363" s="1" t="str">
        <f>IFERROR(__xludf.DUMMYFUNCTION("""COMPUTED_VALUE"""),"26137755")</f>
        <v>26137755</v>
      </c>
      <c r="E363" s="1" t="str">
        <f>IFERROR(__xludf.DUMMYFUNCTION("""COMPUTED_VALUE"""),"INFANTIL 5")</f>
        <v>INFANTIL 5</v>
      </c>
      <c r="F363" s="1" t="str">
        <f>IFERROR(__xludf.DUMMYFUNCTION("""COMPUTED_VALUE"""),"Matutino/Manhã")</f>
        <v>Matutino/Manhã</v>
      </c>
      <c r="G363" s="1" t="str">
        <f>IFERROR(__xludf.DUMMYFUNCTION("""COMPUTED_VALUE"""),"Comum")</f>
        <v>Comum</v>
      </c>
      <c r="H363" s="1" t="str">
        <f>IFERROR(__xludf.DUMMYFUNCTION("""COMPUTED_VALUE"""),"1")</f>
        <v>1</v>
      </c>
      <c r="I363" s="6" t="str">
        <f>IFERROR(__xludf.DUMMYFUNCTION("""COMPUTED_VALUE"""),"26012598772")</f>
        <v>26012598772</v>
      </c>
      <c r="J363" s="1" t="str">
        <f>IFERROR(__xludf.DUMMYFUNCTION("""COMPUTED_VALUE"""),"29/01/2026 08:31:46")</f>
        <v>29/01/2026 08:31:46</v>
      </c>
      <c r="K363" s="1" t="str">
        <f>IFERROR(__xludf.DUMMYFUNCTION("""COMPUTED_VALUE"""),"BRUNO SERAFIM DE OLIVEIRA")</f>
        <v>BRUNO SERAFIM DE OLIVEIRA</v>
      </c>
      <c r="L363" s="5" t="str">
        <f>IFERROR(__xludf.DUMMYFUNCTION("""COMPUTED_VALUE"""),"176.118.554-33")</f>
        <v>176.118.554-33</v>
      </c>
      <c r="M363" s="5" t="str">
        <f>IFERROR(__xludf.DUMMYFUNCTION("""COMPUTED_VALUE"""),"30/03/2021")</f>
        <v>30/03/2021</v>
      </c>
      <c r="N363" s="1"/>
      <c r="O363" s="1" t="str">
        <f>IFERROR(__xludf.DUMMYFUNCTION("""COMPUTED_VALUE"""),"0")</f>
        <v>0</v>
      </c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5.75" customHeight="1">
      <c r="A364" s="1"/>
      <c r="B364" s="1" t="str">
        <f t="array" ref="B364">XLOOKUP(C364,Tabela_1[NOME ESCOLA PONTO ID],Tabela_1[REGIONAL],"NE",0)</f>
        <v>REGIONAL 6</v>
      </c>
      <c r="C364" s="3" t="str">
        <f>IFERROR(__xludf.DUMMYFUNCTION("""COMPUTED_VALUE"""),"ESCOLA MUNICIPAL PROFESSOR ALMIR OLÍMPIO ALVES")</f>
        <v>ESCOLA MUNICIPAL PROFESSOR ALMIR OLÍMPIO ALVES</v>
      </c>
      <c r="D364" s="1" t="str">
        <f>IFERROR(__xludf.DUMMYFUNCTION("""COMPUTED_VALUE"""),"26137755")</f>
        <v>26137755</v>
      </c>
      <c r="E364" s="1" t="str">
        <f>IFERROR(__xludf.DUMMYFUNCTION("""COMPUTED_VALUE"""),"INFANTIL 5")</f>
        <v>INFANTIL 5</v>
      </c>
      <c r="F364" s="1" t="str">
        <f>IFERROR(__xludf.DUMMYFUNCTION("""COMPUTED_VALUE"""),"Matutino/Manhã")</f>
        <v>Matutino/Manhã</v>
      </c>
      <c r="G364" s="1" t="str">
        <f>IFERROR(__xludf.DUMMYFUNCTION("""COMPUTED_VALUE"""),"Comum")</f>
        <v>Comum</v>
      </c>
      <c r="H364" s="1" t="str">
        <f>IFERROR(__xludf.DUMMYFUNCTION("""COMPUTED_VALUE"""),"2")</f>
        <v>2</v>
      </c>
      <c r="I364" s="6" t="str">
        <f>IFERROR(__xludf.DUMMYFUNCTION("""COMPUTED_VALUE"""),"26022096897")</f>
        <v>26022096897</v>
      </c>
      <c r="J364" s="1" t="str">
        <f>IFERROR(__xludf.DUMMYFUNCTION("""COMPUTED_VALUE"""),"11/02/2026 14:33:54")</f>
        <v>11/02/2026 14:33:54</v>
      </c>
      <c r="K364" s="1" t="str">
        <f>IFERROR(__xludf.DUMMYFUNCTION("""COMPUTED_VALUE"""),"JÚLIA LORAYNNE FERREIRA FARIAS")</f>
        <v>JÚLIA LORAYNNE FERREIRA FARIAS</v>
      </c>
      <c r="L364" s="5" t="str">
        <f>IFERROR(__xludf.DUMMYFUNCTION("""COMPUTED_VALUE"""),"173.132.764-19")</f>
        <v>173.132.764-19</v>
      </c>
      <c r="M364" s="5" t="str">
        <f>IFERROR(__xludf.DUMMYFUNCTION("""COMPUTED_VALUE"""),"19/07/2020")</f>
        <v>19/07/2020</v>
      </c>
      <c r="N364" s="1"/>
      <c r="O364" s="1" t="str">
        <f>IFERROR(__xludf.DUMMYFUNCTION("""COMPUTED_VALUE"""),"0")</f>
        <v>0</v>
      </c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5.75" customHeight="1">
      <c r="A365" s="1"/>
      <c r="B365" s="1" t="str">
        <f t="array" ref="B365">XLOOKUP(C365,Tabela_1[NOME ESCOLA PONTO ID],Tabela_1[REGIONAL],"NE",0)</f>
        <v>REGIONAL 6</v>
      </c>
      <c r="C365" s="3" t="str">
        <f>IFERROR(__xludf.DUMMYFUNCTION("""COMPUTED_VALUE"""),"ESCOLA MUNICIPAL PROFESSOR ALMIR OLÍMPIO ALVES")</f>
        <v>ESCOLA MUNICIPAL PROFESSOR ALMIR OLÍMPIO ALVES</v>
      </c>
      <c r="D365" s="1" t="str">
        <f>IFERROR(__xludf.DUMMYFUNCTION("""COMPUTED_VALUE"""),"26137755")</f>
        <v>26137755</v>
      </c>
      <c r="E365" s="1" t="str">
        <f>IFERROR(__xludf.DUMMYFUNCTION("""COMPUTED_VALUE"""),"INFANTIL 5")</f>
        <v>INFANTIL 5</v>
      </c>
      <c r="F365" s="1" t="str">
        <f>IFERROR(__xludf.DUMMYFUNCTION("""COMPUTED_VALUE"""),"Matutino/Manhã")</f>
        <v>Matutino/Manhã</v>
      </c>
      <c r="G365" s="1" t="str">
        <f>IFERROR(__xludf.DUMMYFUNCTION("""COMPUTED_VALUE"""),"Comum")</f>
        <v>Comum</v>
      </c>
      <c r="H365" s="1" t="str">
        <f>IFERROR(__xludf.DUMMYFUNCTION("""COMPUTED_VALUE"""),"3")</f>
        <v>3</v>
      </c>
      <c r="I365" s="6" t="str">
        <f>IFERROR(__xludf.DUMMYFUNCTION("""COMPUTED_VALUE"""),"26032296590")</f>
        <v>26032296590</v>
      </c>
      <c r="J365" s="1" t="str">
        <f>IFERROR(__xludf.DUMMYFUNCTION("""COMPUTED_VALUE"""),"04/03/2026 11:01:35")</f>
        <v>04/03/2026 11:01:35</v>
      </c>
      <c r="K365" s="1" t="str">
        <f>IFERROR(__xludf.DUMMYFUNCTION("""COMPUTED_VALUE"""),"RHILLARY GABRIELY SANTANA DA SILVA")</f>
        <v>RHILLARY GABRIELY SANTANA DA SILVA</v>
      </c>
      <c r="L365" s="5" t="str">
        <f>IFERROR(__xludf.DUMMYFUNCTION("""COMPUTED_VALUE"""),"172.998.394-40")</f>
        <v>172.998.394-40</v>
      </c>
      <c r="M365" s="7" t="str">
        <f>IFERROR(__xludf.DUMMYFUNCTION("""COMPUTED_VALUE"""),"07/05/2020")</f>
        <v>07/05/2020</v>
      </c>
      <c r="N365" s="1"/>
      <c r="O365" s="1" t="str">
        <f>IFERROR(__xludf.DUMMYFUNCTION("""COMPUTED_VALUE"""),"0")</f>
        <v>0</v>
      </c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5.75" customHeight="1">
      <c r="A366" s="1"/>
      <c r="B366" s="1" t="str">
        <f t="array" ref="B366">XLOOKUP(C366,Tabela_1[NOME ESCOLA PONTO ID],Tabela_1[REGIONAL],"NE",0)</f>
        <v>REGIONAL 6</v>
      </c>
      <c r="C366" s="3" t="str">
        <f>IFERROR(__xludf.DUMMYFUNCTION("""COMPUTED_VALUE"""),"ESCOLA MUNICIPAL PROFESSOR ALMIR OLÍMPIO ALVES")</f>
        <v>ESCOLA MUNICIPAL PROFESSOR ALMIR OLÍMPIO ALVES</v>
      </c>
      <c r="D366" s="1" t="str">
        <f>IFERROR(__xludf.DUMMYFUNCTION("""COMPUTED_VALUE"""),"26137755")</f>
        <v>26137755</v>
      </c>
      <c r="E366" s="1" t="str">
        <f>IFERROR(__xludf.DUMMYFUNCTION("""COMPUTED_VALUE"""),"INFANTIL 5")</f>
        <v>INFANTIL 5</v>
      </c>
      <c r="F366" s="1" t="str">
        <f>IFERROR(__xludf.DUMMYFUNCTION("""COMPUTED_VALUE"""),"Matutino/Manhã")</f>
        <v>Matutino/Manhã</v>
      </c>
      <c r="G366" s="1" t="str">
        <f>IFERROR(__xludf.DUMMYFUNCTION("""COMPUTED_VALUE"""),"Comum")</f>
        <v>Comum</v>
      </c>
      <c r="H366" s="1" t="str">
        <f>IFERROR(__xludf.DUMMYFUNCTION("""COMPUTED_VALUE"""),"4")</f>
        <v>4</v>
      </c>
      <c r="I366" s="6" t="str">
        <f>IFERROR(__xludf.DUMMYFUNCTION("""COMPUTED_VALUE"""),"26032814261")</f>
        <v>26032814261</v>
      </c>
      <c r="J366" s="1" t="str">
        <f>IFERROR(__xludf.DUMMYFUNCTION("""COMPUTED_VALUE"""),"05/03/2026 12:10:03")</f>
        <v>05/03/2026 12:10:03</v>
      </c>
      <c r="K366" s="1" t="str">
        <f>IFERROR(__xludf.DUMMYFUNCTION("""COMPUTED_VALUE"""),"LAURA SOFIA COSTA DE OLIVEIRA")</f>
        <v>LAURA SOFIA COSTA DE OLIVEIRA</v>
      </c>
      <c r="L366" s="5" t="str">
        <f>IFERROR(__xludf.DUMMYFUNCTION("""COMPUTED_VALUE"""),"176.899.474-92")</f>
        <v>176.899.474-92</v>
      </c>
      <c r="M366" s="5" t="str">
        <f>IFERROR(__xludf.DUMMYFUNCTION("""COMPUTED_VALUE"""),"30/03/2021")</f>
        <v>30/03/2021</v>
      </c>
      <c r="N366" s="1"/>
      <c r="O366" s="1" t="str">
        <f>IFERROR(__xludf.DUMMYFUNCTION("""COMPUTED_VALUE"""),"0")</f>
        <v>0</v>
      </c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5.75" customHeight="1">
      <c r="A367" s="1"/>
      <c r="B367" s="1" t="str">
        <f t="array" ref="B367">XLOOKUP(C367,Tabela_1[NOME ESCOLA PONTO ID],Tabela_1[REGIONAL],"NE",0)</f>
        <v>REGIONAL 6</v>
      </c>
      <c r="C367" s="3" t="str">
        <f>IFERROR(__xludf.DUMMYFUNCTION("""COMPUTED_VALUE"""),"ESCOLA MUNICIPAL PROFESSOR ALMIR OLÍMPIO ALVES")</f>
        <v>ESCOLA MUNICIPAL PROFESSOR ALMIR OLÍMPIO ALVES</v>
      </c>
      <c r="D367" s="1" t="str">
        <f>IFERROR(__xludf.DUMMYFUNCTION("""COMPUTED_VALUE"""),"26137755")</f>
        <v>26137755</v>
      </c>
      <c r="E367" s="1" t="str">
        <f>IFERROR(__xludf.DUMMYFUNCTION("""COMPUTED_VALUE"""),"INFANTIL 5")</f>
        <v>INFANTIL 5</v>
      </c>
      <c r="F367" s="1" t="str">
        <f>IFERROR(__xludf.DUMMYFUNCTION("""COMPUTED_VALUE"""),"Vespertino/Tarde")</f>
        <v>Vespertino/Tarde</v>
      </c>
      <c r="G367" s="1" t="str">
        <f>IFERROR(__xludf.DUMMYFUNCTION("""COMPUTED_VALUE"""),"Comum")</f>
        <v>Comum</v>
      </c>
      <c r="H367" s="1" t="str">
        <f>IFERROR(__xludf.DUMMYFUNCTION("""COMPUTED_VALUE"""),"1")</f>
        <v>1</v>
      </c>
      <c r="I367" s="6" t="str">
        <f>IFERROR(__xludf.DUMMYFUNCTION("""COMPUTED_VALUE"""),"26022485580")</f>
        <v>26022485580</v>
      </c>
      <c r="J367" s="1" t="str">
        <f>IFERROR(__xludf.DUMMYFUNCTION("""COMPUTED_VALUE"""),"05/02/2026 11:04:28")</f>
        <v>05/02/2026 11:04:28</v>
      </c>
      <c r="K367" s="1" t="str">
        <f>IFERROR(__xludf.DUMMYFUNCTION("""COMPUTED_VALUE"""),"BERNARDO EMANUEL ALVES DA SILVA")</f>
        <v>BERNARDO EMANUEL ALVES DA SILVA</v>
      </c>
      <c r="L367" s="5" t="str">
        <f>IFERROR(__xludf.DUMMYFUNCTION("""COMPUTED_VALUE"""),"181.691.064-35")</f>
        <v>181.691.064-35</v>
      </c>
      <c r="M367" s="5" t="str">
        <f>IFERROR(__xludf.DUMMYFUNCTION("""COMPUTED_VALUE"""),"22/12/2020")</f>
        <v>22/12/2020</v>
      </c>
      <c r="N367" s="1"/>
      <c r="O367" s="1" t="str">
        <f>IFERROR(__xludf.DUMMYFUNCTION("""COMPUTED_VALUE"""),"0")</f>
        <v>0</v>
      </c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5.75" customHeight="1">
      <c r="A368" s="1"/>
      <c r="B368" s="1" t="str">
        <f t="array" ref="B368">XLOOKUP(C368,Tabela_1[NOME ESCOLA PONTO ID],Tabela_1[REGIONAL],"NE",0)</f>
        <v>REGIONAL 6</v>
      </c>
      <c r="C368" s="3" t="str">
        <f>IFERROR(__xludf.DUMMYFUNCTION("""COMPUTED_VALUE"""),"ESCOLA MUNICIPAL PROFESSOR ALMIR OLÍMPIO ALVES")</f>
        <v>ESCOLA MUNICIPAL PROFESSOR ALMIR OLÍMPIO ALVES</v>
      </c>
      <c r="D368" s="1" t="str">
        <f>IFERROR(__xludf.DUMMYFUNCTION("""COMPUTED_VALUE"""),"26137755")</f>
        <v>26137755</v>
      </c>
      <c r="E368" s="1" t="str">
        <f>IFERROR(__xludf.DUMMYFUNCTION("""COMPUTED_VALUE"""),"INFANTIL 5")</f>
        <v>INFANTIL 5</v>
      </c>
      <c r="F368" s="1" t="str">
        <f>IFERROR(__xludf.DUMMYFUNCTION("""COMPUTED_VALUE"""),"Vespertino/Tarde")</f>
        <v>Vespertino/Tarde</v>
      </c>
      <c r="G368" s="1" t="str">
        <f>IFERROR(__xludf.DUMMYFUNCTION("""COMPUTED_VALUE"""),"Comum")</f>
        <v>Comum</v>
      </c>
      <c r="H368" s="1" t="str">
        <f>IFERROR(__xludf.DUMMYFUNCTION("""COMPUTED_VALUE"""),"2")</f>
        <v>2</v>
      </c>
      <c r="I368" s="6" t="str">
        <f>IFERROR(__xludf.DUMMYFUNCTION("""COMPUTED_VALUE"""),"26022645038")</f>
        <v>26022645038</v>
      </c>
      <c r="J368" s="1" t="str">
        <f>IFERROR(__xludf.DUMMYFUNCTION("""COMPUTED_VALUE"""),"11/02/2026 11:15:02")</f>
        <v>11/02/2026 11:15:02</v>
      </c>
      <c r="K368" s="1" t="str">
        <f>IFERROR(__xludf.DUMMYFUNCTION("""COMPUTED_VALUE"""),"PEDRO LUCAS FERREIRA DE ANDRADE")</f>
        <v>PEDRO LUCAS FERREIRA DE ANDRADE</v>
      </c>
      <c r="L368" s="7" t="str">
        <f>IFERROR(__xludf.DUMMYFUNCTION("""COMPUTED_VALUE"""),"171.330.854-10")</f>
        <v>171.330.854-10</v>
      </c>
      <c r="M368" s="5" t="str">
        <f>IFERROR(__xludf.DUMMYFUNCTION("""COMPUTED_VALUE"""),"03/04/2020")</f>
        <v>03/04/2020</v>
      </c>
      <c r="N368" s="1"/>
      <c r="O368" s="1" t="str">
        <f>IFERROR(__xludf.DUMMYFUNCTION("""COMPUTED_VALUE"""),"0")</f>
        <v>0</v>
      </c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5.75" customHeight="1">
      <c r="A369" s="1"/>
      <c r="B369" s="1" t="str">
        <f t="array" ref="B369">XLOOKUP(C369,Tabela_1[NOME ESCOLA PONTO ID],Tabela_1[REGIONAL],"NE",0)</f>
        <v>REGIONAL 6</v>
      </c>
      <c r="C369" s="3" t="str">
        <f>IFERROR(__xludf.DUMMYFUNCTION("""COMPUTED_VALUE"""),"ESCOLA MUNICIPAL PROFESSOR ALMIR OLÍMPIO ALVES")</f>
        <v>ESCOLA MUNICIPAL PROFESSOR ALMIR OLÍMPIO ALVES</v>
      </c>
      <c r="D369" s="1" t="str">
        <f>IFERROR(__xludf.DUMMYFUNCTION("""COMPUTED_VALUE"""),"26137755")</f>
        <v>26137755</v>
      </c>
      <c r="E369" s="1" t="str">
        <f>IFERROR(__xludf.DUMMYFUNCTION("""COMPUTED_VALUE"""),"INFANTIL 5")</f>
        <v>INFANTIL 5</v>
      </c>
      <c r="F369" s="1" t="str">
        <f>IFERROR(__xludf.DUMMYFUNCTION("""COMPUTED_VALUE"""),"Vespertino/Tarde")</f>
        <v>Vespertino/Tarde</v>
      </c>
      <c r="G369" s="1" t="str">
        <f>IFERROR(__xludf.DUMMYFUNCTION("""COMPUTED_VALUE"""),"Comum")</f>
        <v>Comum</v>
      </c>
      <c r="H369" s="1" t="str">
        <f>IFERROR(__xludf.DUMMYFUNCTION("""COMPUTED_VALUE"""),"3")</f>
        <v>3</v>
      </c>
      <c r="I369" s="6" t="str">
        <f>IFERROR(__xludf.DUMMYFUNCTION("""COMPUTED_VALUE"""),"26022800616")</f>
        <v>26022800616</v>
      </c>
      <c r="J369" s="1" t="str">
        <f>IFERROR(__xludf.DUMMYFUNCTION("""COMPUTED_VALUE"""),"25/02/2026 10:27:28")</f>
        <v>25/02/2026 10:27:28</v>
      </c>
      <c r="K369" s="1" t="str">
        <f>IFERROR(__xludf.DUMMYFUNCTION("""COMPUTED_VALUE"""),"MOANNA WALENTINA FERREIRA DE SOUZA")</f>
        <v>MOANNA WALENTINA FERREIRA DE SOUZA</v>
      </c>
      <c r="L369" s="5" t="str">
        <f>IFERROR(__xludf.DUMMYFUNCTION("""COMPUTED_VALUE"""),"173.684.614-04")</f>
        <v>173.684.614-04</v>
      </c>
      <c r="M369" s="5" t="str">
        <f>IFERROR(__xludf.DUMMYFUNCTION("""COMPUTED_VALUE"""),"12/09/2020")</f>
        <v>12/09/2020</v>
      </c>
      <c r="N369" s="1"/>
      <c r="O369" s="1" t="str">
        <f>IFERROR(__xludf.DUMMYFUNCTION("""COMPUTED_VALUE"""),"0")</f>
        <v>0</v>
      </c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5.75" customHeight="1">
      <c r="A370" s="1"/>
      <c r="B370" s="1" t="str">
        <f t="array" ref="B370">XLOOKUP(C370,Tabela_1[NOME ESCOLA PONTO ID],Tabela_1[REGIONAL],"NE",0)</f>
        <v>REGIONAL 1</v>
      </c>
      <c r="C370" s="3" t="str">
        <f>IFERROR(__xludf.DUMMYFUNCTION("""COMPUTED_VALUE"""),"ESCOLA MUNICIPAL PROFESSOR AUGUSTO PEREIRA JUNIOR")</f>
        <v>ESCOLA MUNICIPAL PROFESSOR AUGUSTO PEREIRA JUNIOR</v>
      </c>
      <c r="D370" s="1" t="str">
        <f>IFERROR(__xludf.DUMMYFUNCTION("""COMPUTED_VALUE"""),"26109280")</f>
        <v>26109280</v>
      </c>
      <c r="E370" s="1" t="str">
        <f>IFERROR(__xludf.DUMMYFUNCTION("""COMPUTED_VALUE"""),"INFANTIL 4")</f>
        <v>INFANTIL 4</v>
      </c>
      <c r="F370" s="1" t="str">
        <f>IFERROR(__xludf.DUMMYFUNCTION("""COMPUTED_VALUE"""),"Vespertino/Tarde")</f>
        <v>Vespertino/Tarde</v>
      </c>
      <c r="G370" s="1" t="str">
        <f>IFERROR(__xludf.DUMMYFUNCTION("""COMPUTED_VALUE"""),"Comum")</f>
        <v>Comum</v>
      </c>
      <c r="H370" s="1" t="str">
        <f>IFERROR(__xludf.DUMMYFUNCTION("""COMPUTED_VALUE"""),"1")</f>
        <v>1</v>
      </c>
      <c r="I370" s="6" t="str">
        <f>IFERROR(__xludf.DUMMYFUNCTION("""COMPUTED_VALUE"""),"26042203545")</f>
        <v>26042203545</v>
      </c>
      <c r="J370" s="1" t="str">
        <f>IFERROR(__xludf.DUMMYFUNCTION("""COMPUTED_VALUE"""),"08/04/2026 18:51:11")</f>
        <v>08/04/2026 18:51:11</v>
      </c>
      <c r="K370" s="1" t="str">
        <f>IFERROR(__xludf.DUMMYFUNCTION("""COMPUTED_VALUE"""),"EMILLY MARIA FRANCELINO DA SILVA")</f>
        <v>EMILLY MARIA FRANCELINO DA SILVA</v>
      </c>
      <c r="L370" s="5" t="str">
        <f>IFERROR(__xludf.DUMMYFUNCTION("""COMPUTED_VALUE"""),"180.394.224-00")</f>
        <v>180.394.224-00</v>
      </c>
      <c r="M370" s="5" t="str">
        <f>IFERROR(__xludf.DUMMYFUNCTION("""COMPUTED_VALUE"""),"04/02/2022")</f>
        <v>04/02/2022</v>
      </c>
      <c r="N370" s="1"/>
      <c r="O370" s="1" t="str">
        <f>IFERROR(__xludf.DUMMYFUNCTION("""COMPUTED_VALUE"""),"0")</f>
        <v>0</v>
      </c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5.75" customHeight="1">
      <c r="A371" s="1"/>
      <c r="B371" s="1" t="str">
        <f t="array" ref="B371">XLOOKUP(C371,Tabela_1[NOME ESCOLA PONTO ID],Tabela_1[REGIONAL],"NE",0)</f>
        <v>REGIONAL 3</v>
      </c>
      <c r="C371" s="3" t="str">
        <f>IFERROR(__xludf.DUMMYFUNCTION("""COMPUTED_VALUE"""),"ESCOLA MUNICIPAL PROFESSOR ORLANDO BRENO")</f>
        <v>ESCOLA MUNICIPAL PROFESSOR ORLANDO BRENO</v>
      </c>
      <c r="D371" s="1" t="str">
        <f>IFERROR(__xludf.DUMMYFUNCTION("""COMPUTED_VALUE"""),"26155028")</f>
        <v>26155028</v>
      </c>
      <c r="E371" s="1" t="str">
        <f>IFERROR(__xludf.DUMMYFUNCTION("""COMPUTED_VALUE"""),"INFANTIL 4")</f>
        <v>INFANTIL 4</v>
      </c>
      <c r="F371" s="1" t="str">
        <f>IFERROR(__xludf.DUMMYFUNCTION("""COMPUTED_VALUE"""),"Matutino/Manhã")</f>
        <v>Matutino/Manhã</v>
      </c>
      <c r="G371" s="1" t="str">
        <f>IFERROR(__xludf.DUMMYFUNCTION("""COMPUTED_VALUE"""),"Comum")</f>
        <v>Comum</v>
      </c>
      <c r="H371" s="1" t="str">
        <f>IFERROR(__xludf.DUMMYFUNCTION("""COMPUTED_VALUE"""),"1")</f>
        <v>1</v>
      </c>
      <c r="I371" s="4" t="str">
        <f>IFERROR(__xludf.DUMMYFUNCTION("""COMPUTED_VALUE"""),"26062176488")</f>
        <v>26062176488</v>
      </c>
      <c r="J371" s="1" t="str">
        <f>IFERROR(__xludf.DUMMYFUNCTION("""COMPUTED_VALUE"""),"02/06/2026 11:23:47")</f>
        <v>02/06/2026 11:23:47</v>
      </c>
      <c r="K371" s="1" t="str">
        <f>IFERROR(__xludf.DUMMYFUNCTION("""COMPUTED_VALUE"""),"LUAN GABRIEL DOS SANTOS")</f>
        <v>LUAN GABRIEL DOS SANTOS</v>
      </c>
      <c r="L371" s="5" t="str">
        <f>IFERROR(__xludf.DUMMYFUNCTION("""COMPUTED_VALUE"""),"181.387.764-55")</f>
        <v>181.387.764-55</v>
      </c>
      <c r="M371" s="5" t="str">
        <f>IFERROR(__xludf.DUMMYFUNCTION("""COMPUTED_VALUE"""),"14/11/2021")</f>
        <v>14/11/2021</v>
      </c>
      <c r="N371" s="1"/>
      <c r="O371" s="1" t="str">
        <f>IFERROR(__xludf.DUMMYFUNCTION("""COMPUTED_VALUE"""),"0")</f>
        <v>0</v>
      </c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5.75" customHeight="1">
      <c r="A372" s="1"/>
      <c r="B372" s="1" t="str">
        <f t="array" ref="B372">XLOOKUP(C372,Tabela_1[NOME ESCOLA PONTO ID],Tabela_1[REGIONAL],"NE",0)</f>
        <v>REGIONAL 3</v>
      </c>
      <c r="C372" s="3" t="str">
        <f>IFERROR(__xludf.DUMMYFUNCTION("""COMPUTED_VALUE"""),"ESCOLA MUNICIPAL PROFESSOR ORLANDO BRENO")</f>
        <v>ESCOLA MUNICIPAL PROFESSOR ORLANDO BRENO</v>
      </c>
      <c r="D372" s="1" t="str">
        <f>IFERROR(__xludf.DUMMYFUNCTION("""COMPUTED_VALUE"""),"26155028")</f>
        <v>26155028</v>
      </c>
      <c r="E372" s="1" t="str">
        <f>IFERROR(__xludf.DUMMYFUNCTION("""COMPUTED_VALUE"""),"INFANTIL 4")</f>
        <v>INFANTIL 4</v>
      </c>
      <c r="F372" s="1" t="str">
        <f>IFERROR(__xludf.DUMMYFUNCTION("""COMPUTED_VALUE"""),"Vespertino/Tarde")</f>
        <v>Vespertino/Tarde</v>
      </c>
      <c r="G372" s="1" t="str">
        <f>IFERROR(__xludf.DUMMYFUNCTION("""COMPUTED_VALUE"""),"Comum")</f>
        <v>Comum</v>
      </c>
      <c r="H372" s="1" t="str">
        <f>IFERROR(__xludf.DUMMYFUNCTION("""COMPUTED_VALUE"""),"1")</f>
        <v>1</v>
      </c>
      <c r="I372" s="4" t="str">
        <f>IFERROR(__xludf.DUMMYFUNCTION("""COMPUTED_VALUE"""),"26032773572")</f>
        <v>26032773572</v>
      </c>
      <c r="J372" s="1" t="str">
        <f>IFERROR(__xludf.DUMMYFUNCTION("""COMPUTED_VALUE"""),"03/03/2026 09:05:04")</f>
        <v>03/03/2026 09:05:04</v>
      </c>
      <c r="K372" s="1" t="str">
        <f>IFERROR(__xludf.DUMMYFUNCTION("""COMPUTED_VALUE"""),"MARIA ELISA BARBOSA DA SILVA")</f>
        <v>MARIA ELISA BARBOSA DA SILVA</v>
      </c>
      <c r="L372" s="7" t="str">
        <f>IFERROR(__xludf.DUMMYFUNCTION("""COMPUTED_VALUE"""),"176.388.534-82")</f>
        <v>176.388.534-82</v>
      </c>
      <c r="M372" s="5" t="str">
        <f>IFERROR(__xludf.DUMMYFUNCTION("""COMPUTED_VALUE"""),"24/04/2021")</f>
        <v>24/04/2021</v>
      </c>
      <c r="N372" s="1"/>
      <c r="O372" s="1" t="str">
        <f>IFERROR(__xludf.DUMMYFUNCTION("""COMPUTED_VALUE"""),"0")</f>
        <v>0</v>
      </c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5.75" customHeight="1">
      <c r="A373" s="1"/>
      <c r="B373" s="1" t="str">
        <f t="array" ref="B373">XLOOKUP(C373,Tabela_1[NOME ESCOLA PONTO ID],Tabela_1[REGIONAL],"NE",0)</f>
        <v>REGIONAL 3</v>
      </c>
      <c r="C373" s="3" t="str">
        <f>IFERROR(__xludf.DUMMYFUNCTION("""COMPUTED_VALUE"""),"ESCOLA MUNICIPAL PROFESSOR ORLANDO BRENO")</f>
        <v>ESCOLA MUNICIPAL PROFESSOR ORLANDO BRENO</v>
      </c>
      <c r="D373" s="1" t="str">
        <f>IFERROR(__xludf.DUMMYFUNCTION("""COMPUTED_VALUE"""),"26155028")</f>
        <v>26155028</v>
      </c>
      <c r="E373" s="1" t="str">
        <f>IFERROR(__xludf.DUMMYFUNCTION("""COMPUTED_VALUE"""),"INFANTIL 4")</f>
        <v>INFANTIL 4</v>
      </c>
      <c r="F373" s="1" t="str">
        <f>IFERROR(__xludf.DUMMYFUNCTION("""COMPUTED_VALUE"""),"Vespertino/Tarde")</f>
        <v>Vespertino/Tarde</v>
      </c>
      <c r="G373" s="1" t="str">
        <f>IFERROR(__xludf.DUMMYFUNCTION("""COMPUTED_VALUE"""),"Comum")</f>
        <v>Comum</v>
      </c>
      <c r="H373" s="1" t="str">
        <f>IFERROR(__xludf.DUMMYFUNCTION("""COMPUTED_VALUE"""),"2")</f>
        <v>2</v>
      </c>
      <c r="I373" s="4" t="str">
        <f>IFERROR(__xludf.DUMMYFUNCTION("""COMPUTED_VALUE"""),"26032515184")</f>
        <v>26032515184</v>
      </c>
      <c r="J373" s="1" t="str">
        <f>IFERROR(__xludf.DUMMYFUNCTION("""COMPUTED_VALUE"""),"18/03/2026 08:02:29")</f>
        <v>18/03/2026 08:02:29</v>
      </c>
      <c r="K373" s="1" t="str">
        <f>IFERROR(__xludf.DUMMYFUNCTION("""COMPUTED_VALUE"""),"ISABELLY VICTÓRIA MELO DE LIMA")</f>
        <v>ISABELLY VICTÓRIA MELO DE LIMA</v>
      </c>
      <c r="L373" s="5" t="str">
        <f>IFERROR(__xludf.DUMMYFUNCTION("""COMPUTED_VALUE"""),"180.272.334-02")</f>
        <v>180.272.334-02</v>
      </c>
      <c r="M373" s="5" t="str">
        <f>IFERROR(__xludf.DUMMYFUNCTION("""COMPUTED_VALUE"""),"16/01/2022")</f>
        <v>16/01/2022</v>
      </c>
      <c r="N373" s="1"/>
      <c r="O373" s="1" t="str">
        <f>IFERROR(__xludf.DUMMYFUNCTION("""COMPUTED_VALUE"""),"0")</f>
        <v>0</v>
      </c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5.75" customHeight="1">
      <c r="A374" s="1"/>
      <c r="B374" s="1" t="str">
        <f t="array" ref="B374">XLOOKUP(C374,Tabela_1[NOME ESCOLA PONTO ID],Tabela_1[REGIONAL],"NE",0)</f>
        <v>REGIONAL 3</v>
      </c>
      <c r="C374" s="3" t="str">
        <f>IFERROR(__xludf.DUMMYFUNCTION("""COMPUTED_VALUE"""),"ESCOLA MUNICIPAL PROFESSOR ORLANDO BRENO")</f>
        <v>ESCOLA MUNICIPAL PROFESSOR ORLANDO BRENO</v>
      </c>
      <c r="D374" s="1" t="str">
        <f>IFERROR(__xludf.DUMMYFUNCTION("""COMPUTED_VALUE"""),"26155028")</f>
        <v>26155028</v>
      </c>
      <c r="E374" s="1" t="str">
        <f>IFERROR(__xludf.DUMMYFUNCTION("""COMPUTED_VALUE"""),"INFANTIL 4")</f>
        <v>INFANTIL 4</v>
      </c>
      <c r="F374" s="1" t="str">
        <f>IFERROR(__xludf.DUMMYFUNCTION("""COMPUTED_VALUE"""),"Vespertino/Tarde")</f>
        <v>Vespertino/Tarde</v>
      </c>
      <c r="G374" s="1" t="str">
        <f>IFERROR(__xludf.DUMMYFUNCTION("""COMPUTED_VALUE"""),"Comum")</f>
        <v>Comum</v>
      </c>
      <c r="H374" s="1" t="str">
        <f>IFERROR(__xludf.DUMMYFUNCTION("""COMPUTED_VALUE"""),"3")</f>
        <v>3</v>
      </c>
      <c r="I374" s="4" t="str">
        <f>IFERROR(__xludf.DUMMYFUNCTION("""COMPUTED_VALUE"""),"26032510757")</f>
        <v>26032510757</v>
      </c>
      <c r="J374" s="1" t="str">
        <f>IFERROR(__xludf.DUMMYFUNCTION("""COMPUTED_VALUE"""),"30/03/2026 11:03:52")</f>
        <v>30/03/2026 11:03:52</v>
      </c>
      <c r="K374" s="1" t="str">
        <f>IFERROR(__xludf.DUMMYFUNCTION("""COMPUTED_VALUE"""),"SAULLO GABRIEL NASCIMENTO DA SILVA")</f>
        <v>SAULLO GABRIEL NASCIMENTO DA SILVA</v>
      </c>
      <c r="L374" s="5" t="str">
        <f>IFERROR(__xludf.DUMMYFUNCTION("""COMPUTED_VALUE"""),"180.770.434-37")</f>
        <v>180.770.434-37</v>
      </c>
      <c r="M374" s="5" t="str">
        <f>IFERROR(__xludf.DUMMYFUNCTION("""COMPUTED_VALUE"""),"08/03/2022")</f>
        <v>08/03/2022</v>
      </c>
      <c r="N374" s="1"/>
      <c r="O374" s="1" t="str">
        <f>IFERROR(__xludf.DUMMYFUNCTION("""COMPUTED_VALUE"""),"0")</f>
        <v>0</v>
      </c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5.75" customHeight="1">
      <c r="A375" s="1"/>
      <c r="B375" s="1" t="str">
        <f t="array" ref="B375">XLOOKUP(C375,Tabela_1[NOME ESCOLA PONTO ID],Tabela_1[REGIONAL],"NE",0)</f>
        <v>REGIONAL 3</v>
      </c>
      <c r="C375" s="3" t="str">
        <f>IFERROR(__xludf.DUMMYFUNCTION("""COMPUTED_VALUE"""),"ESCOLA MUNICIPAL PROFESSOR ORLANDO BRENO")</f>
        <v>ESCOLA MUNICIPAL PROFESSOR ORLANDO BRENO</v>
      </c>
      <c r="D375" s="1" t="str">
        <f>IFERROR(__xludf.DUMMYFUNCTION("""COMPUTED_VALUE"""),"26155028")</f>
        <v>26155028</v>
      </c>
      <c r="E375" s="1" t="str">
        <f>IFERROR(__xludf.DUMMYFUNCTION("""COMPUTED_VALUE"""),"INFANTIL 4")</f>
        <v>INFANTIL 4</v>
      </c>
      <c r="F375" s="1" t="str">
        <f>IFERROR(__xludf.DUMMYFUNCTION("""COMPUTED_VALUE"""),"Vespertino/Tarde")</f>
        <v>Vespertino/Tarde</v>
      </c>
      <c r="G375" s="1" t="str">
        <f>IFERROR(__xludf.DUMMYFUNCTION("""COMPUTED_VALUE"""),"Comum")</f>
        <v>Comum</v>
      </c>
      <c r="H375" s="1" t="str">
        <f>IFERROR(__xludf.DUMMYFUNCTION("""COMPUTED_VALUE"""),"4")</f>
        <v>4</v>
      </c>
      <c r="I375" s="6" t="str">
        <f>IFERROR(__xludf.DUMMYFUNCTION("""COMPUTED_VALUE"""),"26052246684")</f>
        <v>26052246684</v>
      </c>
      <c r="J375" s="1" t="str">
        <f>IFERROR(__xludf.DUMMYFUNCTION("""COMPUTED_VALUE"""),"15/05/2026 09:06:25")</f>
        <v>15/05/2026 09:06:25</v>
      </c>
      <c r="K375" s="1" t="str">
        <f>IFERROR(__xludf.DUMMYFUNCTION("""COMPUTED_VALUE"""),"ANA LUIZA DA SILVA")</f>
        <v>ANA LUIZA DA SILVA</v>
      </c>
      <c r="L375" s="5" t="str">
        <f>IFERROR(__xludf.DUMMYFUNCTION("""COMPUTED_VALUE"""),"180.695.134-70")</f>
        <v>180.695.134-70</v>
      </c>
      <c r="M375" s="5" t="str">
        <f>IFERROR(__xludf.DUMMYFUNCTION("""COMPUTED_VALUE"""),"06/02/2022")</f>
        <v>06/02/2022</v>
      </c>
      <c r="N375" s="1"/>
      <c r="O375" s="1" t="str">
        <f>IFERROR(__xludf.DUMMYFUNCTION("""COMPUTED_VALUE"""),"0")</f>
        <v>0</v>
      </c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5.75" customHeight="1">
      <c r="A376" s="1"/>
      <c r="B376" s="1" t="str">
        <f t="array" ref="B376">XLOOKUP(C376,Tabela_1[NOME ESCOLA PONTO ID],Tabela_1[REGIONAL],"NE",0)</f>
        <v>REGIONAL 3</v>
      </c>
      <c r="C376" s="3" t="str">
        <f>IFERROR(__xludf.DUMMYFUNCTION("""COMPUTED_VALUE"""),"ESCOLA MUNICIPAL PROFESSOR ORLANDO BRENO")</f>
        <v>ESCOLA MUNICIPAL PROFESSOR ORLANDO BRENO</v>
      </c>
      <c r="D376" s="1" t="str">
        <f>IFERROR(__xludf.DUMMYFUNCTION("""COMPUTED_VALUE"""),"26155028")</f>
        <v>26155028</v>
      </c>
      <c r="E376" s="1" t="str">
        <f>IFERROR(__xludf.DUMMYFUNCTION("""COMPUTED_VALUE"""),"INFANTIL 4")</f>
        <v>INFANTIL 4</v>
      </c>
      <c r="F376" s="1" t="str">
        <f>IFERROR(__xludf.DUMMYFUNCTION("""COMPUTED_VALUE"""),"Vespertino/Tarde")</f>
        <v>Vespertino/Tarde</v>
      </c>
      <c r="G376" s="1" t="str">
        <f>IFERROR(__xludf.DUMMYFUNCTION("""COMPUTED_VALUE"""),"Comum")</f>
        <v>Comum</v>
      </c>
      <c r="H376" s="1" t="str">
        <f>IFERROR(__xludf.DUMMYFUNCTION("""COMPUTED_VALUE"""),"5")</f>
        <v>5</v>
      </c>
      <c r="I376" s="6" t="str">
        <f>IFERROR(__xludf.DUMMYFUNCTION("""COMPUTED_VALUE"""),"26052400674")</f>
        <v>26052400674</v>
      </c>
      <c r="J376" s="1" t="str">
        <f>IFERROR(__xludf.DUMMYFUNCTION("""COMPUTED_VALUE"""),"15/05/2026 09:11:47")</f>
        <v>15/05/2026 09:11:47</v>
      </c>
      <c r="K376" s="1" t="str">
        <f>IFERROR(__xludf.DUMMYFUNCTION("""COMPUTED_VALUE"""),"ANA LAURA DA SILVA")</f>
        <v>ANA LAURA DA SILVA</v>
      </c>
      <c r="L376" s="5" t="str">
        <f>IFERROR(__xludf.DUMMYFUNCTION("""COMPUTED_VALUE"""),"180.695.084-77")</f>
        <v>180.695.084-77</v>
      </c>
      <c r="M376" s="5" t="str">
        <f>IFERROR(__xludf.DUMMYFUNCTION("""COMPUTED_VALUE"""),"06/02/2022")</f>
        <v>06/02/2022</v>
      </c>
      <c r="N376" s="1"/>
      <c r="O376" s="1" t="str">
        <f>IFERROR(__xludf.DUMMYFUNCTION("""COMPUTED_VALUE"""),"0")</f>
        <v>0</v>
      </c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5.75" customHeight="1">
      <c r="A377" s="1"/>
      <c r="B377" s="1" t="str">
        <f t="array" ref="B377">XLOOKUP(C377,Tabela_1[NOME ESCOLA PONTO ID],Tabela_1[REGIONAL],"NE",0)</f>
        <v>REGIONAL 3</v>
      </c>
      <c r="C377" s="3" t="str">
        <f>IFERROR(__xludf.DUMMYFUNCTION("""COMPUTED_VALUE"""),"ESCOLA MUNICIPAL PROFESSOR ORLANDO BRENO")</f>
        <v>ESCOLA MUNICIPAL PROFESSOR ORLANDO BRENO</v>
      </c>
      <c r="D377" s="1" t="str">
        <f>IFERROR(__xludf.DUMMYFUNCTION("""COMPUTED_VALUE"""),"26155028")</f>
        <v>26155028</v>
      </c>
      <c r="E377" s="1" t="str">
        <f>IFERROR(__xludf.DUMMYFUNCTION("""COMPUTED_VALUE"""),"INFANTIL 4")</f>
        <v>INFANTIL 4</v>
      </c>
      <c r="F377" s="1" t="str">
        <f>IFERROR(__xludf.DUMMYFUNCTION("""COMPUTED_VALUE"""),"Vespertino/Tarde")</f>
        <v>Vespertino/Tarde</v>
      </c>
      <c r="G377" s="1" t="str">
        <f>IFERROR(__xludf.DUMMYFUNCTION("""COMPUTED_VALUE"""),"Comum")</f>
        <v>Comum</v>
      </c>
      <c r="H377" s="1" t="str">
        <f>IFERROR(__xludf.DUMMYFUNCTION("""COMPUTED_VALUE"""),"6")</f>
        <v>6</v>
      </c>
      <c r="I377" s="6" t="str">
        <f>IFERROR(__xludf.DUMMYFUNCTION("""COMPUTED_VALUE"""),"26052333551")</f>
        <v>26052333551</v>
      </c>
      <c r="J377" s="1" t="str">
        <f>IFERROR(__xludf.DUMMYFUNCTION("""COMPUTED_VALUE"""),"25/05/2026 11:11:13")</f>
        <v>25/05/2026 11:11:13</v>
      </c>
      <c r="K377" s="1" t="str">
        <f>IFERROR(__xludf.DUMMYFUNCTION("""COMPUTED_VALUE"""),"Perola Gabrielly Martins Da silva")</f>
        <v>Perola Gabrielly Martins Da silva</v>
      </c>
      <c r="L377" s="7" t="str">
        <f>IFERROR(__xludf.DUMMYFUNCTION("""COMPUTED_VALUE"""),"181.059.304-20")</f>
        <v>181.059.304-20</v>
      </c>
      <c r="M377" s="5" t="str">
        <f>IFERROR(__xludf.DUMMYFUNCTION("""COMPUTED_VALUE"""),"15/10/2021")</f>
        <v>15/10/2021</v>
      </c>
      <c r="N377" s="1"/>
      <c r="O377" s="1" t="str">
        <f>IFERROR(__xludf.DUMMYFUNCTION("""COMPUTED_VALUE"""),"0")</f>
        <v>0</v>
      </c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5.75" customHeight="1">
      <c r="A378" s="1"/>
      <c r="B378" s="1" t="str">
        <f t="array" ref="B378">XLOOKUP(C378,Tabela_1[NOME ESCOLA PONTO ID],Tabela_1[REGIONAL],"NE",0)</f>
        <v>REGIONAL 3</v>
      </c>
      <c r="C378" s="3" t="str">
        <f>IFERROR(__xludf.DUMMYFUNCTION("""COMPUTED_VALUE"""),"ESCOLA MUNICIPAL PROFESSOR ORLANDO BRENO")</f>
        <v>ESCOLA MUNICIPAL PROFESSOR ORLANDO BRENO</v>
      </c>
      <c r="D378" s="1" t="str">
        <f>IFERROR(__xludf.DUMMYFUNCTION("""COMPUTED_VALUE"""),"26155028")</f>
        <v>26155028</v>
      </c>
      <c r="E378" s="1" t="str">
        <f>IFERROR(__xludf.DUMMYFUNCTION("""COMPUTED_VALUE"""),"INFANTIL 4")</f>
        <v>INFANTIL 4</v>
      </c>
      <c r="F378" s="1" t="str">
        <f>IFERROR(__xludf.DUMMYFUNCTION("""COMPUTED_VALUE"""),"Vespertino/Tarde")</f>
        <v>Vespertino/Tarde</v>
      </c>
      <c r="G378" s="1" t="str">
        <f>IFERROR(__xludf.DUMMYFUNCTION("""COMPUTED_VALUE"""),"Comum")</f>
        <v>Comum</v>
      </c>
      <c r="H378" s="1" t="str">
        <f>IFERROR(__xludf.DUMMYFUNCTION("""COMPUTED_VALUE"""),"7")</f>
        <v>7</v>
      </c>
      <c r="I378" s="6" t="str">
        <f>IFERROR(__xludf.DUMMYFUNCTION("""COMPUTED_VALUE"""),"26052232776")</f>
        <v>26052232776</v>
      </c>
      <c r="J378" s="1" t="str">
        <f>IFERROR(__xludf.DUMMYFUNCTION("""COMPUTED_VALUE"""),"29/05/2026 10:13:47")</f>
        <v>29/05/2026 10:13:47</v>
      </c>
      <c r="K378" s="1" t="str">
        <f>IFERROR(__xludf.DUMMYFUNCTION("""COMPUTED_VALUE"""),"MARIA JÚLIA MORAES DOS SANTOS")</f>
        <v>MARIA JÚLIA MORAES DOS SANTOS</v>
      </c>
      <c r="L378" s="5" t="str">
        <f>IFERROR(__xludf.DUMMYFUNCTION("""COMPUTED_VALUE"""),"180.567.114-65")</f>
        <v>180.567.114-65</v>
      </c>
      <c r="M378" s="5" t="str">
        <f>IFERROR(__xludf.DUMMYFUNCTION("""COMPUTED_VALUE"""),"08/12/2021")</f>
        <v>08/12/2021</v>
      </c>
      <c r="N378" s="1"/>
      <c r="O378" s="1" t="str">
        <f>IFERROR(__xludf.DUMMYFUNCTION("""COMPUTED_VALUE"""),"0")</f>
        <v>0</v>
      </c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5.75" customHeight="1">
      <c r="A379" s="1"/>
      <c r="B379" s="1" t="str">
        <f t="array" ref="B379">XLOOKUP(C379,Tabela_1[NOME ESCOLA PONTO ID],Tabela_1[REGIONAL],"NE",0)</f>
        <v>REGIONAL 6</v>
      </c>
      <c r="C379" s="3" t="str">
        <f>IFERROR(__xludf.DUMMYFUNCTION("""COMPUTED_VALUE"""),"ESCOLA MUNICIPAL PROFESSOR SILVIO ROMERO VIEIRA")</f>
        <v>ESCOLA MUNICIPAL PROFESSOR SILVIO ROMERO VIEIRA</v>
      </c>
      <c r="D379" s="1" t="str">
        <f>IFERROR(__xludf.DUMMYFUNCTION("""COMPUTED_VALUE"""),"26188155")</f>
        <v>26188155</v>
      </c>
      <c r="E379" s="1" t="str">
        <f>IFERROR(__xludf.DUMMYFUNCTION("""COMPUTED_VALUE"""),"INFANTIL 4")</f>
        <v>INFANTIL 4</v>
      </c>
      <c r="F379" s="1" t="str">
        <f>IFERROR(__xludf.DUMMYFUNCTION("""COMPUTED_VALUE"""),"Matutino/Manhã")</f>
        <v>Matutino/Manhã</v>
      </c>
      <c r="G379" s="1" t="str">
        <f>IFERROR(__xludf.DUMMYFUNCTION("""COMPUTED_VALUE"""),"Comum")</f>
        <v>Comum</v>
      </c>
      <c r="H379" s="1" t="str">
        <f>IFERROR(__xludf.DUMMYFUNCTION("""COMPUTED_VALUE"""),"1")</f>
        <v>1</v>
      </c>
      <c r="I379" s="4" t="str">
        <f>IFERROR(__xludf.DUMMYFUNCTION("""COMPUTED_VALUE"""),"26062010259")</f>
        <v>26062010259</v>
      </c>
      <c r="J379" s="1" t="str">
        <f>IFERROR(__xludf.DUMMYFUNCTION("""COMPUTED_VALUE"""),"26/06/2026 13:02:03")</f>
        <v>26/06/2026 13:02:03</v>
      </c>
      <c r="K379" s="1" t="str">
        <f>IFERROR(__xludf.DUMMYFUNCTION("""COMPUTED_VALUE"""),"Wesly Miguel Nunes Soares da Fonseca")</f>
        <v>Wesly Miguel Nunes Soares da Fonseca</v>
      </c>
      <c r="L379" s="5" t="str">
        <f>IFERROR(__xludf.DUMMYFUNCTION("""COMPUTED_VALUE"""),"176.648.494-89")</f>
        <v>176.648.494-89</v>
      </c>
      <c r="M379" s="7" t="str">
        <f>IFERROR(__xludf.DUMMYFUNCTION("""COMPUTED_VALUE"""),"11/05/2021")</f>
        <v>11/05/2021</v>
      </c>
      <c r="N379" s="1"/>
      <c r="O379" s="1" t="str">
        <f>IFERROR(__xludf.DUMMYFUNCTION("""COMPUTED_VALUE"""),"0")</f>
        <v>0</v>
      </c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5.75" customHeight="1">
      <c r="A380" s="1"/>
      <c r="B380" s="1" t="str">
        <f t="array" ref="B380">XLOOKUP(C380,Tabela_1[NOME ESCOLA PONTO ID],Tabela_1[REGIONAL],"NE",0)</f>
        <v>REGIONAL 6</v>
      </c>
      <c r="C380" s="3" t="str">
        <f>IFERROR(__xludf.DUMMYFUNCTION("""COMPUTED_VALUE"""),"ESCOLA MUNICIPAL PROFESSOR SILVIO ROMERO VIEIRA")</f>
        <v>ESCOLA MUNICIPAL PROFESSOR SILVIO ROMERO VIEIRA</v>
      </c>
      <c r="D380" s="1" t="str">
        <f>IFERROR(__xludf.DUMMYFUNCTION("""COMPUTED_VALUE"""),"26188155")</f>
        <v>26188155</v>
      </c>
      <c r="E380" s="1" t="str">
        <f>IFERROR(__xludf.DUMMYFUNCTION("""COMPUTED_VALUE"""),"INFANTIL 5")</f>
        <v>INFANTIL 5</v>
      </c>
      <c r="F380" s="1" t="str">
        <f>IFERROR(__xludf.DUMMYFUNCTION("""COMPUTED_VALUE"""),"Matutino/Manhã")</f>
        <v>Matutino/Manhã</v>
      </c>
      <c r="G380" s="1" t="str">
        <f>IFERROR(__xludf.DUMMYFUNCTION("""COMPUTED_VALUE"""),"Comum")</f>
        <v>Comum</v>
      </c>
      <c r="H380" s="1" t="str">
        <f>IFERROR(__xludf.DUMMYFUNCTION("""COMPUTED_VALUE"""),"1")</f>
        <v>1</v>
      </c>
      <c r="I380" s="4" t="str">
        <f>IFERROR(__xludf.DUMMYFUNCTION("""COMPUTED_VALUE"""),"26012655447")</f>
        <v>26012655447</v>
      </c>
      <c r="J380" s="1" t="str">
        <f>IFERROR(__xludf.DUMMYFUNCTION("""COMPUTED_VALUE"""),"28/01/2026 11:27:08")</f>
        <v>28/01/2026 11:27:08</v>
      </c>
      <c r="K380" s="1" t="str">
        <f>IFERROR(__xludf.DUMMYFUNCTION("""COMPUTED_VALUE"""),"MIRIAM ALICE NOGUEIRA DA SILVA")</f>
        <v>MIRIAM ALICE NOGUEIRA DA SILVA</v>
      </c>
      <c r="L380" s="5" t="str">
        <f>IFERROR(__xludf.DUMMYFUNCTION("""COMPUTED_VALUE"""),"172.735.274-24")</f>
        <v>172.735.274-24</v>
      </c>
      <c r="M380" s="5" t="str">
        <f>IFERROR(__xludf.DUMMYFUNCTION("""COMPUTED_VALUE"""),"20/07/2020")</f>
        <v>20/07/2020</v>
      </c>
      <c r="N380" s="1"/>
      <c r="O380" s="1" t="str">
        <f>IFERROR(__xludf.DUMMYFUNCTION("""COMPUTED_VALUE"""),"0")</f>
        <v>0</v>
      </c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5.75" customHeight="1">
      <c r="A381" s="1"/>
      <c r="B381" s="1" t="str">
        <f t="array" ref="B381">XLOOKUP(C381,Tabela_1[NOME ESCOLA PONTO ID],Tabela_1[REGIONAL],"NE",0)</f>
        <v>REGIONAL 7</v>
      </c>
      <c r="C381" s="3" t="str">
        <f>IFERROR(__xludf.DUMMYFUNCTION("""COMPUTED_VALUE"""),"ESCOLA MUNICIPAL PROFESSORA LUZIANA MARIA PEREIRA")</f>
        <v>ESCOLA MUNICIPAL PROFESSORA LUZIANA MARIA PEREIRA</v>
      </c>
      <c r="D381" s="1" t="str">
        <f>IFERROR(__xludf.DUMMYFUNCTION("""COMPUTED_VALUE"""),"26183145")</f>
        <v>26183145</v>
      </c>
      <c r="E381" s="1" t="str">
        <f>IFERROR(__xludf.DUMMYFUNCTION("""COMPUTED_VALUE"""),"INFANTIL 4")</f>
        <v>INFANTIL 4</v>
      </c>
      <c r="F381" s="1" t="str">
        <f>IFERROR(__xludf.DUMMYFUNCTION("""COMPUTED_VALUE"""),"Matutino/Manhã")</f>
        <v>Matutino/Manhã</v>
      </c>
      <c r="G381" s="1" t="str">
        <f>IFERROR(__xludf.DUMMYFUNCTION("""COMPUTED_VALUE"""),"Comum")</f>
        <v>Comum</v>
      </c>
      <c r="H381" s="1" t="str">
        <f>IFERROR(__xludf.DUMMYFUNCTION("""COMPUTED_VALUE"""),"1")</f>
        <v>1</v>
      </c>
      <c r="I381" s="4" t="str">
        <f>IFERROR(__xludf.DUMMYFUNCTION("""COMPUTED_VALUE"""),"26052716390")</f>
        <v>26052716390</v>
      </c>
      <c r="J381" s="1" t="str">
        <f>IFERROR(__xludf.DUMMYFUNCTION("""COMPUTED_VALUE"""),"13/05/2026 10:35:32")</f>
        <v>13/05/2026 10:35:32</v>
      </c>
      <c r="K381" s="1" t="str">
        <f>IFERROR(__xludf.DUMMYFUNCTION("""COMPUTED_VALUE"""),"GABRIEL VITOR DOS SANTOS")</f>
        <v>GABRIEL VITOR DOS SANTOS</v>
      </c>
      <c r="L381" s="5" t="str">
        <f>IFERROR(__xludf.DUMMYFUNCTION("""COMPUTED_VALUE"""),"176.802.894-09")</f>
        <v>176.802.894-09</v>
      </c>
      <c r="M381" s="5" t="str">
        <f>IFERROR(__xludf.DUMMYFUNCTION("""COMPUTED_VALUE"""),"16/05/2021")</f>
        <v>16/05/2021</v>
      </c>
      <c r="N381" s="1"/>
      <c r="O381" s="1" t="str">
        <f>IFERROR(__xludf.DUMMYFUNCTION("""COMPUTED_VALUE"""),"0")</f>
        <v>0</v>
      </c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5.75" customHeight="1">
      <c r="A382" s="1"/>
      <c r="B382" s="1" t="str">
        <f t="array" ref="B382">XLOOKUP(C382,Tabela_1[NOME ESCOLA PONTO ID],Tabela_1[REGIONAL],"NE",0)</f>
        <v>REGIONAL 7</v>
      </c>
      <c r="C382" s="3" t="str">
        <f>IFERROR(__xludf.DUMMYFUNCTION("""COMPUTED_VALUE"""),"ESCOLA MUNICIPAL PROFESSORA LUZIANA MARIA PEREIRA")</f>
        <v>ESCOLA MUNICIPAL PROFESSORA LUZIANA MARIA PEREIRA</v>
      </c>
      <c r="D382" s="1" t="str">
        <f>IFERROR(__xludf.DUMMYFUNCTION("""COMPUTED_VALUE"""),"26183145")</f>
        <v>26183145</v>
      </c>
      <c r="E382" s="1" t="str">
        <f>IFERROR(__xludf.DUMMYFUNCTION("""COMPUTED_VALUE"""),"INFANTIL 4")</f>
        <v>INFANTIL 4</v>
      </c>
      <c r="F382" s="1" t="str">
        <f>IFERROR(__xludf.DUMMYFUNCTION("""COMPUTED_VALUE"""),"Vespertino/Tarde")</f>
        <v>Vespertino/Tarde</v>
      </c>
      <c r="G382" s="1" t="str">
        <f>IFERROR(__xludf.DUMMYFUNCTION("""COMPUTED_VALUE"""),"Comum")</f>
        <v>Comum</v>
      </c>
      <c r="H382" s="1" t="str">
        <f>IFERROR(__xludf.DUMMYFUNCTION("""COMPUTED_VALUE"""),"1")</f>
        <v>1</v>
      </c>
      <c r="I382" s="4" t="str">
        <f>IFERROR(__xludf.DUMMYFUNCTION("""COMPUTED_VALUE"""),"26022672322")</f>
        <v>26022672322</v>
      </c>
      <c r="J382" s="1" t="str">
        <f>IFERROR(__xludf.DUMMYFUNCTION("""COMPUTED_VALUE"""),"05/02/2026 15:15:59")</f>
        <v>05/02/2026 15:15:59</v>
      </c>
      <c r="K382" s="1" t="str">
        <f>IFERROR(__xludf.DUMMYFUNCTION("""COMPUTED_VALUE"""),"LEVI CORREIA DA SILVA SOARES")</f>
        <v>LEVI CORREIA DA SILVA SOARES</v>
      </c>
      <c r="L382" s="5" t="str">
        <f>IFERROR(__xludf.DUMMYFUNCTION("""COMPUTED_VALUE"""),"597.700.368-46")</f>
        <v>597.700.368-46</v>
      </c>
      <c r="M382" s="7" t="str">
        <f>IFERROR(__xludf.DUMMYFUNCTION("""COMPUTED_VALUE"""),"28/09/2021")</f>
        <v>28/09/2021</v>
      </c>
      <c r="N382" s="1"/>
      <c r="O382" s="1" t="str">
        <f>IFERROR(__xludf.DUMMYFUNCTION("""COMPUTED_VALUE"""),"0")</f>
        <v>0</v>
      </c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5.75" customHeight="1">
      <c r="A383" s="1"/>
      <c r="B383" s="1" t="str">
        <f t="array" ref="B383">XLOOKUP(C383,Tabela_1[NOME ESCOLA PONTO ID],Tabela_1[REGIONAL],"NE",0)</f>
        <v>REGIONAL 7</v>
      </c>
      <c r="C383" s="3" t="str">
        <f>IFERROR(__xludf.DUMMYFUNCTION("""COMPUTED_VALUE"""),"ESCOLA MUNICIPAL PROFESSORA LUZIANA MARIA PEREIRA")</f>
        <v>ESCOLA MUNICIPAL PROFESSORA LUZIANA MARIA PEREIRA</v>
      </c>
      <c r="D383" s="1" t="str">
        <f>IFERROR(__xludf.DUMMYFUNCTION("""COMPUTED_VALUE"""),"26183145")</f>
        <v>26183145</v>
      </c>
      <c r="E383" s="1" t="str">
        <f>IFERROR(__xludf.DUMMYFUNCTION("""COMPUTED_VALUE"""),"INFANTIL 4")</f>
        <v>INFANTIL 4</v>
      </c>
      <c r="F383" s="1" t="str">
        <f>IFERROR(__xludf.DUMMYFUNCTION("""COMPUTED_VALUE"""),"Vespertino/Tarde")</f>
        <v>Vespertino/Tarde</v>
      </c>
      <c r="G383" s="1" t="str">
        <f>IFERROR(__xludf.DUMMYFUNCTION("""COMPUTED_VALUE"""),"Comum")</f>
        <v>Comum</v>
      </c>
      <c r="H383" s="1" t="str">
        <f>IFERROR(__xludf.DUMMYFUNCTION("""COMPUTED_VALUE"""),"2")</f>
        <v>2</v>
      </c>
      <c r="I383" s="4" t="str">
        <f>IFERROR(__xludf.DUMMYFUNCTION("""COMPUTED_VALUE"""),"26032683785")</f>
        <v>26032683785</v>
      </c>
      <c r="J383" s="1" t="str">
        <f>IFERROR(__xludf.DUMMYFUNCTION("""COMPUTED_VALUE"""),"03/03/2026 10:08:56")</f>
        <v>03/03/2026 10:08:56</v>
      </c>
      <c r="K383" s="1" t="str">
        <f>IFERROR(__xludf.DUMMYFUNCTION("""COMPUTED_VALUE"""),"AURORA BEATRIZ DA SILVA BEZERRA")</f>
        <v>AURORA BEATRIZ DA SILVA BEZERRA</v>
      </c>
      <c r="L383" s="5" t="str">
        <f>IFERROR(__xludf.DUMMYFUNCTION("""COMPUTED_VALUE"""),"178.366.824-55")</f>
        <v>178.366.824-55</v>
      </c>
      <c r="M383" s="5" t="str">
        <f>IFERROR(__xludf.DUMMYFUNCTION("""COMPUTED_VALUE"""),"08/09/2021")</f>
        <v>08/09/2021</v>
      </c>
      <c r="N383" s="1"/>
      <c r="O383" s="1" t="str">
        <f>IFERROR(__xludf.DUMMYFUNCTION("""COMPUTED_VALUE"""),"0")</f>
        <v>0</v>
      </c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5.75" customHeight="1">
      <c r="A384" s="1"/>
      <c r="B384" s="1" t="str">
        <f t="array" ref="B384">XLOOKUP(C384,Tabela_1[NOME ESCOLA PONTO ID],Tabela_1[REGIONAL],"NE",0)</f>
        <v>REGIONAL 7</v>
      </c>
      <c r="C384" s="3" t="str">
        <f>IFERROR(__xludf.DUMMYFUNCTION("""COMPUTED_VALUE"""),"ESCOLA MUNICIPAL PROFESSORA LUZIANA MARIA PEREIRA")</f>
        <v>ESCOLA MUNICIPAL PROFESSORA LUZIANA MARIA PEREIRA</v>
      </c>
      <c r="D384" s="1" t="str">
        <f>IFERROR(__xludf.DUMMYFUNCTION("""COMPUTED_VALUE"""),"26183145")</f>
        <v>26183145</v>
      </c>
      <c r="E384" s="1" t="str">
        <f>IFERROR(__xludf.DUMMYFUNCTION("""COMPUTED_VALUE"""),"INFANTIL 5")</f>
        <v>INFANTIL 5</v>
      </c>
      <c r="F384" s="1" t="str">
        <f>IFERROR(__xludf.DUMMYFUNCTION("""COMPUTED_VALUE"""),"Matutino/Manhã")</f>
        <v>Matutino/Manhã</v>
      </c>
      <c r="G384" s="1" t="str">
        <f>IFERROR(__xludf.DUMMYFUNCTION("""COMPUTED_VALUE"""),"Comum")</f>
        <v>Comum</v>
      </c>
      <c r="H384" s="1" t="str">
        <f>IFERROR(__xludf.DUMMYFUNCTION("""COMPUTED_VALUE"""),"1")</f>
        <v>1</v>
      </c>
      <c r="I384" s="4" t="str">
        <f>IFERROR(__xludf.DUMMYFUNCTION("""COMPUTED_VALUE"""),"26012402811")</f>
        <v>26012402811</v>
      </c>
      <c r="J384" s="1" t="str">
        <f>IFERROR(__xludf.DUMMYFUNCTION("""COMPUTED_VALUE"""),"28/01/2026 13:40:28")</f>
        <v>28/01/2026 13:40:28</v>
      </c>
      <c r="K384" s="1" t="str">
        <f>IFERROR(__xludf.DUMMYFUNCTION("""COMPUTED_VALUE"""),"VALENTINA VICTORIA MERCES DA SILVA")</f>
        <v>VALENTINA VICTORIA MERCES DA SILVA</v>
      </c>
      <c r="L384" s="5" t="str">
        <f>IFERROR(__xludf.DUMMYFUNCTION("""COMPUTED_VALUE"""),"176.158.214-36")</f>
        <v>176.158.214-36</v>
      </c>
      <c r="M384" s="7" t="str">
        <f>IFERROR(__xludf.DUMMYFUNCTION("""COMPUTED_VALUE"""),"28/03/2021")</f>
        <v>28/03/2021</v>
      </c>
      <c r="N384" s="1"/>
      <c r="O384" s="1" t="str">
        <f>IFERROR(__xludf.DUMMYFUNCTION("""COMPUTED_VALUE"""),"0")</f>
        <v>0</v>
      </c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5.75" customHeight="1">
      <c r="A385" s="1"/>
      <c r="B385" s="1" t="str">
        <f t="array" ref="B385">XLOOKUP(C385,Tabela_1[NOME ESCOLA PONTO ID],Tabela_1[REGIONAL],"NE",0)</f>
        <v>REGIONAL 7</v>
      </c>
      <c r="C385" s="3" t="str">
        <f>IFERROR(__xludf.DUMMYFUNCTION("""COMPUTED_VALUE"""),"ESCOLA MUNICIPAL PROFESSORA LUZIANA MARIA PEREIRA")</f>
        <v>ESCOLA MUNICIPAL PROFESSORA LUZIANA MARIA PEREIRA</v>
      </c>
      <c r="D385" s="1" t="str">
        <f>IFERROR(__xludf.DUMMYFUNCTION("""COMPUTED_VALUE"""),"26183145")</f>
        <v>26183145</v>
      </c>
      <c r="E385" s="1" t="str">
        <f>IFERROR(__xludf.DUMMYFUNCTION("""COMPUTED_VALUE"""),"INFANTIL 5")</f>
        <v>INFANTIL 5</v>
      </c>
      <c r="F385" s="1" t="str">
        <f>IFERROR(__xludf.DUMMYFUNCTION("""COMPUTED_VALUE"""),"Matutino/Manhã")</f>
        <v>Matutino/Manhã</v>
      </c>
      <c r="G385" s="1" t="str">
        <f>IFERROR(__xludf.DUMMYFUNCTION("""COMPUTED_VALUE"""),"Comum")</f>
        <v>Comum</v>
      </c>
      <c r="H385" s="1" t="str">
        <f>IFERROR(__xludf.DUMMYFUNCTION("""COMPUTED_VALUE"""),"2")</f>
        <v>2</v>
      </c>
      <c r="I385" s="4" t="str">
        <f>IFERROR(__xludf.DUMMYFUNCTION("""COMPUTED_VALUE"""),"26012678498")</f>
        <v>26012678498</v>
      </c>
      <c r="J385" s="1" t="str">
        <f>IFERROR(__xludf.DUMMYFUNCTION("""COMPUTED_VALUE"""),"29/01/2026 16:10:52")</f>
        <v>29/01/2026 16:10:52</v>
      </c>
      <c r="K385" s="1" t="str">
        <f>IFERROR(__xludf.DUMMYFUNCTION("""COMPUTED_VALUE"""),"ADRIEL SANCHEZ ALVES DA SILVA")</f>
        <v>ADRIEL SANCHEZ ALVES DA SILVA</v>
      </c>
      <c r="L385" s="5" t="str">
        <f>IFERROR(__xludf.DUMMYFUNCTION("""COMPUTED_VALUE"""),"173.921.024-78")</f>
        <v>173.921.024-78</v>
      </c>
      <c r="M385" s="5" t="str">
        <f>IFERROR(__xludf.DUMMYFUNCTION("""COMPUTED_VALUE"""),"22/10/2020")</f>
        <v>22/10/2020</v>
      </c>
      <c r="N385" s="1"/>
      <c r="O385" s="1" t="str">
        <f>IFERROR(__xludf.DUMMYFUNCTION("""COMPUTED_VALUE"""),"0")</f>
        <v>0</v>
      </c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5.75" customHeight="1">
      <c r="A386" s="1"/>
      <c r="B386" s="1" t="str">
        <f t="array" ref="B386">XLOOKUP(C386,Tabela_1[NOME ESCOLA PONTO ID],Tabela_1[REGIONAL],"NE",0)</f>
        <v>REGIONAL 7</v>
      </c>
      <c r="C386" s="3" t="str">
        <f>IFERROR(__xludf.DUMMYFUNCTION("""COMPUTED_VALUE"""),"ESCOLA MUNICIPAL PROFESSORA LUZIANA MARIA PEREIRA")</f>
        <v>ESCOLA MUNICIPAL PROFESSORA LUZIANA MARIA PEREIRA</v>
      </c>
      <c r="D386" s="1" t="str">
        <f>IFERROR(__xludf.DUMMYFUNCTION("""COMPUTED_VALUE"""),"26183145")</f>
        <v>26183145</v>
      </c>
      <c r="E386" s="1" t="str">
        <f>IFERROR(__xludf.DUMMYFUNCTION("""COMPUTED_VALUE"""),"INFANTIL 5")</f>
        <v>INFANTIL 5</v>
      </c>
      <c r="F386" s="1" t="str">
        <f>IFERROR(__xludf.DUMMYFUNCTION("""COMPUTED_VALUE"""),"Matutino/Manhã")</f>
        <v>Matutino/Manhã</v>
      </c>
      <c r="G386" s="1" t="str">
        <f>IFERROR(__xludf.DUMMYFUNCTION("""COMPUTED_VALUE"""),"Comum")</f>
        <v>Comum</v>
      </c>
      <c r="H386" s="1" t="str">
        <f>IFERROR(__xludf.DUMMYFUNCTION("""COMPUTED_VALUE"""),"3")</f>
        <v>3</v>
      </c>
      <c r="I386" s="4" t="str">
        <f>IFERROR(__xludf.DUMMYFUNCTION("""COMPUTED_VALUE"""),"26032074783")</f>
        <v>26032074783</v>
      </c>
      <c r="J386" s="1" t="str">
        <f>IFERROR(__xludf.DUMMYFUNCTION("""COMPUTED_VALUE"""),"11/03/2026 14:57:40")</f>
        <v>11/03/2026 14:57:40</v>
      </c>
      <c r="K386" s="1" t="str">
        <f>IFERROR(__xludf.DUMMYFUNCTION("""COMPUTED_VALUE"""),"LARA RODRIGUES DO NASCIMENTO")</f>
        <v>LARA RODRIGUES DO NASCIMENTO</v>
      </c>
      <c r="L386" s="5" t="str">
        <f>IFERROR(__xludf.DUMMYFUNCTION("""COMPUTED_VALUE"""),"175.107.604-02")</f>
        <v>175.107.604-02</v>
      </c>
      <c r="M386" s="7" t="str">
        <f>IFERROR(__xludf.DUMMYFUNCTION("""COMPUTED_VALUE"""),"04/12/2020")</f>
        <v>04/12/2020</v>
      </c>
      <c r="N386" s="1"/>
      <c r="O386" s="1" t="str">
        <f>IFERROR(__xludf.DUMMYFUNCTION("""COMPUTED_VALUE"""),"0")</f>
        <v>0</v>
      </c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5.75" customHeight="1">
      <c r="A387" s="1"/>
      <c r="B387" s="1" t="str">
        <f t="array" ref="B387">XLOOKUP(C387,Tabela_1[NOME ESCOLA PONTO ID],Tabela_1[REGIONAL],"NE",0)</f>
        <v>REGIONAL 7</v>
      </c>
      <c r="C387" s="3" t="str">
        <f>IFERROR(__xludf.DUMMYFUNCTION("""COMPUTED_VALUE"""),"ESCOLA MUNICIPAL PROFESSORA LUZIANA MARIA PEREIRA")</f>
        <v>ESCOLA MUNICIPAL PROFESSORA LUZIANA MARIA PEREIRA</v>
      </c>
      <c r="D387" s="1" t="str">
        <f>IFERROR(__xludf.DUMMYFUNCTION("""COMPUTED_VALUE"""),"26183145")</f>
        <v>26183145</v>
      </c>
      <c r="E387" s="1" t="str">
        <f>IFERROR(__xludf.DUMMYFUNCTION("""COMPUTED_VALUE"""),"INFANTIL 5")</f>
        <v>INFANTIL 5</v>
      </c>
      <c r="F387" s="1" t="str">
        <f>IFERROR(__xludf.DUMMYFUNCTION("""COMPUTED_VALUE"""),"Matutino/Manhã")</f>
        <v>Matutino/Manhã</v>
      </c>
      <c r="G387" s="1" t="str">
        <f>IFERROR(__xludf.DUMMYFUNCTION("""COMPUTED_VALUE"""),"Comum")</f>
        <v>Comum</v>
      </c>
      <c r="H387" s="1" t="str">
        <f>IFERROR(__xludf.DUMMYFUNCTION("""COMPUTED_VALUE"""),"4")</f>
        <v>4</v>
      </c>
      <c r="I387" s="4" t="str">
        <f>IFERROR(__xludf.DUMMYFUNCTION("""COMPUTED_VALUE"""),"26032604864")</f>
        <v>26032604864</v>
      </c>
      <c r="J387" s="1" t="str">
        <f>IFERROR(__xludf.DUMMYFUNCTION("""COMPUTED_VALUE"""),"27/03/2026 12:38:23")</f>
        <v>27/03/2026 12:38:23</v>
      </c>
      <c r="K387" s="1" t="str">
        <f>IFERROR(__xludf.DUMMYFUNCTION("""COMPUTED_VALUE"""),"JOÃO LUCAS WUTEMBERG DOS SANTOS")</f>
        <v>JOÃO LUCAS WUTEMBERG DOS SANTOS</v>
      </c>
      <c r="L387" s="7" t="str">
        <f>IFERROR(__xludf.DUMMYFUNCTION("""COMPUTED_VALUE"""),"175.860.024-10")</f>
        <v>175.860.024-10</v>
      </c>
      <c r="M387" s="5" t="str">
        <f>IFERROR(__xludf.DUMMYFUNCTION("""COMPUTED_VALUE"""),"11/03/2021")</f>
        <v>11/03/2021</v>
      </c>
      <c r="N387" s="1"/>
      <c r="O387" s="1" t="str">
        <f>IFERROR(__xludf.DUMMYFUNCTION("""COMPUTED_VALUE"""),"0")</f>
        <v>0</v>
      </c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5.75" customHeight="1">
      <c r="A388" s="1"/>
      <c r="B388" s="1" t="str">
        <f t="array" ref="B388">XLOOKUP(C388,Tabela_1[NOME ESCOLA PONTO ID],Tabela_1[REGIONAL],"NE",0)</f>
        <v>REGIONAL 7</v>
      </c>
      <c r="C388" s="3" t="str">
        <f>IFERROR(__xludf.DUMMYFUNCTION("""COMPUTED_VALUE"""),"ESCOLA MUNICIPAL PROFESSORA LUZIANA MARIA PEREIRA")</f>
        <v>ESCOLA MUNICIPAL PROFESSORA LUZIANA MARIA PEREIRA</v>
      </c>
      <c r="D388" s="1" t="str">
        <f>IFERROR(__xludf.DUMMYFUNCTION("""COMPUTED_VALUE"""),"26183145")</f>
        <v>26183145</v>
      </c>
      <c r="E388" s="1" t="str">
        <f>IFERROR(__xludf.DUMMYFUNCTION("""COMPUTED_VALUE"""),"INFANTIL 5")</f>
        <v>INFANTIL 5</v>
      </c>
      <c r="F388" s="1" t="str">
        <f>IFERROR(__xludf.DUMMYFUNCTION("""COMPUTED_VALUE"""),"Vespertino/Tarde")</f>
        <v>Vespertino/Tarde</v>
      </c>
      <c r="G388" s="1" t="str">
        <f>IFERROR(__xludf.DUMMYFUNCTION("""COMPUTED_VALUE"""),"Comum")</f>
        <v>Comum</v>
      </c>
      <c r="H388" s="1" t="str">
        <f>IFERROR(__xludf.DUMMYFUNCTION("""COMPUTED_VALUE"""),"1")</f>
        <v>1</v>
      </c>
      <c r="I388" s="6" t="str">
        <f>IFERROR(__xludf.DUMMYFUNCTION("""COMPUTED_VALUE"""),"26022634763")</f>
        <v>26022634763</v>
      </c>
      <c r="J388" s="1" t="str">
        <f>IFERROR(__xludf.DUMMYFUNCTION("""COMPUTED_VALUE"""),"02/02/2026 19:02:20")</f>
        <v>02/02/2026 19:02:20</v>
      </c>
      <c r="K388" s="1" t="str">
        <f>IFERROR(__xludf.DUMMYFUNCTION("""COMPUTED_VALUE"""),"ÁGATA VITÓRIA DE LIMA GOMES")</f>
        <v>ÁGATA VITÓRIA DE LIMA GOMES</v>
      </c>
      <c r="L388" s="7" t="str">
        <f>IFERROR(__xludf.DUMMYFUNCTION("""COMPUTED_VALUE"""),"175.162.524-92")</f>
        <v>175.162.524-92</v>
      </c>
      <c r="M388" s="7" t="str">
        <f>IFERROR(__xludf.DUMMYFUNCTION("""COMPUTED_VALUE"""),"14/01/2021")</f>
        <v>14/01/2021</v>
      </c>
      <c r="N388" s="1"/>
      <c r="O388" s="1" t="str">
        <f>IFERROR(__xludf.DUMMYFUNCTION("""COMPUTED_VALUE"""),"0")</f>
        <v>0</v>
      </c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5.75" customHeight="1">
      <c r="A389" s="1"/>
      <c r="B389" s="1" t="str">
        <f t="array" ref="B389">XLOOKUP(C389,Tabela_1[NOME ESCOLA PONTO ID],Tabela_1[REGIONAL],"NE",0)</f>
        <v>REGIONAL 4</v>
      </c>
      <c r="C389" s="3" t="str">
        <f>IFERROR(__xludf.DUMMYFUNCTION("""COMPUTED_VALUE"""),"ESCOLA MUNICIPAL RURAL MARIA FEIJÓ")</f>
        <v>ESCOLA MUNICIPAL RURAL MARIA FEIJÓ</v>
      </c>
      <c r="D389" s="1" t="str">
        <f>IFERROR(__xludf.DUMMYFUNCTION("""COMPUTED_VALUE"""),"26111748")</f>
        <v>26111748</v>
      </c>
      <c r="E389" s="1" t="str">
        <f>IFERROR(__xludf.DUMMYFUNCTION("""COMPUTED_VALUE"""),"INFANTIL 4")</f>
        <v>INFANTIL 4</v>
      </c>
      <c r="F389" s="1" t="str">
        <f>IFERROR(__xludf.DUMMYFUNCTION("""COMPUTED_VALUE"""),"Matutino/Manhã")</f>
        <v>Matutino/Manhã</v>
      </c>
      <c r="G389" s="1" t="str">
        <f>IFERROR(__xludf.DUMMYFUNCTION("""COMPUTED_VALUE"""),"Comum")</f>
        <v>Comum</v>
      </c>
      <c r="H389" s="1" t="str">
        <f>IFERROR(__xludf.DUMMYFUNCTION("""COMPUTED_VALUE"""),"1")</f>
        <v>1</v>
      </c>
      <c r="I389" s="6" t="str">
        <f>IFERROR(__xludf.DUMMYFUNCTION("""COMPUTED_VALUE"""),"26022858596")</f>
        <v>26022858596</v>
      </c>
      <c r="J389" s="1" t="str">
        <f>IFERROR(__xludf.DUMMYFUNCTION("""COMPUTED_VALUE"""),"10/02/2026 17:14:09")</f>
        <v>10/02/2026 17:14:09</v>
      </c>
      <c r="K389" s="1" t="str">
        <f>IFERROR(__xludf.DUMMYFUNCTION("""COMPUTED_VALUE"""),"JÚLIO CÉSAR DA SILVA ALVES")</f>
        <v>JÚLIO CÉSAR DA SILVA ALVES</v>
      </c>
      <c r="L389" s="5" t="str">
        <f>IFERROR(__xludf.DUMMYFUNCTION("""COMPUTED_VALUE"""),"178.815.924-19")</f>
        <v>178.815.924-19</v>
      </c>
      <c r="M389" s="5" t="str">
        <f>IFERROR(__xludf.DUMMYFUNCTION("""COMPUTED_VALUE"""),"20/10/2021")</f>
        <v>20/10/2021</v>
      </c>
      <c r="N389" s="1"/>
      <c r="O389" s="1" t="str">
        <f>IFERROR(__xludf.DUMMYFUNCTION("""COMPUTED_VALUE"""),"0")</f>
        <v>0</v>
      </c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5.75" customHeight="1">
      <c r="A390" s="1"/>
      <c r="B390" s="1" t="str">
        <f t="array" ref="B390">XLOOKUP(C390,Tabela_1[NOME ESCOLA PONTO ID],Tabela_1[REGIONAL],"NE",0)</f>
        <v>REGIONAL 4</v>
      </c>
      <c r="C390" s="3" t="str">
        <f>IFERROR(__xludf.DUMMYFUNCTION("""COMPUTED_VALUE"""),"ESCOLA MUNICIPAL RURAL MARIA FEIJÓ")</f>
        <v>ESCOLA MUNICIPAL RURAL MARIA FEIJÓ</v>
      </c>
      <c r="D390" s="1" t="str">
        <f>IFERROR(__xludf.DUMMYFUNCTION("""COMPUTED_VALUE"""),"26111748")</f>
        <v>26111748</v>
      </c>
      <c r="E390" s="1" t="str">
        <f>IFERROR(__xludf.DUMMYFUNCTION("""COMPUTED_VALUE"""),"INFANTIL 4")</f>
        <v>INFANTIL 4</v>
      </c>
      <c r="F390" s="1" t="str">
        <f>IFERROR(__xludf.DUMMYFUNCTION("""COMPUTED_VALUE"""),"Matutino/Manhã")</f>
        <v>Matutino/Manhã</v>
      </c>
      <c r="G390" s="1" t="str">
        <f>IFERROR(__xludf.DUMMYFUNCTION("""COMPUTED_VALUE"""),"Comum")</f>
        <v>Comum</v>
      </c>
      <c r="H390" s="1" t="str">
        <f>IFERROR(__xludf.DUMMYFUNCTION("""COMPUTED_VALUE"""),"2")</f>
        <v>2</v>
      </c>
      <c r="I390" s="6" t="str">
        <f>IFERROR(__xludf.DUMMYFUNCTION("""COMPUTED_VALUE"""),"26022818267")</f>
        <v>26022818267</v>
      </c>
      <c r="J390" s="1" t="str">
        <f>IFERROR(__xludf.DUMMYFUNCTION("""COMPUTED_VALUE"""),"10/02/2026 17:26:01")</f>
        <v>10/02/2026 17:26:01</v>
      </c>
      <c r="K390" s="1" t="str">
        <f>IFERROR(__xludf.DUMMYFUNCTION("""COMPUTED_VALUE"""),"ELLOÁ MIRELLA FERNANDES DA SILVA")</f>
        <v>ELLOÁ MIRELLA FERNANDES DA SILVA</v>
      </c>
      <c r="L390" s="5" t="str">
        <f>IFERROR(__xludf.DUMMYFUNCTION("""COMPUTED_VALUE"""),"180.688.584-07")</f>
        <v>180.688.584-07</v>
      </c>
      <c r="M390" s="7" t="str">
        <f>IFERROR(__xludf.DUMMYFUNCTION("""COMPUTED_VALUE"""),"20/11/2021")</f>
        <v>20/11/2021</v>
      </c>
      <c r="N390" s="1"/>
      <c r="O390" s="1" t="str">
        <f>IFERROR(__xludf.DUMMYFUNCTION("""COMPUTED_VALUE"""),"0")</f>
        <v>0</v>
      </c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5.75" customHeight="1">
      <c r="A391" s="1"/>
      <c r="B391" s="1" t="str">
        <f t="array" ref="B391">XLOOKUP(C391,Tabela_1[NOME ESCOLA PONTO ID],Tabela_1[REGIONAL],"NE",0)</f>
        <v>REGIONAL 4</v>
      </c>
      <c r="C391" s="3" t="str">
        <f>IFERROR(__xludf.DUMMYFUNCTION("""COMPUTED_VALUE"""),"ESCOLA MUNICIPAL RURAL MARIA FEIJÓ")</f>
        <v>ESCOLA MUNICIPAL RURAL MARIA FEIJÓ</v>
      </c>
      <c r="D391" s="1" t="str">
        <f>IFERROR(__xludf.DUMMYFUNCTION("""COMPUTED_VALUE"""),"26111748")</f>
        <v>26111748</v>
      </c>
      <c r="E391" s="1" t="str">
        <f>IFERROR(__xludf.DUMMYFUNCTION("""COMPUTED_VALUE"""),"INFANTIL 4")</f>
        <v>INFANTIL 4</v>
      </c>
      <c r="F391" s="1" t="str">
        <f>IFERROR(__xludf.DUMMYFUNCTION("""COMPUTED_VALUE"""),"Matutino/Manhã")</f>
        <v>Matutino/Manhã</v>
      </c>
      <c r="G391" s="1" t="str">
        <f>IFERROR(__xludf.DUMMYFUNCTION("""COMPUTED_VALUE"""),"Comum")</f>
        <v>Comum</v>
      </c>
      <c r="H391" s="1" t="str">
        <f>IFERROR(__xludf.DUMMYFUNCTION("""COMPUTED_VALUE"""),"3")</f>
        <v>3</v>
      </c>
      <c r="I391" s="6" t="str">
        <f>IFERROR(__xludf.DUMMYFUNCTION("""COMPUTED_VALUE"""),"26022498994")</f>
        <v>26022498994</v>
      </c>
      <c r="J391" s="1" t="str">
        <f>IFERROR(__xludf.DUMMYFUNCTION("""COMPUTED_VALUE"""),"10/02/2026 17:33:28")</f>
        <v>10/02/2026 17:33:28</v>
      </c>
      <c r="K391" s="1" t="str">
        <f>IFERROR(__xludf.DUMMYFUNCTION("""COMPUTED_VALUE"""),"MARIA LUIZA ALVES DE LIMA")</f>
        <v>MARIA LUIZA ALVES DE LIMA</v>
      </c>
      <c r="L391" s="7" t="str">
        <f>IFERROR(__xludf.DUMMYFUNCTION("""COMPUTED_VALUE"""),"179.946.064-90")</f>
        <v>179.946.064-90</v>
      </c>
      <c r="M391" s="7" t="str">
        <f>IFERROR(__xludf.DUMMYFUNCTION("""COMPUTED_VALUE"""),"04/01/2022")</f>
        <v>04/01/2022</v>
      </c>
      <c r="N391" s="1"/>
      <c r="O391" s="1" t="str">
        <f>IFERROR(__xludf.DUMMYFUNCTION("""COMPUTED_VALUE"""),"0")</f>
        <v>0</v>
      </c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5.75" customHeight="1">
      <c r="A392" s="1"/>
      <c r="B392" s="1" t="str">
        <f t="array" ref="B392">XLOOKUP(C392,Tabela_1[NOME ESCOLA PONTO ID],Tabela_1[REGIONAL],"NE",0)</f>
        <v>REGIONAL 4</v>
      </c>
      <c r="C392" s="3" t="str">
        <f>IFERROR(__xludf.DUMMYFUNCTION("""COMPUTED_VALUE"""),"ESCOLA MUNICIPAL RURAL MARIA FEIJÓ")</f>
        <v>ESCOLA MUNICIPAL RURAL MARIA FEIJÓ</v>
      </c>
      <c r="D392" s="1" t="str">
        <f>IFERROR(__xludf.DUMMYFUNCTION("""COMPUTED_VALUE"""),"26111748")</f>
        <v>26111748</v>
      </c>
      <c r="E392" s="1" t="str">
        <f>IFERROR(__xludf.DUMMYFUNCTION("""COMPUTED_VALUE"""),"INFANTIL 4")</f>
        <v>INFANTIL 4</v>
      </c>
      <c r="F392" s="1" t="str">
        <f>IFERROR(__xludf.DUMMYFUNCTION("""COMPUTED_VALUE"""),"Matutino/Manhã")</f>
        <v>Matutino/Manhã</v>
      </c>
      <c r="G392" s="1" t="str">
        <f>IFERROR(__xludf.DUMMYFUNCTION("""COMPUTED_VALUE"""),"Comum")</f>
        <v>Comum</v>
      </c>
      <c r="H392" s="1" t="str">
        <f>IFERROR(__xludf.DUMMYFUNCTION("""COMPUTED_VALUE"""),"4")</f>
        <v>4</v>
      </c>
      <c r="I392" s="6" t="str">
        <f>IFERROR(__xludf.DUMMYFUNCTION("""COMPUTED_VALUE"""),"26032565660")</f>
        <v>26032565660</v>
      </c>
      <c r="J392" s="1" t="str">
        <f>IFERROR(__xludf.DUMMYFUNCTION("""COMPUTED_VALUE"""),"02/03/2026 16:17:34")</f>
        <v>02/03/2026 16:17:34</v>
      </c>
      <c r="K392" s="1" t="str">
        <f>IFERROR(__xludf.DUMMYFUNCTION("""COMPUTED_VALUE"""),"LUNNA MANUELA GOMES DA SILVA")</f>
        <v>LUNNA MANUELA GOMES DA SILVA</v>
      </c>
      <c r="L392" s="5" t="str">
        <f>IFERROR(__xludf.DUMMYFUNCTION("""COMPUTED_VALUE"""),"176.420.374-73")</f>
        <v>176.420.374-73</v>
      </c>
      <c r="M392" s="5" t="str">
        <f>IFERROR(__xludf.DUMMYFUNCTION("""COMPUTED_VALUE"""),"24/04/2021")</f>
        <v>24/04/2021</v>
      </c>
      <c r="N392" s="1"/>
      <c r="O392" s="1" t="str">
        <f>IFERROR(__xludf.DUMMYFUNCTION("""COMPUTED_VALUE"""),"0")</f>
        <v>0</v>
      </c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5.75" customHeight="1">
      <c r="A393" s="1"/>
      <c r="B393" s="1" t="str">
        <f t="array" ref="B393">XLOOKUP(C393,Tabela_1[NOME ESCOLA PONTO ID],Tabela_1[REGIONAL],"NE",0)</f>
        <v>REGIONAL 6</v>
      </c>
      <c r="C393" s="3" t="str">
        <f>IFERROR(__xludf.DUMMYFUNCTION("""COMPUTED_VALUE"""),"ESCOLA MUNICIPAL SANTA EDWIRGES")</f>
        <v>ESCOLA MUNICIPAL SANTA EDWIRGES</v>
      </c>
      <c r="D393" s="1" t="str">
        <f>IFERROR(__xludf.DUMMYFUNCTION("""COMPUTED_VALUE"""),"26178036")</f>
        <v>26178036</v>
      </c>
      <c r="E393" s="1" t="str">
        <f>IFERROR(__xludf.DUMMYFUNCTION("""COMPUTED_VALUE"""),"INFANTIL 5")</f>
        <v>INFANTIL 5</v>
      </c>
      <c r="F393" s="1" t="str">
        <f>IFERROR(__xludf.DUMMYFUNCTION("""COMPUTED_VALUE"""),"Vespertino/Tarde")</f>
        <v>Vespertino/Tarde</v>
      </c>
      <c r="G393" s="1" t="str">
        <f>IFERROR(__xludf.DUMMYFUNCTION("""COMPUTED_VALUE"""),"Comum")</f>
        <v>Comum</v>
      </c>
      <c r="H393" s="1" t="str">
        <f>IFERROR(__xludf.DUMMYFUNCTION("""COMPUTED_VALUE"""),"1")</f>
        <v>1</v>
      </c>
      <c r="I393" s="6" t="str">
        <f>IFERROR(__xludf.DUMMYFUNCTION("""COMPUTED_VALUE"""),"26022435190")</f>
        <v>26022435190</v>
      </c>
      <c r="J393" s="1" t="str">
        <f>IFERROR(__xludf.DUMMYFUNCTION("""COMPUTED_VALUE"""),"26/02/2026 11:14:58")</f>
        <v>26/02/2026 11:14:58</v>
      </c>
      <c r="K393" s="1" t="str">
        <f>IFERROR(__xludf.DUMMYFUNCTION("""COMPUTED_VALUE"""),"MARIA LAURA MELQUIADES DA SILVA")</f>
        <v>MARIA LAURA MELQUIADES DA SILVA</v>
      </c>
      <c r="L393" s="5" t="str">
        <f>IFERROR(__xludf.DUMMYFUNCTION("""COMPUTED_VALUE"""),"175.432.414-20")</f>
        <v>175.432.414-20</v>
      </c>
      <c r="M393" s="5" t="str">
        <f>IFERROR(__xludf.DUMMYFUNCTION("""COMPUTED_VALUE"""),"28/12/2020")</f>
        <v>28/12/2020</v>
      </c>
      <c r="N393" s="1"/>
      <c r="O393" s="1" t="str">
        <f>IFERROR(__xludf.DUMMYFUNCTION("""COMPUTED_VALUE"""),"0")</f>
        <v>0</v>
      </c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5.75" customHeight="1">
      <c r="A394" s="1"/>
      <c r="B394" s="1" t="str">
        <f t="array" ref="B394">XLOOKUP(C394,Tabela_1[NOME ESCOLA PONTO ID],Tabela_1[REGIONAL],"NE",0)</f>
        <v>REGIONAL 6</v>
      </c>
      <c r="C394" s="3" t="str">
        <f>IFERROR(__xludf.DUMMYFUNCTION("""COMPUTED_VALUE"""),"ESCOLA MUNICIPAL SANTA EDWIRGES")</f>
        <v>ESCOLA MUNICIPAL SANTA EDWIRGES</v>
      </c>
      <c r="D394" s="1" t="str">
        <f>IFERROR(__xludf.DUMMYFUNCTION("""COMPUTED_VALUE"""),"26178036")</f>
        <v>26178036</v>
      </c>
      <c r="E394" s="1" t="str">
        <f>IFERROR(__xludf.DUMMYFUNCTION("""COMPUTED_VALUE"""),"INFANTIL 5")</f>
        <v>INFANTIL 5</v>
      </c>
      <c r="F394" s="1" t="str">
        <f>IFERROR(__xludf.DUMMYFUNCTION("""COMPUTED_VALUE"""),"Vespertino/Tarde")</f>
        <v>Vespertino/Tarde</v>
      </c>
      <c r="G394" s="1" t="str">
        <f>IFERROR(__xludf.DUMMYFUNCTION("""COMPUTED_VALUE"""),"Comum")</f>
        <v>Comum</v>
      </c>
      <c r="H394" s="1" t="str">
        <f>IFERROR(__xludf.DUMMYFUNCTION("""COMPUTED_VALUE"""),"2")</f>
        <v>2</v>
      </c>
      <c r="I394" s="6" t="str">
        <f>IFERROR(__xludf.DUMMYFUNCTION("""COMPUTED_VALUE"""),"26062681349")</f>
        <v>26062681349</v>
      </c>
      <c r="J394" s="1" t="str">
        <f>IFERROR(__xludf.DUMMYFUNCTION("""COMPUTED_VALUE"""),"11/06/2026 11:33:20")</f>
        <v>11/06/2026 11:33:20</v>
      </c>
      <c r="K394" s="1" t="str">
        <f>IFERROR(__xludf.DUMMYFUNCTION("""COMPUTED_VALUE"""),"AYLLA VICTORIA DA SILVA MATIAS")</f>
        <v>AYLLA VICTORIA DA SILVA MATIAS</v>
      </c>
      <c r="L394" s="5" t="str">
        <f>IFERROR(__xludf.DUMMYFUNCTION("""COMPUTED_VALUE"""),"173.884.764-07")</f>
        <v>173.884.764-07</v>
      </c>
      <c r="M394" s="5" t="str">
        <f>IFERROR(__xludf.DUMMYFUNCTION("""COMPUTED_VALUE"""),"24/07/2020")</f>
        <v>24/07/2020</v>
      </c>
      <c r="N394" s="1"/>
      <c r="O394" s="1" t="str">
        <f>IFERROR(__xludf.DUMMYFUNCTION("""COMPUTED_VALUE"""),"0")</f>
        <v>0</v>
      </c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5.75" customHeight="1">
      <c r="A395" s="1"/>
      <c r="B395" s="1" t="str">
        <f t="array" ref="B395">XLOOKUP(C395,Tabela_1[NOME ESCOLA PONTO ID],Tabela_1[REGIONAL],"NE",0)</f>
        <v>REGIONAL 6</v>
      </c>
      <c r="C395" s="3" t="str">
        <f>IFERROR(__xludf.DUMMYFUNCTION("""COMPUTED_VALUE"""),"ESCOLA MUNICIPAL UBALDINO FIGUEIROA")</f>
        <v>ESCOLA MUNICIPAL UBALDINO FIGUEIROA</v>
      </c>
      <c r="D395" s="1" t="str">
        <f>IFERROR(__xludf.DUMMYFUNCTION("""COMPUTED_VALUE"""),"26174740")</f>
        <v>26174740</v>
      </c>
      <c r="E395" s="1" t="str">
        <f>IFERROR(__xludf.DUMMYFUNCTION("""COMPUTED_VALUE"""),"INFANTIL 5")</f>
        <v>INFANTIL 5</v>
      </c>
      <c r="F395" s="1" t="str">
        <f>IFERROR(__xludf.DUMMYFUNCTION("""COMPUTED_VALUE"""),"Matutino/Manhã")</f>
        <v>Matutino/Manhã</v>
      </c>
      <c r="G395" s="1" t="str">
        <f>IFERROR(__xludf.DUMMYFUNCTION("""COMPUTED_VALUE"""),"Comum")</f>
        <v>Comum</v>
      </c>
      <c r="H395" s="1" t="str">
        <f>IFERROR(__xludf.DUMMYFUNCTION("""COMPUTED_VALUE"""),"1")</f>
        <v>1</v>
      </c>
      <c r="I395" s="6" t="str">
        <f>IFERROR(__xludf.DUMMYFUNCTION("""COMPUTED_VALUE"""),"26032233695")</f>
        <v>26032233695</v>
      </c>
      <c r="J395" s="1" t="str">
        <f>IFERROR(__xludf.DUMMYFUNCTION("""COMPUTED_VALUE"""),"01/03/2026 10:37:25")</f>
        <v>01/03/2026 10:37:25</v>
      </c>
      <c r="K395" s="1" t="str">
        <f>IFERROR(__xludf.DUMMYFUNCTION("""COMPUTED_VALUE"""),"LUANNY LIMA DE SOUZA")</f>
        <v>LUANNY LIMA DE SOUZA</v>
      </c>
      <c r="L395" s="5" t="str">
        <f>IFERROR(__xludf.DUMMYFUNCTION("""COMPUTED_VALUE"""),"174.547.894-98")</f>
        <v>174.547.894-98</v>
      </c>
      <c r="M395" s="5" t="str">
        <f>IFERROR(__xludf.DUMMYFUNCTION("""COMPUTED_VALUE"""),"02/09/2020")</f>
        <v>02/09/2020</v>
      </c>
      <c r="N395" s="1"/>
      <c r="O395" s="1" t="str">
        <f>IFERROR(__xludf.DUMMYFUNCTION("""COMPUTED_VALUE"""),"0")</f>
        <v>0</v>
      </c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5.75" customHeight="1">
      <c r="A396" s="1"/>
      <c r="B396" s="1" t="str">
        <f t="array" ref="B396">XLOOKUP(C396,Tabela_1[NOME ESCOLA PONTO ID],Tabela_1[REGIONAL],"NE",0)</f>
        <v>REGIONAL 6</v>
      </c>
      <c r="C396" s="3" t="str">
        <f>IFERROR(__xludf.DUMMYFUNCTION("""COMPUTED_VALUE"""),"ESCOLA MUNICIPAL UBALDINO FIGUEIROA")</f>
        <v>ESCOLA MUNICIPAL UBALDINO FIGUEIROA</v>
      </c>
      <c r="D396" s="1" t="str">
        <f>IFERROR(__xludf.DUMMYFUNCTION("""COMPUTED_VALUE"""),"26174740")</f>
        <v>26174740</v>
      </c>
      <c r="E396" s="1" t="str">
        <f>IFERROR(__xludf.DUMMYFUNCTION("""COMPUTED_VALUE"""),"INFANTIL 5")</f>
        <v>INFANTIL 5</v>
      </c>
      <c r="F396" s="1" t="str">
        <f>IFERROR(__xludf.DUMMYFUNCTION("""COMPUTED_VALUE"""),"Vespertino/Tarde")</f>
        <v>Vespertino/Tarde</v>
      </c>
      <c r="G396" s="1" t="str">
        <f>IFERROR(__xludf.DUMMYFUNCTION("""COMPUTED_VALUE"""),"Comum")</f>
        <v>Comum</v>
      </c>
      <c r="H396" s="1" t="str">
        <f>IFERROR(__xludf.DUMMYFUNCTION("""COMPUTED_VALUE"""),"1")</f>
        <v>1</v>
      </c>
      <c r="I396" s="6" t="str">
        <f>IFERROR(__xludf.DUMMYFUNCTION("""COMPUTED_VALUE"""),"26042900393")</f>
        <v>26042900393</v>
      </c>
      <c r="J396" s="1" t="str">
        <f>IFERROR(__xludf.DUMMYFUNCTION("""COMPUTED_VALUE"""),"08/04/2026 11:52:08")</f>
        <v>08/04/2026 11:52:08</v>
      </c>
      <c r="K396" s="1" t="str">
        <f>IFERROR(__xludf.DUMMYFUNCTION("""COMPUTED_VALUE"""),"GUSTAVO MOES DE LIMA FILHO")</f>
        <v>GUSTAVO MOES DE LIMA FILHO</v>
      </c>
      <c r="L396" s="7" t="str">
        <f>IFERROR(__xludf.DUMMYFUNCTION("""COMPUTED_VALUE"""),"174.929.864-32")</f>
        <v>174.929.864-32</v>
      </c>
      <c r="M396" s="5" t="str">
        <f>IFERROR(__xludf.DUMMYFUNCTION("""COMPUTED_VALUE"""),"28/12/2020")</f>
        <v>28/12/2020</v>
      </c>
      <c r="N396" s="1"/>
      <c r="O396" s="1" t="str">
        <f>IFERROR(__xludf.DUMMYFUNCTION("""COMPUTED_VALUE"""),"0")</f>
        <v>0</v>
      </c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5.75" customHeight="1">
      <c r="A397" s="1"/>
      <c r="B397" s="1" t="str">
        <f t="array" ref="B397">XLOOKUP(C397,Tabela_1[NOME ESCOLA PONTO ID],Tabela_1[REGIONAL],"NE",0)</f>
        <v>REGIONAL 6</v>
      </c>
      <c r="C397" s="3" t="str">
        <f>IFERROR(__xludf.DUMMYFUNCTION("""COMPUTED_VALUE"""),"ESCOLA MUNICIPAL WALFRIDO COELHO")</f>
        <v>ESCOLA MUNICIPAL WALFRIDO COELHO</v>
      </c>
      <c r="D397" s="1" t="str">
        <f>IFERROR(__xludf.DUMMYFUNCTION("""COMPUTED_VALUE"""),"26171546")</f>
        <v>26171546</v>
      </c>
      <c r="E397" s="1" t="str">
        <f>IFERROR(__xludf.DUMMYFUNCTION("""COMPUTED_VALUE"""),"INFANTIL 5")</f>
        <v>INFANTIL 5</v>
      </c>
      <c r="F397" s="1" t="str">
        <f>IFERROR(__xludf.DUMMYFUNCTION("""COMPUTED_VALUE"""),"Matutino/Manhã")</f>
        <v>Matutino/Manhã</v>
      </c>
      <c r="G397" s="1" t="str">
        <f>IFERROR(__xludf.DUMMYFUNCTION("""COMPUTED_VALUE"""),"Comum")</f>
        <v>Comum</v>
      </c>
      <c r="H397" s="1" t="str">
        <f>IFERROR(__xludf.DUMMYFUNCTION("""COMPUTED_VALUE"""),"1")</f>
        <v>1</v>
      </c>
      <c r="I397" s="6" t="str">
        <f>IFERROR(__xludf.DUMMYFUNCTION("""COMPUTED_VALUE"""),"26032356222")</f>
        <v>26032356222</v>
      </c>
      <c r="J397" s="1" t="str">
        <f>IFERROR(__xludf.DUMMYFUNCTION("""COMPUTED_VALUE"""),"04/03/2026 10:45:26")</f>
        <v>04/03/2026 10:45:26</v>
      </c>
      <c r="K397" s="1" t="str">
        <f>IFERROR(__xludf.DUMMYFUNCTION("""COMPUTED_VALUE"""),"LUNA NATALIA SOUZA MORAIS")</f>
        <v>LUNA NATALIA SOUZA MORAIS</v>
      </c>
      <c r="L397" s="5" t="str">
        <f>IFERROR(__xludf.DUMMYFUNCTION("""COMPUTED_VALUE"""),"174.242.474-09")</f>
        <v>174.242.474-09</v>
      </c>
      <c r="M397" s="5" t="str">
        <f>IFERROR(__xludf.DUMMYFUNCTION("""COMPUTED_VALUE"""),"18/11/2020")</f>
        <v>18/11/2020</v>
      </c>
      <c r="N397" s="1"/>
      <c r="O397" s="1" t="str">
        <f>IFERROR(__xludf.DUMMYFUNCTION("""COMPUTED_VALUE"""),"0")</f>
        <v>0</v>
      </c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5.75" customHeight="1">
      <c r="A398" s="1"/>
      <c r="B398" s="1"/>
      <c r="C398" s="3"/>
      <c r="D398" s="1"/>
      <c r="E398" s="1"/>
      <c r="F398" s="1"/>
      <c r="G398" s="1"/>
      <c r="H398" s="1"/>
      <c r="I398" s="6"/>
      <c r="J398" s="1"/>
      <c r="K398" s="1"/>
      <c r="L398" s="5"/>
      <c r="M398" s="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5.75" customHeight="1">
      <c r="A399" s="1"/>
      <c r="B399" s="1"/>
      <c r="C399" s="3"/>
      <c r="D399" s="1"/>
      <c r="E399" s="1"/>
      <c r="F399" s="1"/>
      <c r="G399" s="1"/>
      <c r="H399" s="1"/>
      <c r="I399" s="6"/>
      <c r="J399" s="1"/>
      <c r="K399" s="1"/>
      <c r="L399" s="5"/>
      <c r="M399" s="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5.75" customHeight="1">
      <c r="A400" s="1"/>
      <c r="B400" s="1"/>
      <c r="C400" s="3"/>
      <c r="D400" s="1"/>
      <c r="E400" s="1"/>
      <c r="F400" s="1"/>
      <c r="G400" s="1"/>
      <c r="H400" s="1"/>
      <c r="I400" s="6"/>
      <c r="J400" s="1"/>
      <c r="K400" s="1"/>
      <c r="L400" s="5"/>
      <c r="M400" s="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5.75" customHeight="1">
      <c r="A401" s="1"/>
      <c r="B401" s="1"/>
      <c r="C401" s="3"/>
      <c r="D401" s="1"/>
      <c r="E401" s="1"/>
      <c r="F401" s="1"/>
      <c r="G401" s="1"/>
      <c r="H401" s="1"/>
      <c r="I401" s="6"/>
      <c r="J401" s="1"/>
      <c r="K401" s="1"/>
      <c r="L401" s="7"/>
      <c r="M401" s="7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5.75" customHeight="1">
      <c r="A402" s="1"/>
      <c r="B402" s="1"/>
      <c r="C402" s="3"/>
      <c r="D402" s="1"/>
      <c r="E402" s="1"/>
      <c r="F402" s="1"/>
      <c r="G402" s="1"/>
      <c r="H402" s="1"/>
      <c r="I402" s="6"/>
      <c r="J402" s="1"/>
      <c r="K402" s="1"/>
      <c r="L402" s="5"/>
      <c r="M402" s="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5.75" customHeight="1">
      <c r="A403" s="1"/>
      <c r="B403" s="1"/>
      <c r="C403" s="3"/>
      <c r="D403" s="1"/>
      <c r="E403" s="1"/>
      <c r="F403" s="1"/>
      <c r="G403" s="1"/>
      <c r="H403" s="1"/>
      <c r="I403" s="6"/>
      <c r="J403" s="1"/>
      <c r="K403" s="1"/>
      <c r="L403" s="5"/>
      <c r="M403" s="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5.75" customHeight="1">
      <c r="A404" s="1"/>
      <c r="B404" s="1"/>
      <c r="C404" s="3"/>
      <c r="D404" s="1"/>
      <c r="E404" s="1"/>
      <c r="F404" s="1"/>
      <c r="G404" s="1"/>
      <c r="H404" s="1"/>
      <c r="I404" s="4"/>
      <c r="J404" s="1"/>
      <c r="K404" s="1"/>
      <c r="L404" s="5"/>
      <c r="M404" s="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5.75" customHeight="1">
      <c r="A405" s="1"/>
      <c r="B405" s="1"/>
      <c r="C405" s="3"/>
      <c r="D405" s="1"/>
      <c r="E405" s="1"/>
      <c r="F405" s="1"/>
      <c r="G405" s="1"/>
      <c r="H405" s="1"/>
      <c r="I405" s="6"/>
      <c r="J405" s="1"/>
      <c r="K405" s="1"/>
      <c r="L405" s="5"/>
      <c r="M405" s="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5.75" customHeight="1">
      <c r="A406" s="1"/>
      <c r="B406" s="1"/>
      <c r="C406" s="3"/>
      <c r="D406" s="1"/>
      <c r="E406" s="1"/>
      <c r="F406" s="1"/>
      <c r="G406" s="1"/>
      <c r="H406" s="1"/>
      <c r="I406" s="6"/>
      <c r="J406" s="1"/>
      <c r="K406" s="1"/>
      <c r="L406" s="5"/>
      <c r="M406" s="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5.75" customHeight="1">
      <c r="A407" s="1"/>
      <c r="B407" s="1"/>
      <c r="C407" s="3"/>
      <c r="D407" s="1"/>
      <c r="E407" s="1"/>
      <c r="F407" s="1"/>
      <c r="G407" s="1"/>
      <c r="H407" s="1"/>
      <c r="I407" s="6"/>
      <c r="J407" s="1"/>
      <c r="K407" s="1"/>
      <c r="L407" s="5"/>
      <c r="M407" s="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5.75" customHeight="1">
      <c r="A408" s="1"/>
      <c r="B408" s="1"/>
      <c r="C408" s="3"/>
      <c r="D408" s="1"/>
      <c r="E408" s="1"/>
      <c r="F408" s="1"/>
      <c r="G408" s="1"/>
      <c r="H408" s="1"/>
      <c r="I408" s="4"/>
      <c r="J408" s="1"/>
      <c r="K408" s="1"/>
      <c r="L408" s="5"/>
      <c r="M408" s="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5.75" customHeight="1">
      <c r="A409" s="1"/>
      <c r="B409" s="1"/>
      <c r="C409" s="3"/>
      <c r="D409" s="1"/>
      <c r="E409" s="1"/>
      <c r="F409" s="1"/>
      <c r="G409" s="1"/>
      <c r="H409" s="1"/>
      <c r="I409" s="4"/>
      <c r="J409" s="1"/>
      <c r="K409" s="1"/>
      <c r="L409" s="5"/>
      <c r="M409" s="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5.75" customHeight="1">
      <c r="A410" s="1"/>
      <c r="B410" s="1"/>
      <c r="C410" s="3"/>
      <c r="D410" s="1"/>
      <c r="E410" s="1"/>
      <c r="F410" s="1"/>
      <c r="G410" s="1"/>
      <c r="H410" s="1"/>
      <c r="I410" s="4"/>
      <c r="J410" s="1"/>
      <c r="K410" s="1"/>
      <c r="L410" s="5"/>
      <c r="M410" s="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5.75" customHeight="1">
      <c r="A411" s="1"/>
      <c r="B411" s="1"/>
      <c r="C411" s="3"/>
      <c r="D411" s="1"/>
      <c r="E411" s="1"/>
      <c r="F411" s="1"/>
      <c r="G411" s="1"/>
      <c r="H411" s="1"/>
      <c r="I411" s="4"/>
      <c r="J411" s="1"/>
      <c r="K411" s="1"/>
      <c r="L411" s="5"/>
      <c r="M411" s="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5.75" customHeight="1">
      <c r="A412" s="1"/>
      <c r="B412" s="1"/>
      <c r="C412" s="3"/>
      <c r="D412" s="1"/>
      <c r="E412" s="1"/>
      <c r="F412" s="1"/>
      <c r="G412" s="1"/>
      <c r="H412" s="1"/>
      <c r="I412" s="4"/>
      <c r="J412" s="1"/>
      <c r="K412" s="1"/>
      <c r="L412" s="5"/>
      <c r="M412" s="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5.75" customHeight="1">
      <c r="A413" s="1"/>
      <c r="B413" s="1"/>
      <c r="C413" s="3"/>
      <c r="D413" s="1"/>
      <c r="E413" s="1"/>
      <c r="F413" s="1"/>
      <c r="G413" s="1"/>
      <c r="H413" s="1"/>
      <c r="I413" s="6"/>
      <c r="J413" s="1"/>
      <c r="K413" s="1"/>
      <c r="L413" s="5"/>
      <c r="M413" s="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5.75" customHeight="1">
      <c r="A414" s="1"/>
      <c r="B414" s="1"/>
      <c r="C414" s="3"/>
      <c r="D414" s="1"/>
      <c r="E414" s="1"/>
      <c r="F414" s="1"/>
      <c r="G414" s="1"/>
      <c r="H414" s="1"/>
      <c r="I414" s="6"/>
      <c r="J414" s="1"/>
      <c r="K414" s="1"/>
      <c r="L414" s="5"/>
      <c r="M414" s="7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5.75" customHeight="1">
      <c r="A415" s="1"/>
      <c r="B415" s="1"/>
      <c r="C415" s="3"/>
      <c r="D415" s="1"/>
      <c r="E415" s="1"/>
      <c r="F415" s="1"/>
      <c r="G415" s="1"/>
      <c r="H415" s="1"/>
      <c r="I415" s="6"/>
      <c r="J415" s="1"/>
      <c r="K415" s="1"/>
      <c r="L415" s="5"/>
      <c r="M415" s="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5.75" customHeight="1">
      <c r="A416" s="1"/>
      <c r="B416" s="1"/>
      <c r="C416" s="3"/>
      <c r="D416" s="1"/>
      <c r="E416" s="1"/>
      <c r="F416" s="1"/>
      <c r="G416" s="1"/>
      <c r="H416" s="1"/>
      <c r="I416" s="6"/>
      <c r="J416" s="1"/>
      <c r="K416" s="1"/>
      <c r="L416" s="5"/>
      <c r="M416" s="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5.75" customHeight="1">
      <c r="A417" s="1"/>
      <c r="B417" s="1"/>
      <c r="C417" s="3"/>
      <c r="D417" s="1"/>
      <c r="E417" s="1"/>
      <c r="F417" s="1"/>
      <c r="G417" s="1"/>
      <c r="H417" s="1"/>
      <c r="I417" s="6"/>
      <c r="J417" s="1"/>
      <c r="K417" s="1"/>
      <c r="L417" s="5"/>
      <c r="M417" s="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5.75" customHeight="1">
      <c r="A418" s="1"/>
      <c r="B418" s="1"/>
      <c r="C418" s="3"/>
      <c r="D418" s="1"/>
      <c r="E418" s="1"/>
      <c r="F418" s="1"/>
      <c r="G418" s="1"/>
      <c r="H418" s="1"/>
      <c r="I418" s="6"/>
      <c r="J418" s="1"/>
      <c r="K418" s="1"/>
      <c r="L418" s="5"/>
      <c r="M418" s="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5.75" customHeight="1">
      <c r="A419" s="1"/>
      <c r="B419" s="1"/>
      <c r="C419" s="3"/>
      <c r="D419" s="1"/>
      <c r="E419" s="1"/>
      <c r="F419" s="1"/>
      <c r="G419" s="1"/>
      <c r="H419" s="1"/>
      <c r="I419" s="6"/>
      <c r="J419" s="1"/>
      <c r="K419" s="1"/>
      <c r="L419" s="5"/>
      <c r="M419" s="7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5.75" customHeight="1">
      <c r="A420" s="1"/>
      <c r="B420" s="1"/>
      <c r="C420" s="3"/>
      <c r="D420" s="1"/>
      <c r="E420" s="1"/>
      <c r="F420" s="1"/>
      <c r="G420" s="1"/>
      <c r="H420" s="1"/>
      <c r="I420" s="6"/>
      <c r="J420" s="1"/>
      <c r="K420" s="1"/>
      <c r="L420" s="5"/>
      <c r="M420" s="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5.75" customHeight="1">
      <c r="A421" s="1"/>
      <c r="B421" s="1"/>
      <c r="C421" s="3"/>
      <c r="D421" s="1"/>
      <c r="E421" s="1"/>
      <c r="F421" s="1"/>
      <c r="G421" s="1"/>
      <c r="H421" s="1"/>
      <c r="I421" s="6"/>
      <c r="J421" s="1"/>
      <c r="K421" s="1"/>
      <c r="L421" s="7"/>
      <c r="M421" s="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5.75" customHeight="1">
      <c r="A422" s="1"/>
      <c r="B422" s="1"/>
      <c r="C422" s="3"/>
      <c r="D422" s="1"/>
      <c r="E422" s="1"/>
      <c r="F422" s="1"/>
      <c r="G422" s="1"/>
      <c r="H422" s="1"/>
      <c r="I422" s="6"/>
      <c r="J422" s="1"/>
      <c r="K422" s="1"/>
      <c r="L422" s="5"/>
      <c r="M422" s="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5.75" customHeight="1">
      <c r="A423" s="1"/>
      <c r="B423" s="1"/>
      <c r="C423" s="3"/>
      <c r="D423" s="1"/>
      <c r="E423" s="1"/>
      <c r="F423" s="1"/>
      <c r="G423" s="1"/>
      <c r="H423" s="1"/>
      <c r="I423" s="6"/>
      <c r="J423" s="1"/>
      <c r="K423" s="1"/>
      <c r="L423" s="7"/>
      <c r="M423" s="7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5.75" customHeight="1">
      <c r="A424" s="1"/>
      <c r="B424" s="1"/>
      <c r="C424" s="3"/>
      <c r="D424" s="1"/>
      <c r="E424" s="1"/>
      <c r="F424" s="1"/>
      <c r="G424" s="1"/>
      <c r="H424" s="1"/>
      <c r="I424" s="6"/>
      <c r="J424" s="1"/>
      <c r="K424" s="1"/>
      <c r="L424" s="5"/>
      <c r="M424" s="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5.75" customHeight="1">
      <c r="A425" s="1"/>
      <c r="B425" s="1"/>
      <c r="C425" s="3"/>
      <c r="D425" s="1"/>
      <c r="E425" s="1"/>
      <c r="F425" s="1"/>
      <c r="G425" s="1"/>
      <c r="H425" s="1"/>
      <c r="I425" s="6"/>
      <c r="J425" s="1"/>
      <c r="K425" s="1"/>
      <c r="L425" s="5"/>
      <c r="M425" s="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5.75" customHeight="1">
      <c r="A426" s="1"/>
      <c r="B426" s="1"/>
      <c r="C426" s="3"/>
      <c r="D426" s="1"/>
      <c r="E426" s="1"/>
      <c r="F426" s="1"/>
      <c r="G426" s="1"/>
      <c r="H426" s="1"/>
      <c r="I426" s="6"/>
      <c r="J426" s="1"/>
      <c r="K426" s="1"/>
      <c r="L426" s="5"/>
      <c r="M426" s="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5.75" customHeight="1">
      <c r="A427" s="1"/>
      <c r="B427" s="1"/>
      <c r="C427" s="3"/>
      <c r="D427" s="1"/>
      <c r="E427" s="1"/>
      <c r="F427" s="1"/>
      <c r="G427" s="1"/>
      <c r="H427" s="1"/>
      <c r="I427" s="6"/>
      <c r="J427" s="1"/>
      <c r="K427" s="1"/>
      <c r="L427" s="5"/>
      <c r="M427" s="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5.75" customHeight="1">
      <c r="A428" s="1"/>
      <c r="B428" s="1"/>
      <c r="C428" s="3"/>
      <c r="D428" s="1"/>
      <c r="E428" s="1"/>
      <c r="F428" s="1"/>
      <c r="G428" s="1"/>
      <c r="H428" s="1"/>
      <c r="I428" s="4"/>
      <c r="J428" s="1"/>
      <c r="K428" s="1"/>
      <c r="L428" s="5"/>
      <c r="M428" s="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5.75" customHeight="1">
      <c r="A429" s="1"/>
      <c r="B429" s="1"/>
      <c r="C429" s="3"/>
      <c r="D429" s="1"/>
      <c r="E429" s="1"/>
      <c r="F429" s="1"/>
      <c r="G429" s="1"/>
      <c r="H429" s="1"/>
      <c r="I429" s="4"/>
      <c r="J429" s="1"/>
      <c r="K429" s="1"/>
      <c r="L429" s="5"/>
      <c r="M429" s="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5.75" customHeight="1">
      <c r="A430" s="1"/>
      <c r="B430" s="1"/>
      <c r="C430" s="3"/>
      <c r="D430" s="1"/>
      <c r="E430" s="1"/>
      <c r="F430" s="1"/>
      <c r="G430" s="1"/>
      <c r="H430" s="1"/>
      <c r="I430" s="4"/>
      <c r="J430" s="1"/>
      <c r="K430" s="1"/>
      <c r="L430" s="5"/>
      <c r="M430" s="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5.75" customHeight="1">
      <c r="A431" s="1"/>
      <c r="B431" s="1"/>
      <c r="C431" s="3"/>
      <c r="D431" s="1"/>
      <c r="E431" s="1"/>
      <c r="F431" s="1"/>
      <c r="G431" s="1"/>
      <c r="H431" s="1"/>
      <c r="I431" s="4"/>
      <c r="J431" s="1"/>
      <c r="K431" s="1"/>
      <c r="L431" s="5"/>
      <c r="M431" s="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5.75" customHeight="1">
      <c r="A432" s="1"/>
      <c r="B432" s="1"/>
      <c r="C432" s="3"/>
      <c r="D432" s="1"/>
      <c r="E432" s="1"/>
      <c r="F432" s="1"/>
      <c r="G432" s="1"/>
      <c r="H432" s="1"/>
      <c r="I432" s="4"/>
      <c r="J432" s="1"/>
      <c r="K432" s="1"/>
      <c r="L432" s="5"/>
      <c r="M432" s="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5.75" customHeight="1">
      <c r="A433" s="1"/>
      <c r="B433" s="1"/>
      <c r="C433" s="3"/>
      <c r="D433" s="1"/>
      <c r="E433" s="1"/>
      <c r="F433" s="1"/>
      <c r="G433" s="1"/>
      <c r="H433" s="1"/>
      <c r="I433" s="4"/>
      <c r="J433" s="1"/>
      <c r="K433" s="1"/>
      <c r="L433" s="5"/>
      <c r="M433" s="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5.75" customHeight="1">
      <c r="A434" s="1"/>
      <c r="B434" s="1"/>
      <c r="C434" s="3"/>
      <c r="D434" s="1"/>
      <c r="E434" s="1"/>
      <c r="F434" s="1"/>
      <c r="G434" s="1"/>
      <c r="H434" s="1"/>
      <c r="I434" s="4"/>
      <c r="J434" s="1"/>
      <c r="K434" s="1"/>
      <c r="L434" s="5"/>
      <c r="M434" s="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5.75" customHeight="1">
      <c r="A435" s="1"/>
      <c r="B435" s="1"/>
      <c r="C435" s="3"/>
      <c r="D435" s="1"/>
      <c r="E435" s="1"/>
      <c r="F435" s="1"/>
      <c r="G435" s="1"/>
      <c r="H435" s="1"/>
      <c r="I435" s="4"/>
      <c r="J435" s="1"/>
      <c r="K435" s="1"/>
      <c r="L435" s="5"/>
      <c r="M435" s="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5.75" customHeight="1">
      <c r="A436" s="1"/>
      <c r="B436" s="1"/>
      <c r="C436" s="3"/>
      <c r="D436" s="1"/>
      <c r="E436" s="1"/>
      <c r="F436" s="1"/>
      <c r="G436" s="1"/>
      <c r="H436" s="1"/>
      <c r="I436" s="4"/>
      <c r="J436" s="1"/>
      <c r="K436" s="1"/>
      <c r="L436" s="7"/>
      <c r="M436" s="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5.75" customHeight="1">
      <c r="A437" s="1"/>
      <c r="B437" s="1"/>
      <c r="C437" s="3"/>
      <c r="D437" s="1"/>
      <c r="E437" s="1"/>
      <c r="F437" s="1"/>
      <c r="G437" s="1"/>
      <c r="H437" s="1"/>
      <c r="I437" s="4"/>
      <c r="J437" s="1"/>
      <c r="K437" s="1"/>
      <c r="L437" s="5"/>
      <c r="M437" s="7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5.75" customHeight="1">
      <c r="A438" s="1"/>
      <c r="B438" s="1"/>
      <c r="C438" s="3"/>
      <c r="D438" s="1"/>
      <c r="E438" s="1"/>
      <c r="F438" s="1"/>
      <c r="G438" s="1"/>
      <c r="H438" s="1"/>
      <c r="I438" s="6"/>
      <c r="J438" s="1"/>
      <c r="K438" s="1"/>
      <c r="L438" s="5"/>
      <c r="M438" s="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5.75" customHeight="1">
      <c r="A439" s="1"/>
      <c r="B439" s="1"/>
      <c r="C439" s="3"/>
      <c r="D439" s="1"/>
      <c r="E439" s="1"/>
      <c r="F439" s="1"/>
      <c r="G439" s="1"/>
      <c r="H439" s="1"/>
      <c r="I439" s="6"/>
      <c r="J439" s="1"/>
      <c r="K439" s="1"/>
      <c r="L439" s="7"/>
      <c r="M439" s="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5.75" customHeight="1">
      <c r="A440" s="1"/>
      <c r="B440" s="1"/>
      <c r="C440" s="3"/>
      <c r="D440" s="1"/>
      <c r="E440" s="1"/>
      <c r="F440" s="1"/>
      <c r="G440" s="1"/>
      <c r="H440" s="1"/>
      <c r="I440" s="6"/>
      <c r="J440" s="1"/>
      <c r="K440" s="1"/>
      <c r="L440" s="5"/>
      <c r="M440" s="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5.75" customHeight="1">
      <c r="A441" s="1"/>
      <c r="B441" s="1"/>
      <c r="C441" s="3"/>
      <c r="D441" s="1"/>
      <c r="E441" s="1"/>
      <c r="F441" s="1"/>
      <c r="G441" s="1"/>
      <c r="H441" s="1"/>
      <c r="I441" s="6"/>
      <c r="J441" s="1"/>
      <c r="K441" s="1"/>
      <c r="L441" s="5"/>
      <c r="M441" s="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5.75" customHeight="1">
      <c r="A442" s="1"/>
      <c r="B442" s="1"/>
      <c r="C442" s="3"/>
      <c r="D442" s="1"/>
      <c r="E442" s="1"/>
      <c r="F442" s="1"/>
      <c r="G442" s="1"/>
      <c r="H442" s="1"/>
      <c r="I442" s="6"/>
      <c r="J442" s="1"/>
      <c r="K442" s="1"/>
      <c r="L442" s="7"/>
      <c r="M442" s="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5.75" customHeight="1">
      <c r="A443" s="1"/>
      <c r="B443" s="1"/>
      <c r="C443" s="3"/>
      <c r="D443" s="1"/>
      <c r="E443" s="1"/>
      <c r="F443" s="1"/>
      <c r="G443" s="1"/>
      <c r="H443" s="1"/>
      <c r="I443" s="6"/>
      <c r="J443" s="1"/>
      <c r="K443" s="1"/>
      <c r="L443" s="5"/>
      <c r="M443" s="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5.75" customHeight="1">
      <c r="A444" s="1"/>
      <c r="B444" s="1"/>
      <c r="C444" s="3"/>
      <c r="D444" s="1"/>
      <c r="E444" s="1"/>
      <c r="F444" s="1"/>
      <c r="G444" s="1"/>
      <c r="H444" s="1"/>
      <c r="I444" s="6"/>
      <c r="J444" s="1"/>
      <c r="K444" s="1"/>
      <c r="L444" s="5"/>
      <c r="M444" s="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5.75" customHeight="1">
      <c r="A445" s="1"/>
      <c r="B445" s="1"/>
      <c r="C445" s="3"/>
      <c r="D445" s="1"/>
      <c r="E445" s="1"/>
      <c r="F445" s="1"/>
      <c r="G445" s="1"/>
      <c r="H445" s="1"/>
      <c r="I445" s="6"/>
      <c r="J445" s="1"/>
      <c r="K445" s="1"/>
      <c r="L445" s="5"/>
      <c r="M445" s="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5.75" customHeight="1">
      <c r="A446" s="1"/>
      <c r="B446" s="1"/>
      <c r="C446" s="3"/>
      <c r="D446" s="1"/>
      <c r="E446" s="1"/>
      <c r="F446" s="1"/>
      <c r="G446" s="1"/>
      <c r="H446" s="1"/>
      <c r="I446" s="6"/>
      <c r="J446" s="1"/>
      <c r="K446" s="1"/>
      <c r="L446" s="5"/>
      <c r="M446" s="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5.75" customHeight="1">
      <c r="A447" s="1"/>
      <c r="B447" s="1"/>
      <c r="C447" s="3"/>
      <c r="D447" s="1"/>
      <c r="E447" s="1"/>
      <c r="F447" s="1"/>
      <c r="G447" s="1"/>
      <c r="H447" s="1"/>
      <c r="I447" s="6"/>
      <c r="J447" s="1"/>
      <c r="K447" s="1"/>
      <c r="L447" s="5"/>
      <c r="M447" s="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5.75" customHeight="1">
      <c r="A448" s="1"/>
      <c r="B448" s="1"/>
      <c r="C448" s="3"/>
      <c r="D448" s="1"/>
      <c r="E448" s="1"/>
      <c r="F448" s="1"/>
      <c r="G448" s="1"/>
      <c r="H448" s="1"/>
      <c r="I448" s="6"/>
      <c r="J448" s="1"/>
      <c r="K448" s="1"/>
      <c r="L448" s="5"/>
      <c r="M448" s="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5.75" customHeight="1">
      <c r="A449" s="1"/>
      <c r="B449" s="1"/>
      <c r="C449" s="3"/>
      <c r="D449" s="1"/>
      <c r="E449" s="1"/>
      <c r="F449" s="1"/>
      <c r="G449" s="1"/>
      <c r="H449" s="1"/>
      <c r="I449" s="6"/>
      <c r="J449" s="1"/>
      <c r="K449" s="1"/>
      <c r="L449" s="5"/>
      <c r="M449" s="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5.75" customHeight="1">
      <c r="A450" s="1"/>
      <c r="B450" s="1"/>
      <c r="C450" s="3"/>
      <c r="D450" s="1"/>
      <c r="E450" s="1"/>
      <c r="F450" s="1"/>
      <c r="G450" s="1"/>
      <c r="H450" s="1"/>
      <c r="I450" s="4"/>
      <c r="J450" s="1"/>
      <c r="K450" s="1"/>
      <c r="L450" s="7"/>
      <c r="M450" s="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5.75" customHeight="1">
      <c r="A451" s="1"/>
      <c r="B451" s="1"/>
      <c r="C451" s="3"/>
      <c r="D451" s="1"/>
      <c r="E451" s="1"/>
      <c r="F451" s="1"/>
      <c r="G451" s="1"/>
      <c r="H451" s="1"/>
      <c r="I451" s="6"/>
      <c r="J451" s="1"/>
      <c r="K451" s="1"/>
      <c r="L451" s="7"/>
      <c r="M451" s="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5.75" customHeight="1">
      <c r="A452" s="1"/>
      <c r="B452" s="1"/>
      <c r="C452" s="3"/>
      <c r="D452" s="1"/>
      <c r="E452" s="1"/>
      <c r="F452" s="1"/>
      <c r="G452" s="1"/>
      <c r="H452" s="1"/>
      <c r="I452" s="6"/>
      <c r="J452" s="1"/>
      <c r="K452" s="1"/>
      <c r="L452" s="7"/>
      <c r="M452" s="7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5.75" customHeight="1">
      <c r="A453" s="1"/>
      <c r="B453" s="1"/>
      <c r="C453" s="3"/>
      <c r="D453" s="1"/>
      <c r="E453" s="1"/>
      <c r="F453" s="1"/>
      <c r="G453" s="1"/>
      <c r="H453" s="1"/>
      <c r="I453" s="6"/>
      <c r="J453" s="1"/>
      <c r="K453" s="1"/>
      <c r="L453" s="5"/>
      <c r="M453" s="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5.75" customHeight="1">
      <c r="A454" s="1"/>
      <c r="B454" s="1"/>
      <c r="C454" s="3"/>
      <c r="D454" s="1"/>
      <c r="E454" s="1"/>
      <c r="F454" s="1"/>
      <c r="G454" s="1"/>
      <c r="H454" s="1"/>
      <c r="I454" s="6"/>
      <c r="J454" s="1"/>
      <c r="K454" s="1"/>
      <c r="L454" s="5"/>
      <c r="M454" s="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5.75" customHeight="1">
      <c r="A455" s="1"/>
      <c r="B455" s="1"/>
      <c r="C455" s="3"/>
      <c r="D455" s="1"/>
      <c r="E455" s="1"/>
      <c r="F455" s="1"/>
      <c r="G455" s="1"/>
      <c r="H455" s="1"/>
      <c r="I455" s="6"/>
      <c r="J455" s="1"/>
      <c r="K455" s="1"/>
      <c r="L455" s="5"/>
      <c r="M455" s="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5.75" customHeight="1">
      <c r="A456" s="1"/>
      <c r="B456" s="1"/>
      <c r="C456" s="3"/>
      <c r="D456" s="1"/>
      <c r="E456" s="1"/>
      <c r="F456" s="1"/>
      <c r="G456" s="1"/>
      <c r="H456" s="1"/>
      <c r="I456" s="6"/>
      <c r="J456" s="1"/>
      <c r="K456" s="1"/>
      <c r="L456" s="5"/>
      <c r="M456" s="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5.75" customHeight="1">
      <c r="A457" s="1"/>
      <c r="B457" s="1"/>
      <c r="C457" s="3"/>
      <c r="D457" s="1"/>
      <c r="E457" s="1"/>
      <c r="F457" s="1"/>
      <c r="G457" s="1"/>
      <c r="H457" s="1"/>
      <c r="I457" s="4"/>
      <c r="J457" s="1"/>
      <c r="K457" s="1"/>
      <c r="L457" s="5"/>
      <c r="M457" s="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5.75" customHeight="1">
      <c r="A458" s="1"/>
      <c r="B458" s="1"/>
      <c r="C458" s="3"/>
      <c r="D458" s="1"/>
      <c r="E458" s="1"/>
      <c r="F458" s="1"/>
      <c r="G458" s="1"/>
      <c r="H458" s="1"/>
      <c r="I458" s="4"/>
      <c r="J458" s="1"/>
      <c r="K458" s="1"/>
      <c r="L458" s="5"/>
      <c r="M458" s="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5.75" customHeight="1">
      <c r="A459" s="1"/>
      <c r="B459" s="1"/>
      <c r="C459" s="3"/>
      <c r="D459" s="1"/>
      <c r="E459" s="1"/>
      <c r="F459" s="1"/>
      <c r="G459" s="1"/>
      <c r="H459" s="1"/>
      <c r="I459" s="4"/>
      <c r="J459" s="1"/>
      <c r="K459" s="1"/>
      <c r="L459" s="5"/>
      <c r="M459" s="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5.75" customHeight="1">
      <c r="A460" s="1"/>
      <c r="B460" s="1"/>
      <c r="C460" s="3"/>
      <c r="D460" s="1"/>
      <c r="E460" s="1"/>
      <c r="F460" s="1"/>
      <c r="G460" s="1"/>
      <c r="H460" s="1"/>
      <c r="I460" s="4"/>
      <c r="J460" s="1"/>
      <c r="K460" s="1"/>
      <c r="L460" s="5"/>
      <c r="M460" s="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5.75" customHeight="1">
      <c r="A461" s="1"/>
      <c r="B461" s="1"/>
      <c r="C461" s="3"/>
      <c r="D461" s="1"/>
      <c r="E461" s="1"/>
      <c r="F461" s="1"/>
      <c r="G461" s="1"/>
      <c r="H461" s="1"/>
      <c r="I461" s="4"/>
      <c r="J461" s="1"/>
      <c r="K461" s="1"/>
      <c r="L461" s="5"/>
      <c r="M461" s="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5.75" customHeight="1">
      <c r="A462" s="1"/>
      <c r="B462" s="1"/>
      <c r="C462" s="3"/>
      <c r="D462" s="1"/>
      <c r="E462" s="1"/>
      <c r="F462" s="1"/>
      <c r="G462" s="1"/>
      <c r="H462" s="1"/>
      <c r="I462" s="4"/>
      <c r="J462" s="1"/>
      <c r="K462" s="1"/>
      <c r="L462" s="7"/>
      <c r="M462" s="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5.75" customHeight="1">
      <c r="A463" s="1"/>
      <c r="B463" s="1"/>
      <c r="C463" s="3"/>
      <c r="D463" s="1"/>
      <c r="E463" s="1"/>
      <c r="F463" s="1"/>
      <c r="G463" s="1"/>
      <c r="H463" s="1"/>
      <c r="I463" s="4"/>
      <c r="J463" s="1"/>
      <c r="K463" s="1"/>
      <c r="L463" s="5"/>
      <c r="M463" s="7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5.75" customHeight="1">
      <c r="A464" s="1"/>
      <c r="B464" s="1"/>
      <c r="C464" s="3"/>
      <c r="D464" s="1"/>
      <c r="E464" s="1"/>
      <c r="F464" s="1"/>
      <c r="G464" s="1"/>
      <c r="H464" s="1"/>
      <c r="I464" s="6"/>
      <c r="J464" s="1"/>
      <c r="K464" s="1"/>
      <c r="L464" s="5"/>
      <c r="M464" s="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5.75" customHeight="1">
      <c r="A465" s="1"/>
      <c r="B465" s="1"/>
      <c r="C465" s="3"/>
      <c r="D465" s="1"/>
      <c r="E465" s="1"/>
      <c r="F465" s="1"/>
      <c r="G465" s="1"/>
      <c r="H465" s="1"/>
      <c r="I465" s="6"/>
      <c r="J465" s="1"/>
      <c r="K465" s="1"/>
      <c r="L465" s="5"/>
      <c r="M465" s="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5.75" customHeight="1">
      <c r="A466" s="1"/>
      <c r="B466" s="1"/>
      <c r="C466" s="3"/>
      <c r="D466" s="1"/>
      <c r="E466" s="1"/>
      <c r="F466" s="1"/>
      <c r="G466" s="1"/>
      <c r="H466" s="1"/>
      <c r="I466" s="6"/>
      <c r="J466" s="1"/>
      <c r="K466" s="1"/>
      <c r="L466" s="5"/>
      <c r="M466" s="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5.75" customHeight="1">
      <c r="A467" s="1"/>
      <c r="B467" s="1"/>
      <c r="C467" s="3"/>
      <c r="D467" s="1"/>
      <c r="E467" s="1"/>
      <c r="F467" s="1"/>
      <c r="G467" s="1"/>
      <c r="H467" s="1"/>
      <c r="I467" s="6"/>
      <c r="J467" s="1"/>
      <c r="K467" s="1"/>
      <c r="L467" s="7"/>
      <c r="M467" s="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5.75" customHeight="1">
      <c r="A468" s="1"/>
      <c r="B468" s="1"/>
      <c r="C468" s="3"/>
      <c r="D468" s="1"/>
      <c r="E468" s="1"/>
      <c r="F468" s="1"/>
      <c r="G468" s="1"/>
      <c r="H468" s="1"/>
      <c r="I468" s="6"/>
      <c r="J468" s="1"/>
      <c r="K468" s="1"/>
      <c r="L468" s="5"/>
      <c r="M468" s="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5.75" customHeight="1">
      <c r="A469" s="1"/>
      <c r="B469" s="1"/>
      <c r="C469" s="3"/>
      <c r="D469" s="1"/>
      <c r="E469" s="1"/>
      <c r="F469" s="1"/>
      <c r="G469" s="1"/>
      <c r="H469" s="1"/>
      <c r="I469" s="6"/>
      <c r="J469" s="1"/>
      <c r="K469" s="1"/>
      <c r="L469" s="5"/>
      <c r="M469" s="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5.75" customHeight="1">
      <c r="A470" s="1"/>
      <c r="B470" s="1"/>
      <c r="C470" s="3"/>
      <c r="D470" s="1"/>
      <c r="E470" s="1"/>
      <c r="F470" s="1"/>
      <c r="G470" s="1"/>
      <c r="H470" s="1"/>
      <c r="I470" s="6"/>
      <c r="J470" s="1"/>
      <c r="K470" s="1"/>
      <c r="L470" s="5"/>
      <c r="M470" s="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5.75" customHeight="1">
      <c r="A471" s="1"/>
      <c r="B471" s="1"/>
      <c r="C471" s="3"/>
      <c r="D471" s="1"/>
      <c r="E471" s="1"/>
      <c r="F471" s="1"/>
      <c r="G471" s="1"/>
      <c r="H471" s="1"/>
      <c r="I471" s="6"/>
      <c r="J471" s="1"/>
      <c r="K471" s="1"/>
      <c r="L471" s="7"/>
      <c r="M471" s="7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5.75" customHeight="1">
      <c r="A472" s="1"/>
      <c r="B472" s="1"/>
      <c r="C472" s="3"/>
      <c r="D472" s="1"/>
      <c r="E472" s="1"/>
      <c r="F472" s="1"/>
      <c r="G472" s="1"/>
      <c r="H472" s="1"/>
      <c r="I472" s="6"/>
      <c r="J472" s="1"/>
      <c r="K472" s="1"/>
      <c r="L472" s="5"/>
      <c r="M472" s="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5.75" customHeight="1">
      <c r="A473" s="1"/>
      <c r="B473" s="1"/>
      <c r="C473" s="3"/>
      <c r="D473" s="1"/>
      <c r="E473" s="1"/>
      <c r="F473" s="1"/>
      <c r="G473" s="1"/>
      <c r="H473" s="1"/>
      <c r="I473" s="6"/>
      <c r="J473" s="1"/>
      <c r="K473" s="1"/>
      <c r="L473" s="5"/>
      <c r="M473" s="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5.75" customHeight="1">
      <c r="A474" s="1"/>
      <c r="B474" s="1"/>
      <c r="C474" s="3"/>
      <c r="D474" s="1"/>
      <c r="E474" s="1"/>
      <c r="F474" s="1"/>
      <c r="G474" s="1"/>
      <c r="H474" s="1"/>
      <c r="I474" s="6"/>
      <c r="J474" s="1"/>
      <c r="K474" s="1"/>
      <c r="L474" s="7"/>
      <c r="M474" s="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5.75" customHeight="1">
      <c r="A475" s="1"/>
      <c r="B475" s="1"/>
      <c r="C475" s="3"/>
      <c r="D475" s="1"/>
      <c r="E475" s="1"/>
      <c r="F475" s="1"/>
      <c r="G475" s="1"/>
      <c r="H475" s="1"/>
      <c r="I475" s="6"/>
      <c r="J475" s="1"/>
      <c r="K475" s="1"/>
      <c r="L475" s="5"/>
      <c r="M475" s="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5.75" customHeight="1">
      <c r="A476" s="1"/>
      <c r="B476" s="1"/>
      <c r="C476" s="3"/>
      <c r="D476" s="1"/>
      <c r="E476" s="1"/>
      <c r="F476" s="1"/>
      <c r="G476" s="1"/>
      <c r="H476" s="1"/>
      <c r="I476" s="6"/>
      <c r="J476" s="1"/>
      <c r="K476" s="1"/>
      <c r="L476" s="5"/>
      <c r="M476" s="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5.75" customHeight="1">
      <c r="A477" s="1"/>
      <c r="B477" s="1"/>
      <c r="C477" s="3"/>
      <c r="D477" s="1"/>
      <c r="E477" s="1"/>
      <c r="F477" s="1"/>
      <c r="G477" s="1"/>
      <c r="H477" s="1"/>
      <c r="I477" s="6"/>
      <c r="J477" s="1"/>
      <c r="K477" s="1"/>
      <c r="L477" s="5"/>
      <c r="M477" s="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5.75" customHeight="1">
      <c r="A478" s="1"/>
      <c r="B478" s="1"/>
      <c r="C478" s="3"/>
      <c r="D478" s="1"/>
      <c r="E478" s="1"/>
      <c r="F478" s="1"/>
      <c r="G478" s="1"/>
      <c r="H478" s="1"/>
      <c r="I478" s="4"/>
      <c r="J478" s="1"/>
      <c r="K478" s="1"/>
      <c r="L478" s="5"/>
      <c r="M478" s="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5.75" customHeight="1">
      <c r="A479" s="1"/>
      <c r="B479" s="1"/>
      <c r="C479" s="3"/>
      <c r="D479" s="1"/>
      <c r="E479" s="1"/>
      <c r="F479" s="1"/>
      <c r="G479" s="1"/>
      <c r="H479" s="1"/>
      <c r="I479" s="4"/>
      <c r="J479" s="1"/>
      <c r="K479" s="1"/>
      <c r="L479" s="7"/>
      <c r="M479" s="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5.75" customHeight="1">
      <c r="A480" s="1"/>
      <c r="B480" s="1"/>
      <c r="C480" s="3"/>
      <c r="D480" s="1"/>
      <c r="E480" s="1"/>
      <c r="F480" s="1"/>
      <c r="G480" s="1"/>
      <c r="H480" s="1"/>
      <c r="I480" s="4"/>
      <c r="J480" s="1"/>
      <c r="K480" s="1"/>
      <c r="L480" s="5"/>
      <c r="M480" s="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5.75" customHeight="1">
      <c r="A481" s="1"/>
      <c r="B481" s="1"/>
      <c r="C481" s="3"/>
      <c r="D481" s="1"/>
      <c r="E481" s="1"/>
      <c r="F481" s="1"/>
      <c r="G481" s="1"/>
      <c r="H481" s="1"/>
      <c r="I481" s="4"/>
      <c r="J481" s="1"/>
      <c r="K481" s="1"/>
      <c r="L481" s="5"/>
      <c r="M481" s="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5.75" customHeight="1">
      <c r="A482" s="1"/>
      <c r="B482" s="1"/>
      <c r="C482" s="3"/>
      <c r="D482" s="1"/>
      <c r="E482" s="1"/>
      <c r="F482" s="1"/>
      <c r="G482" s="1"/>
      <c r="H482" s="1"/>
      <c r="I482" s="4"/>
      <c r="J482" s="1"/>
      <c r="K482" s="1"/>
      <c r="L482" s="7"/>
      <c r="M482" s="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5.75" customHeight="1">
      <c r="A483" s="1"/>
      <c r="B483" s="1"/>
      <c r="C483" s="3"/>
      <c r="D483" s="1"/>
      <c r="E483" s="1"/>
      <c r="F483" s="1"/>
      <c r="G483" s="1"/>
      <c r="H483" s="1"/>
      <c r="I483" s="4"/>
      <c r="J483" s="1"/>
      <c r="K483" s="1"/>
      <c r="L483" s="5"/>
      <c r="M483" s="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5.75" customHeight="1">
      <c r="A484" s="1"/>
      <c r="B484" s="1"/>
      <c r="C484" s="3"/>
      <c r="D484" s="1"/>
      <c r="E484" s="1"/>
      <c r="F484" s="1"/>
      <c r="G484" s="1"/>
      <c r="H484" s="1"/>
      <c r="I484" s="4"/>
      <c r="J484" s="1"/>
      <c r="K484" s="1"/>
      <c r="L484" s="5"/>
      <c r="M484" s="7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5.75" customHeight="1">
      <c r="A485" s="1"/>
      <c r="B485" s="1"/>
      <c r="C485" s="3"/>
      <c r="D485" s="1"/>
      <c r="E485" s="1"/>
      <c r="F485" s="1"/>
      <c r="G485" s="1"/>
      <c r="H485" s="1"/>
      <c r="I485" s="4"/>
      <c r="J485" s="1"/>
      <c r="K485" s="1"/>
      <c r="L485" s="5"/>
      <c r="M485" s="5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5.75" customHeight="1">
      <c r="A486" s="1"/>
      <c r="B486" s="1"/>
      <c r="C486" s="3"/>
      <c r="D486" s="1"/>
      <c r="E486" s="1"/>
      <c r="F486" s="1"/>
      <c r="G486" s="1"/>
      <c r="H486" s="1"/>
      <c r="I486" s="4"/>
      <c r="J486" s="1"/>
      <c r="K486" s="1"/>
      <c r="L486" s="5"/>
      <c r="M486" s="5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5.75" customHeight="1">
      <c r="A487" s="1"/>
      <c r="B487" s="1"/>
      <c r="C487" s="3"/>
      <c r="D487" s="1"/>
      <c r="E487" s="1"/>
      <c r="F487" s="1"/>
      <c r="G487" s="1"/>
      <c r="H487" s="1"/>
      <c r="I487" s="4"/>
      <c r="J487" s="1"/>
      <c r="K487" s="1"/>
      <c r="L487" s="5"/>
      <c r="M487" s="5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5.75" customHeight="1">
      <c r="A488" s="1"/>
      <c r="B488" s="1"/>
      <c r="C488" s="3"/>
      <c r="D488" s="1"/>
      <c r="E488" s="1"/>
      <c r="F488" s="1"/>
      <c r="G488" s="1"/>
      <c r="H488" s="1"/>
      <c r="I488" s="4"/>
      <c r="J488" s="1"/>
      <c r="K488" s="1"/>
      <c r="L488" s="5"/>
      <c r="M488" s="5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5.75" customHeight="1">
      <c r="A489" s="1"/>
      <c r="B489" s="1"/>
      <c r="C489" s="3"/>
      <c r="D489" s="1"/>
      <c r="E489" s="1"/>
      <c r="F489" s="1"/>
      <c r="G489" s="1"/>
      <c r="H489" s="1"/>
      <c r="I489" s="4"/>
      <c r="J489" s="1"/>
      <c r="K489" s="1"/>
      <c r="L489" s="7"/>
      <c r="M489" s="7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5.75" customHeight="1">
      <c r="A490" s="1"/>
      <c r="B490" s="1"/>
      <c r="C490" s="3"/>
      <c r="D490" s="1"/>
      <c r="E490" s="1"/>
      <c r="F490" s="1"/>
      <c r="G490" s="1"/>
      <c r="H490" s="1"/>
      <c r="I490" s="4"/>
      <c r="J490" s="1"/>
      <c r="K490" s="1"/>
      <c r="L490" s="5"/>
      <c r="M490" s="5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5.75" customHeight="1">
      <c r="A491" s="1"/>
      <c r="B491" s="1"/>
      <c r="C491" s="3"/>
      <c r="D491" s="1"/>
      <c r="E491" s="1"/>
      <c r="F491" s="1"/>
      <c r="G491" s="1"/>
      <c r="H491" s="1"/>
      <c r="I491" s="4"/>
      <c r="J491" s="1"/>
      <c r="K491" s="1"/>
      <c r="L491" s="5"/>
      <c r="M491" s="5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5.75" customHeight="1">
      <c r="A492" s="1"/>
      <c r="B492" s="1"/>
      <c r="C492" s="3"/>
      <c r="D492" s="1"/>
      <c r="E492" s="1"/>
      <c r="F492" s="1"/>
      <c r="G492" s="1"/>
      <c r="H492" s="1"/>
      <c r="I492" s="4"/>
      <c r="J492" s="1"/>
      <c r="K492" s="1"/>
      <c r="L492" s="5"/>
      <c r="M492" s="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5.75" customHeight="1">
      <c r="A493" s="1"/>
      <c r="B493" s="1"/>
      <c r="C493" s="3"/>
      <c r="D493" s="1"/>
      <c r="E493" s="1"/>
      <c r="F493" s="1"/>
      <c r="G493" s="1"/>
      <c r="H493" s="1"/>
      <c r="I493" s="4"/>
      <c r="J493" s="1"/>
      <c r="K493" s="1"/>
      <c r="L493" s="5"/>
      <c r="M493" s="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5.75" customHeight="1">
      <c r="A494" s="1"/>
      <c r="B494" s="1"/>
      <c r="C494" s="3"/>
      <c r="D494" s="1"/>
      <c r="E494" s="1"/>
      <c r="F494" s="1"/>
      <c r="G494" s="1"/>
      <c r="H494" s="1"/>
      <c r="I494" s="4"/>
      <c r="J494" s="1"/>
      <c r="K494" s="1"/>
      <c r="L494" s="5"/>
      <c r="M494" s="5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5.75" customHeight="1">
      <c r="A495" s="1"/>
      <c r="B495" s="1"/>
      <c r="C495" s="3"/>
      <c r="D495" s="1"/>
      <c r="E495" s="1"/>
      <c r="F495" s="1"/>
      <c r="G495" s="1"/>
      <c r="H495" s="1"/>
      <c r="I495" s="6"/>
      <c r="J495" s="1"/>
      <c r="K495" s="1"/>
      <c r="L495" s="5"/>
      <c r="M495" s="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5.75" customHeight="1">
      <c r="A496" s="1"/>
      <c r="B496" s="1"/>
      <c r="C496" s="3"/>
      <c r="D496" s="1"/>
      <c r="E496" s="1"/>
      <c r="F496" s="1"/>
      <c r="G496" s="1"/>
      <c r="H496" s="1"/>
      <c r="I496" s="6"/>
      <c r="J496" s="1"/>
      <c r="K496" s="1"/>
      <c r="L496" s="5"/>
      <c r="M496" s="5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5.75" customHeight="1">
      <c r="A497" s="1"/>
      <c r="B497" s="1"/>
      <c r="C497" s="3"/>
      <c r="D497" s="1"/>
      <c r="E497" s="1"/>
      <c r="F497" s="1"/>
      <c r="G497" s="1"/>
      <c r="H497" s="1"/>
      <c r="I497" s="6"/>
      <c r="J497" s="1"/>
      <c r="K497" s="1"/>
      <c r="L497" s="5"/>
      <c r="M497" s="7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5.75" customHeight="1">
      <c r="A498" s="1"/>
      <c r="B498" s="1"/>
      <c r="C498" s="3"/>
      <c r="D498" s="1"/>
      <c r="E498" s="1"/>
      <c r="F498" s="1"/>
      <c r="G498" s="1"/>
      <c r="H498" s="1"/>
      <c r="I498" s="6"/>
      <c r="J498" s="1"/>
      <c r="K498" s="1"/>
      <c r="L498" s="7"/>
      <c r="M498" s="5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5.75" customHeight="1">
      <c r="A499" s="1"/>
      <c r="B499" s="1"/>
      <c r="C499" s="3"/>
      <c r="D499" s="1"/>
      <c r="E499" s="1"/>
      <c r="F499" s="1"/>
      <c r="G499" s="1"/>
      <c r="H499" s="1"/>
      <c r="I499" s="6"/>
      <c r="J499" s="1"/>
      <c r="K499" s="1"/>
      <c r="L499" s="5"/>
      <c r="M499" s="5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5.75" customHeight="1">
      <c r="A500" s="1"/>
      <c r="B500" s="1"/>
      <c r="C500" s="3"/>
      <c r="D500" s="1"/>
      <c r="E500" s="1"/>
      <c r="F500" s="1"/>
      <c r="G500" s="1"/>
      <c r="H500" s="1"/>
      <c r="I500" s="6"/>
      <c r="J500" s="1"/>
      <c r="K500" s="1"/>
      <c r="L500" s="5"/>
      <c r="M500" s="5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5.75" customHeight="1">
      <c r="A501" s="1"/>
      <c r="B501" s="1"/>
      <c r="C501" s="3"/>
      <c r="D501" s="1"/>
      <c r="E501" s="1"/>
      <c r="F501" s="1"/>
      <c r="G501" s="1"/>
      <c r="H501" s="1"/>
      <c r="I501" s="6"/>
      <c r="J501" s="1"/>
      <c r="K501" s="1"/>
      <c r="L501" s="7"/>
      <c r="M501" s="5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5.75" customHeight="1">
      <c r="A502" s="1"/>
      <c r="B502" s="1"/>
      <c r="C502" s="3"/>
      <c r="D502" s="1"/>
      <c r="E502" s="1"/>
      <c r="F502" s="1"/>
      <c r="G502" s="1"/>
      <c r="H502" s="1"/>
      <c r="I502" s="6"/>
      <c r="J502" s="1"/>
      <c r="K502" s="1"/>
      <c r="L502" s="5"/>
      <c r="M502" s="5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5.75" customHeight="1">
      <c r="A503" s="1"/>
      <c r="B503" s="1"/>
      <c r="C503" s="3"/>
      <c r="D503" s="1"/>
      <c r="E503" s="1"/>
      <c r="F503" s="1"/>
      <c r="G503" s="1"/>
      <c r="H503" s="1"/>
      <c r="I503" s="4"/>
      <c r="J503" s="1"/>
      <c r="K503" s="1"/>
      <c r="L503" s="5"/>
      <c r="M503" s="7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5.75" customHeight="1">
      <c r="A504" s="1"/>
      <c r="B504" s="1"/>
      <c r="C504" s="3"/>
      <c r="D504" s="1"/>
      <c r="E504" s="1"/>
      <c r="F504" s="1"/>
      <c r="G504" s="1"/>
      <c r="H504" s="1"/>
      <c r="I504" s="4"/>
      <c r="J504" s="1"/>
      <c r="K504" s="1"/>
      <c r="L504" s="5"/>
      <c r="M504" s="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5.75" customHeight="1">
      <c r="A505" s="1"/>
      <c r="B505" s="1"/>
      <c r="C505" s="3"/>
      <c r="D505" s="1"/>
      <c r="E505" s="1"/>
      <c r="F505" s="1"/>
      <c r="G505" s="1"/>
      <c r="H505" s="1"/>
      <c r="I505" s="4"/>
      <c r="J505" s="1"/>
      <c r="K505" s="1"/>
      <c r="L505" s="7"/>
      <c r="M505" s="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5.75" customHeight="1">
      <c r="A506" s="1"/>
      <c r="B506" s="1"/>
      <c r="C506" s="3"/>
      <c r="D506" s="1"/>
      <c r="E506" s="1"/>
      <c r="F506" s="1"/>
      <c r="G506" s="1"/>
      <c r="H506" s="1"/>
      <c r="I506" s="4"/>
      <c r="J506" s="1"/>
      <c r="K506" s="1"/>
      <c r="L506" s="5"/>
      <c r="M506" s="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5.75" customHeight="1">
      <c r="A507" s="1"/>
      <c r="B507" s="1"/>
      <c r="C507" s="3"/>
      <c r="D507" s="1"/>
      <c r="E507" s="1"/>
      <c r="F507" s="1"/>
      <c r="G507" s="1"/>
      <c r="H507" s="1"/>
      <c r="I507" s="4"/>
      <c r="J507" s="1"/>
      <c r="K507" s="1"/>
      <c r="L507" s="5"/>
      <c r="M507" s="5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5.75" customHeight="1">
      <c r="A508" s="1"/>
      <c r="B508" s="1"/>
      <c r="C508" s="3"/>
      <c r="D508" s="1"/>
      <c r="E508" s="1"/>
      <c r="F508" s="1"/>
      <c r="G508" s="1"/>
      <c r="H508" s="1"/>
      <c r="I508" s="4"/>
      <c r="J508" s="1"/>
      <c r="K508" s="1"/>
      <c r="L508" s="5"/>
      <c r="M508" s="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5.75" customHeight="1">
      <c r="A509" s="1"/>
      <c r="B509" s="1"/>
      <c r="C509" s="3"/>
      <c r="D509" s="1"/>
      <c r="E509" s="1"/>
      <c r="F509" s="1"/>
      <c r="G509" s="1"/>
      <c r="H509" s="1"/>
      <c r="I509" s="4"/>
      <c r="J509" s="1"/>
      <c r="K509" s="1"/>
      <c r="L509" s="5"/>
      <c r="M509" s="7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5.75" customHeight="1">
      <c r="A510" s="1"/>
      <c r="B510" s="1"/>
      <c r="C510" s="3"/>
      <c r="D510" s="1"/>
      <c r="E510" s="1"/>
      <c r="F510" s="1"/>
      <c r="G510" s="1"/>
      <c r="H510" s="1"/>
      <c r="I510" s="4"/>
      <c r="J510" s="1"/>
      <c r="K510" s="1"/>
      <c r="L510" s="5"/>
      <c r="M510" s="5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5.75" customHeight="1">
      <c r="A511" s="1"/>
      <c r="B511" s="1"/>
      <c r="C511" s="3"/>
      <c r="D511" s="1"/>
      <c r="E511" s="1"/>
      <c r="F511" s="1"/>
      <c r="G511" s="1"/>
      <c r="H511" s="1"/>
      <c r="I511" s="6"/>
      <c r="J511" s="1"/>
      <c r="K511" s="1"/>
      <c r="L511" s="5"/>
      <c r="M511" s="7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5.75" customHeight="1">
      <c r="A512" s="1"/>
      <c r="B512" s="1"/>
      <c r="C512" s="3"/>
      <c r="D512" s="1"/>
      <c r="E512" s="1"/>
      <c r="F512" s="1"/>
      <c r="G512" s="1"/>
      <c r="H512" s="1"/>
      <c r="I512" s="6"/>
      <c r="J512" s="1"/>
      <c r="K512" s="1"/>
      <c r="L512" s="5"/>
      <c r="M512" s="5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5.75" customHeight="1">
      <c r="A513" s="1"/>
      <c r="B513" s="1"/>
      <c r="C513" s="3"/>
      <c r="D513" s="1"/>
      <c r="E513" s="1"/>
      <c r="F513" s="1"/>
      <c r="G513" s="1"/>
      <c r="H513" s="1"/>
      <c r="I513" s="6"/>
      <c r="J513" s="1"/>
      <c r="K513" s="1"/>
      <c r="L513" s="7"/>
      <c r="M513" s="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5.75" customHeight="1">
      <c r="A514" s="1"/>
      <c r="B514" s="1"/>
      <c r="C514" s="3"/>
      <c r="D514" s="1"/>
      <c r="E514" s="1"/>
      <c r="F514" s="1"/>
      <c r="G514" s="1"/>
      <c r="H514" s="1"/>
      <c r="I514" s="6"/>
      <c r="J514" s="1"/>
      <c r="K514" s="1"/>
      <c r="L514" s="5"/>
      <c r="M514" s="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5.75" customHeight="1">
      <c r="A515" s="1"/>
      <c r="B515" s="1"/>
      <c r="C515" s="3"/>
      <c r="D515" s="1"/>
      <c r="E515" s="1"/>
      <c r="F515" s="1"/>
      <c r="G515" s="1"/>
      <c r="H515" s="1"/>
      <c r="I515" s="6"/>
      <c r="J515" s="1"/>
      <c r="K515" s="1"/>
      <c r="L515" s="5"/>
      <c r="M515" s="5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5.75" customHeight="1">
      <c r="A516" s="1"/>
      <c r="B516" s="1"/>
      <c r="C516" s="3"/>
      <c r="D516" s="1"/>
      <c r="E516" s="1"/>
      <c r="F516" s="1"/>
      <c r="G516" s="1"/>
      <c r="H516" s="1"/>
      <c r="I516" s="6"/>
      <c r="J516" s="1"/>
      <c r="K516" s="1"/>
      <c r="L516" s="7"/>
      <c r="M516" s="7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5.75" customHeight="1">
      <c r="A517" s="1"/>
      <c r="B517" s="1"/>
      <c r="C517" s="3"/>
      <c r="D517" s="1"/>
      <c r="E517" s="1"/>
      <c r="F517" s="1"/>
      <c r="G517" s="1"/>
      <c r="H517" s="1"/>
      <c r="I517" s="6"/>
      <c r="J517" s="1"/>
      <c r="K517" s="1"/>
      <c r="L517" s="5"/>
      <c r="M517" s="5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5.75" customHeight="1">
      <c r="A518" s="1"/>
      <c r="B518" s="1"/>
      <c r="C518" s="3"/>
      <c r="D518" s="1"/>
      <c r="E518" s="1"/>
      <c r="F518" s="1"/>
      <c r="G518" s="1"/>
      <c r="H518" s="1"/>
      <c r="I518" s="6"/>
      <c r="J518" s="1"/>
      <c r="K518" s="1"/>
      <c r="L518" s="5"/>
      <c r="M518" s="5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5.75" customHeight="1">
      <c r="A519" s="1"/>
      <c r="B519" s="1"/>
      <c r="C519" s="3"/>
      <c r="D519" s="1"/>
      <c r="E519" s="1"/>
      <c r="F519" s="1"/>
      <c r="G519" s="1"/>
      <c r="H519" s="1"/>
      <c r="I519" s="4"/>
      <c r="J519" s="1"/>
      <c r="K519" s="1"/>
      <c r="L519" s="7"/>
      <c r="M519" s="5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5.75" customHeight="1">
      <c r="A520" s="1"/>
      <c r="B520" s="1"/>
      <c r="C520" s="3"/>
      <c r="D520" s="1"/>
      <c r="E520" s="1"/>
      <c r="F520" s="1"/>
      <c r="G520" s="1"/>
      <c r="H520" s="1"/>
      <c r="I520" s="4"/>
      <c r="J520" s="1"/>
      <c r="K520" s="1"/>
      <c r="L520" s="5"/>
      <c r="M520" s="5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5.75" customHeight="1">
      <c r="A521" s="1"/>
      <c r="B521" s="1"/>
      <c r="C521" s="3"/>
      <c r="D521" s="1"/>
      <c r="E521" s="1"/>
      <c r="F521" s="1"/>
      <c r="G521" s="1"/>
      <c r="H521" s="1"/>
      <c r="I521" s="4"/>
      <c r="J521" s="1"/>
      <c r="K521" s="1"/>
      <c r="L521" s="5"/>
      <c r="M521" s="5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5.75" customHeight="1">
      <c r="A522" s="1"/>
      <c r="B522" s="1"/>
      <c r="C522" s="3"/>
      <c r="D522" s="1"/>
      <c r="E522" s="1"/>
      <c r="F522" s="1"/>
      <c r="G522" s="1"/>
      <c r="H522" s="1"/>
      <c r="I522" s="4"/>
      <c r="J522" s="1"/>
      <c r="K522" s="1"/>
      <c r="L522" s="5"/>
      <c r="M522" s="5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5.75" customHeight="1">
      <c r="A523" s="1"/>
      <c r="B523" s="1"/>
      <c r="C523" s="3"/>
      <c r="D523" s="1"/>
      <c r="E523" s="1"/>
      <c r="F523" s="1"/>
      <c r="G523" s="1"/>
      <c r="H523" s="1"/>
      <c r="I523" s="4"/>
      <c r="J523" s="1"/>
      <c r="K523" s="1"/>
      <c r="L523" s="5"/>
      <c r="M523" s="7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5.75" customHeight="1">
      <c r="A524" s="1"/>
      <c r="B524" s="1"/>
      <c r="C524" s="3"/>
      <c r="D524" s="1"/>
      <c r="E524" s="1"/>
      <c r="F524" s="1"/>
      <c r="G524" s="1"/>
      <c r="H524" s="1"/>
      <c r="I524" s="4"/>
      <c r="J524" s="1"/>
      <c r="K524" s="1"/>
      <c r="L524" s="5"/>
      <c r="M524" s="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5.75" customHeight="1">
      <c r="A525" s="1"/>
      <c r="B525" s="1"/>
      <c r="C525" s="3"/>
      <c r="D525" s="1"/>
      <c r="E525" s="1"/>
      <c r="F525" s="1"/>
      <c r="G525" s="1"/>
      <c r="H525" s="1"/>
      <c r="I525" s="4"/>
      <c r="J525" s="1"/>
      <c r="K525" s="1"/>
      <c r="L525" s="5"/>
      <c r="M525" s="5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5.75" customHeight="1">
      <c r="A526" s="1"/>
      <c r="B526" s="1"/>
      <c r="C526" s="3"/>
      <c r="D526" s="1"/>
      <c r="E526" s="1"/>
      <c r="F526" s="1"/>
      <c r="G526" s="1"/>
      <c r="H526" s="1"/>
      <c r="I526" s="4"/>
      <c r="J526" s="1"/>
      <c r="K526" s="1"/>
      <c r="L526" s="5"/>
      <c r="M526" s="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5.75" customHeight="1">
      <c r="A527" s="1"/>
      <c r="B527" s="1"/>
      <c r="C527" s="3"/>
      <c r="D527" s="1"/>
      <c r="E527" s="1"/>
      <c r="F527" s="1"/>
      <c r="G527" s="1"/>
      <c r="H527" s="1"/>
      <c r="I527" s="4"/>
      <c r="J527" s="1"/>
      <c r="K527" s="1"/>
      <c r="L527" s="5"/>
      <c r="M527" s="5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5.75" customHeight="1">
      <c r="A528" s="1"/>
      <c r="B528" s="1"/>
      <c r="C528" s="3"/>
      <c r="D528" s="1"/>
      <c r="E528" s="1"/>
      <c r="F528" s="1"/>
      <c r="G528" s="1"/>
      <c r="H528" s="1"/>
      <c r="I528" s="4"/>
      <c r="J528" s="1"/>
      <c r="K528" s="1"/>
      <c r="L528" s="5"/>
      <c r="M528" s="5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5.75" customHeight="1">
      <c r="A529" s="1"/>
      <c r="B529" s="1"/>
      <c r="C529" s="3"/>
      <c r="D529" s="1"/>
      <c r="E529" s="1"/>
      <c r="F529" s="1"/>
      <c r="G529" s="1"/>
      <c r="H529" s="1"/>
      <c r="I529" s="4"/>
      <c r="J529" s="1"/>
      <c r="K529" s="1"/>
      <c r="L529" s="5"/>
      <c r="M529" s="5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5.75" customHeight="1">
      <c r="A530" s="1"/>
      <c r="B530" s="1"/>
      <c r="C530" s="3"/>
      <c r="D530" s="1"/>
      <c r="E530" s="1"/>
      <c r="F530" s="1"/>
      <c r="G530" s="1"/>
      <c r="H530" s="1"/>
      <c r="I530" s="4"/>
      <c r="J530" s="1"/>
      <c r="K530" s="1"/>
      <c r="L530" s="7"/>
      <c r="M530" s="5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5.75" customHeight="1">
      <c r="A531" s="1"/>
      <c r="B531" s="1"/>
      <c r="C531" s="3"/>
      <c r="D531" s="1"/>
      <c r="E531" s="1"/>
      <c r="F531" s="1"/>
      <c r="G531" s="1"/>
      <c r="H531" s="1"/>
      <c r="I531" s="4"/>
      <c r="J531" s="1"/>
      <c r="K531" s="1"/>
      <c r="L531" s="5"/>
      <c r="M531" s="5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5.75" customHeight="1">
      <c r="A532" s="1"/>
      <c r="B532" s="1"/>
      <c r="C532" s="3"/>
      <c r="D532" s="1"/>
      <c r="E532" s="1"/>
      <c r="F532" s="1"/>
      <c r="G532" s="1"/>
      <c r="H532" s="1"/>
      <c r="I532" s="4"/>
      <c r="J532" s="1"/>
      <c r="K532" s="1"/>
      <c r="L532" s="5"/>
      <c r="M532" s="5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5.75" customHeight="1">
      <c r="A533" s="1"/>
      <c r="B533" s="1"/>
      <c r="C533" s="3"/>
      <c r="D533" s="1"/>
      <c r="E533" s="1"/>
      <c r="F533" s="1"/>
      <c r="G533" s="1"/>
      <c r="H533" s="1"/>
      <c r="I533" s="6"/>
      <c r="J533" s="1"/>
      <c r="K533" s="1"/>
      <c r="L533" s="5"/>
      <c r="M533" s="5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5.75" customHeight="1">
      <c r="A534" s="1"/>
      <c r="B534" s="1"/>
      <c r="C534" s="3"/>
      <c r="D534" s="1"/>
      <c r="E534" s="1"/>
      <c r="F534" s="1"/>
      <c r="G534" s="1"/>
      <c r="H534" s="1"/>
      <c r="I534" s="6"/>
      <c r="J534" s="1"/>
      <c r="K534" s="1"/>
      <c r="L534" s="5"/>
      <c r="M534" s="5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5.75" customHeight="1">
      <c r="A535" s="1"/>
      <c r="B535" s="1"/>
      <c r="C535" s="3"/>
      <c r="D535" s="1"/>
      <c r="E535" s="1"/>
      <c r="F535" s="1"/>
      <c r="G535" s="1"/>
      <c r="H535" s="1"/>
      <c r="I535" s="6"/>
      <c r="J535" s="1"/>
      <c r="K535" s="1"/>
      <c r="L535" s="5"/>
      <c r="M535" s="5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5.75" customHeight="1">
      <c r="A536" s="1"/>
      <c r="B536" s="1"/>
      <c r="C536" s="3"/>
      <c r="D536" s="1"/>
      <c r="E536" s="1"/>
      <c r="F536" s="1"/>
      <c r="G536" s="1"/>
      <c r="H536" s="1"/>
      <c r="I536" s="6"/>
      <c r="J536" s="1"/>
      <c r="K536" s="1"/>
      <c r="L536" s="5"/>
      <c r="M536" s="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5.75" customHeight="1">
      <c r="A537" s="1"/>
      <c r="B537" s="1"/>
      <c r="C537" s="3"/>
      <c r="D537" s="1"/>
      <c r="E537" s="1"/>
      <c r="F537" s="1"/>
      <c r="G537" s="1"/>
      <c r="H537" s="1"/>
      <c r="I537" s="6"/>
      <c r="J537" s="1"/>
      <c r="K537" s="1"/>
      <c r="L537" s="5"/>
      <c r="M537" s="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5.75" customHeight="1">
      <c r="A538" s="1"/>
      <c r="B538" s="1"/>
      <c r="C538" s="3"/>
      <c r="D538" s="1"/>
      <c r="E538" s="1"/>
      <c r="F538" s="1"/>
      <c r="G538" s="1"/>
      <c r="H538" s="1"/>
      <c r="I538" s="6"/>
      <c r="J538" s="1"/>
      <c r="K538" s="1"/>
      <c r="L538" s="5"/>
      <c r="M538" s="5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5.75" customHeight="1">
      <c r="A539" s="1"/>
      <c r="B539" s="1"/>
      <c r="C539" s="3"/>
      <c r="D539" s="1"/>
      <c r="E539" s="1"/>
      <c r="F539" s="1"/>
      <c r="G539" s="1"/>
      <c r="H539" s="1"/>
      <c r="I539" s="6"/>
      <c r="J539" s="1"/>
      <c r="K539" s="1"/>
      <c r="L539" s="7"/>
      <c r="M539" s="7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5.75" customHeight="1">
      <c r="A540" s="1"/>
      <c r="B540" s="1"/>
      <c r="C540" s="3"/>
      <c r="D540" s="1"/>
      <c r="E540" s="1"/>
      <c r="F540" s="1"/>
      <c r="G540" s="1"/>
      <c r="H540" s="1"/>
      <c r="I540" s="6"/>
      <c r="J540" s="1"/>
      <c r="K540" s="1"/>
      <c r="L540" s="5"/>
      <c r="M540" s="5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5.75" customHeight="1">
      <c r="A541" s="1"/>
      <c r="B541" s="1"/>
      <c r="C541" s="3"/>
      <c r="D541" s="1"/>
      <c r="E541" s="1"/>
      <c r="F541" s="1"/>
      <c r="G541" s="1"/>
      <c r="H541" s="1"/>
      <c r="I541" s="6"/>
      <c r="J541" s="1"/>
      <c r="K541" s="1"/>
      <c r="L541" s="7"/>
      <c r="M541" s="5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5.75" customHeight="1">
      <c r="A542" s="1"/>
      <c r="B542" s="1"/>
      <c r="C542" s="3"/>
      <c r="D542" s="1"/>
      <c r="E542" s="1"/>
      <c r="F542" s="1"/>
      <c r="G542" s="1"/>
      <c r="H542" s="1"/>
      <c r="I542" s="6"/>
      <c r="J542" s="1"/>
      <c r="K542" s="1"/>
      <c r="L542" s="7"/>
      <c r="M542" s="5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5.75" customHeight="1">
      <c r="A543" s="1"/>
      <c r="B543" s="1"/>
      <c r="C543" s="3"/>
      <c r="D543" s="1"/>
      <c r="E543" s="1"/>
      <c r="F543" s="1"/>
      <c r="G543" s="1"/>
      <c r="H543" s="1"/>
      <c r="I543" s="6"/>
      <c r="J543" s="1"/>
      <c r="K543" s="1"/>
      <c r="L543" s="5"/>
      <c r="M543" s="5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5.75" customHeight="1">
      <c r="A544" s="1"/>
      <c r="B544" s="1"/>
      <c r="C544" s="3"/>
      <c r="D544" s="1"/>
      <c r="E544" s="1"/>
      <c r="F544" s="1"/>
      <c r="G544" s="1"/>
      <c r="H544" s="1"/>
      <c r="I544" s="6"/>
      <c r="J544" s="1"/>
      <c r="K544" s="1"/>
      <c r="L544" s="7"/>
      <c r="M544" s="5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5.75" customHeight="1">
      <c r="A545" s="1"/>
      <c r="B545" s="1"/>
      <c r="C545" s="3"/>
      <c r="D545" s="1"/>
      <c r="E545" s="1"/>
      <c r="F545" s="1"/>
      <c r="G545" s="1"/>
      <c r="H545" s="1"/>
      <c r="I545" s="6"/>
      <c r="J545" s="1"/>
      <c r="K545" s="1"/>
      <c r="L545" s="5"/>
      <c r="M545" s="5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5.75" customHeight="1">
      <c r="A546" s="1"/>
      <c r="B546" s="1"/>
      <c r="C546" s="3"/>
      <c r="D546" s="1"/>
      <c r="E546" s="1"/>
      <c r="F546" s="1"/>
      <c r="G546" s="1"/>
      <c r="H546" s="1"/>
      <c r="I546" s="6"/>
      <c r="J546" s="1"/>
      <c r="K546" s="1"/>
      <c r="L546" s="5"/>
      <c r="M546" s="5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5.75" customHeight="1">
      <c r="A547" s="1"/>
      <c r="B547" s="1"/>
      <c r="C547" s="3"/>
      <c r="D547" s="1"/>
      <c r="E547" s="1"/>
      <c r="F547" s="1"/>
      <c r="G547" s="1"/>
      <c r="H547" s="1"/>
      <c r="I547" s="4"/>
      <c r="J547" s="1"/>
      <c r="K547" s="1"/>
      <c r="L547" s="5"/>
      <c r="M547" s="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5.75" customHeight="1">
      <c r="A548" s="1"/>
      <c r="B548" s="1"/>
      <c r="C548" s="3"/>
      <c r="D548" s="1"/>
      <c r="E548" s="1"/>
      <c r="F548" s="1"/>
      <c r="G548" s="1"/>
      <c r="H548" s="1"/>
      <c r="I548" s="4"/>
      <c r="J548" s="1"/>
      <c r="K548" s="1"/>
      <c r="L548" s="5"/>
      <c r="M548" s="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5.75" customHeight="1">
      <c r="A549" s="1"/>
      <c r="B549" s="1"/>
      <c r="C549" s="3"/>
      <c r="D549" s="1"/>
      <c r="E549" s="1"/>
      <c r="F549" s="1"/>
      <c r="G549" s="1"/>
      <c r="H549" s="1"/>
      <c r="I549" s="4"/>
      <c r="J549" s="1"/>
      <c r="K549" s="1"/>
      <c r="L549" s="5"/>
      <c r="M549" s="5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5.75" customHeight="1">
      <c r="A550" s="1"/>
      <c r="B550" s="1"/>
      <c r="C550" s="3"/>
      <c r="D550" s="1"/>
      <c r="E550" s="1"/>
      <c r="F550" s="1"/>
      <c r="G550" s="1"/>
      <c r="H550" s="1"/>
      <c r="I550" s="4"/>
      <c r="J550" s="1"/>
      <c r="K550" s="1"/>
      <c r="L550" s="5"/>
      <c r="M550" s="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5.75" customHeight="1">
      <c r="A551" s="1"/>
      <c r="B551" s="1"/>
      <c r="C551" s="3"/>
      <c r="D551" s="1"/>
      <c r="E551" s="1"/>
      <c r="F551" s="1"/>
      <c r="G551" s="1"/>
      <c r="H551" s="1"/>
      <c r="I551" s="4"/>
      <c r="J551" s="1"/>
      <c r="K551" s="1"/>
      <c r="L551" s="5"/>
      <c r="M551" s="5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5.75" customHeight="1">
      <c r="A552" s="1"/>
      <c r="B552" s="1"/>
      <c r="C552" s="3"/>
      <c r="D552" s="1"/>
      <c r="E552" s="1"/>
      <c r="F552" s="1"/>
      <c r="G552" s="1"/>
      <c r="H552" s="1"/>
      <c r="I552" s="6"/>
      <c r="J552" s="1"/>
      <c r="K552" s="1"/>
      <c r="L552" s="5"/>
      <c r="M552" s="5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5.75" customHeight="1">
      <c r="A553" s="1"/>
      <c r="B553" s="1"/>
      <c r="C553" s="3"/>
      <c r="D553" s="1"/>
      <c r="E553" s="1"/>
      <c r="F553" s="1"/>
      <c r="G553" s="1"/>
      <c r="H553" s="1"/>
      <c r="I553" s="6"/>
      <c r="J553" s="1"/>
      <c r="K553" s="1"/>
      <c r="L553" s="5"/>
      <c r="M553" s="5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5.75" customHeight="1">
      <c r="A554" s="1"/>
      <c r="B554" s="1"/>
      <c r="C554" s="3"/>
      <c r="D554" s="1"/>
      <c r="E554" s="1"/>
      <c r="F554" s="1"/>
      <c r="G554" s="1"/>
      <c r="H554" s="1"/>
      <c r="I554" s="4"/>
      <c r="J554" s="1"/>
      <c r="K554" s="1"/>
      <c r="L554" s="7"/>
      <c r="M554" s="7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5.75" customHeight="1">
      <c r="A555" s="1"/>
      <c r="B555" s="1"/>
      <c r="C555" s="3"/>
      <c r="D555" s="1"/>
      <c r="E555" s="1"/>
      <c r="F555" s="1"/>
      <c r="G555" s="1"/>
      <c r="H555" s="1"/>
      <c r="I555" s="4"/>
      <c r="J555" s="1"/>
      <c r="K555" s="1"/>
      <c r="L555" s="5"/>
      <c r="M555" s="5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5.75" customHeight="1">
      <c r="A556" s="1"/>
      <c r="B556" s="1"/>
      <c r="C556" s="3"/>
      <c r="D556" s="1"/>
      <c r="E556" s="1"/>
      <c r="F556" s="1"/>
      <c r="G556" s="1"/>
      <c r="H556" s="1"/>
      <c r="I556" s="4"/>
      <c r="J556" s="1"/>
      <c r="K556" s="1"/>
      <c r="L556" s="5"/>
      <c r="M556" s="5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5.75" customHeight="1">
      <c r="A557" s="1"/>
      <c r="B557" s="1"/>
      <c r="C557" s="3"/>
      <c r="D557" s="1"/>
      <c r="E557" s="1"/>
      <c r="F557" s="1"/>
      <c r="G557" s="1"/>
      <c r="H557" s="1"/>
      <c r="I557" s="4"/>
      <c r="J557" s="1"/>
      <c r="K557" s="1"/>
      <c r="L557" s="5"/>
      <c r="M557" s="5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5.75" customHeight="1">
      <c r="A558" s="1"/>
      <c r="B558" s="1"/>
      <c r="C558" s="3"/>
      <c r="D558" s="1"/>
      <c r="E558" s="1"/>
      <c r="F558" s="1"/>
      <c r="G558" s="1"/>
      <c r="H558" s="1"/>
      <c r="I558" s="4"/>
      <c r="J558" s="1"/>
      <c r="K558" s="1"/>
      <c r="L558" s="5"/>
      <c r="M558" s="7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5.75" customHeight="1">
      <c r="A559" s="1"/>
      <c r="B559" s="1"/>
      <c r="C559" s="3"/>
      <c r="D559" s="1"/>
      <c r="E559" s="1"/>
      <c r="F559" s="1"/>
      <c r="G559" s="1"/>
      <c r="H559" s="1"/>
      <c r="I559" s="4"/>
      <c r="J559" s="1"/>
      <c r="K559" s="1"/>
      <c r="L559" s="5"/>
      <c r="M559" s="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5.75" customHeight="1">
      <c r="A560" s="1"/>
      <c r="B560" s="1"/>
      <c r="C560" s="3"/>
      <c r="D560" s="1"/>
      <c r="E560" s="1"/>
      <c r="F560" s="1"/>
      <c r="G560" s="1"/>
      <c r="H560" s="1"/>
      <c r="I560" s="4"/>
      <c r="J560" s="1"/>
      <c r="K560" s="1"/>
      <c r="L560" s="5"/>
      <c r="M560" s="5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5.75" customHeight="1">
      <c r="A561" s="1"/>
      <c r="B561" s="1"/>
      <c r="C561" s="3"/>
      <c r="D561" s="1"/>
      <c r="E561" s="1"/>
      <c r="F561" s="1"/>
      <c r="G561" s="1"/>
      <c r="H561" s="1"/>
      <c r="I561" s="6"/>
      <c r="J561" s="1"/>
      <c r="K561" s="1"/>
      <c r="L561" s="5"/>
      <c r="M561" s="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5.75" customHeight="1">
      <c r="A562" s="1"/>
      <c r="B562" s="1"/>
      <c r="C562" s="3"/>
      <c r="D562" s="1"/>
      <c r="E562" s="1"/>
      <c r="F562" s="1"/>
      <c r="G562" s="1"/>
      <c r="H562" s="1"/>
      <c r="I562" s="6"/>
      <c r="J562" s="1"/>
      <c r="K562" s="1"/>
      <c r="L562" s="5"/>
      <c r="M562" s="5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5.75" customHeight="1">
      <c r="A563" s="1"/>
      <c r="B563" s="1"/>
      <c r="C563" s="3"/>
      <c r="D563" s="1"/>
      <c r="E563" s="1"/>
      <c r="F563" s="1"/>
      <c r="G563" s="1"/>
      <c r="H563" s="1"/>
      <c r="I563" s="4"/>
      <c r="J563" s="1"/>
      <c r="K563" s="1"/>
      <c r="L563" s="7"/>
      <c r="M563" s="5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5.75" customHeight="1">
      <c r="A564" s="1"/>
      <c r="B564" s="1"/>
      <c r="C564" s="3"/>
      <c r="D564" s="1"/>
      <c r="E564" s="1"/>
      <c r="F564" s="1"/>
      <c r="G564" s="1"/>
      <c r="H564" s="1"/>
      <c r="I564" s="4"/>
      <c r="J564" s="1"/>
      <c r="K564" s="1"/>
      <c r="L564" s="5"/>
      <c r="M564" s="5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5.75" customHeight="1">
      <c r="A565" s="1"/>
      <c r="B565" s="1"/>
      <c r="C565" s="3"/>
      <c r="D565" s="1"/>
      <c r="E565" s="1"/>
      <c r="F565" s="1"/>
      <c r="G565" s="1"/>
      <c r="H565" s="1"/>
      <c r="I565" s="4"/>
      <c r="J565" s="1"/>
      <c r="K565" s="1"/>
      <c r="L565" s="5"/>
      <c r="M565" s="5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5.75" customHeight="1">
      <c r="A566" s="1"/>
      <c r="B566" s="1"/>
      <c r="C566" s="3"/>
      <c r="D566" s="1"/>
      <c r="E566" s="1"/>
      <c r="F566" s="1"/>
      <c r="G566" s="1"/>
      <c r="H566" s="1"/>
      <c r="I566" s="6"/>
      <c r="J566" s="1"/>
      <c r="K566" s="1"/>
      <c r="L566" s="5"/>
      <c r="M566" s="5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5.75" customHeight="1">
      <c r="A567" s="1"/>
      <c r="B567" s="1"/>
      <c r="C567" s="3"/>
      <c r="D567" s="1"/>
      <c r="E567" s="1"/>
      <c r="F567" s="1"/>
      <c r="G567" s="1"/>
      <c r="H567" s="1"/>
      <c r="I567" s="6"/>
      <c r="J567" s="1"/>
      <c r="K567" s="1"/>
      <c r="L567" s="5"/>
      <c r="M567" s="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5.75" customHeight="1">
      <c r="A568" s="1"/>
      <c r="B568" s="1"/>
      <c r="C568" s="3"/>
      <c r="D568" s="1"/>
      <c r="E568" s="1"/>
      <c r="F568" s="1"/>
      <c r="G568" s="1"/>
      <c r="H568" s="1"/>
      <c r="I568" s="6"/>
      <c r="J568" s="1"/>
      <c r="K568" s="1"/>
      <c r="L568" s="5"/>
      <c r="M568" s="7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5.75" customHeight="1">
      <c r="A569" s="1"/>
      <c r="B569" s="1"/>
      <c r="C569" s="3"/>
      <c r="D569" s="1"/>
      <c r="E569" s="1"/>
      <c r="F569" s="1"/>
      <c r="G569" s="1"/>
      <c r="H569" s="1"/>
      <c r="I569" s="6"/>
      <c r="J569" s="1"/>
      <c r="K569" s="1"/>
      <c r="L569" s="7"/>
      <c r="M569" s="5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5.75" customHeight="1">
      <c r="A570" s="1"/>
      <c r="B570" s="1"/>
      <c r="C570" s="3"/>
      <c r="D570" s="1"/>
      <c r="E570" s="1"/>
      <c r="F570" s="1"/>
      <c r="G570" s="1"/>
      <c r="H570" s="1"/>
      <c r="I570" s="6"/>
      <c r="J570" s="1"/>
      <c r="K570" s="1"/>
      <c r="L570" s="5"/>
      <c r="M570" s="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5.75" customHeight="1">
      <c r="A571" s="1"/>
      <c r="B571" s="1"/>
      <c r="C571" s="3"/>
      <c r="D571" s="1"/>
      <c r="E571" s="1"/>
      <c r="F571" s="1"/>
      <c r="G571" s="1"/>
      <c r="H571" s="1"/>
      <c r="I571" s="6"/>
      <c r="J571" s="1"/>
      <c r="K571" s="1"/>
      <c r="L571" s="5"/>
      <c r="M571" s="5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5.75" customHeight="1">
      <c r="A572" s="1"/>
      <c r="B572" s="1"/>
      <c r="C572" s="3"/>
      <c r="D572" s="1"/>
      <c r="E572" s="1"/>
      <c r="F572" s="1"/>
      <c r="G572" s="1"/>
      <c r="H572" s="1"/>
      <c r="I572" s="4"/>
      <c r="J572" s="1"/>
      <c r="K572" s="1"/>
      <c r="L572" s="5"/>
      <c r="M572" s="5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5.75" customHeight="1">
      <c r="A573" s="1"/>
      <c r="B573" s="1"/>
      <c r="C573" s="3"/>
      <c r="D573" s="1"/>
      <c r="E573" s="1"/>
      <c r="F573" s="1"/>
      <c r="G573" s="1"/>
      <c r="H573" s="1"/>
      <c r="I573" s="4"/>
      <c r="J573" s="1"/>
      <c r="K573" s="1"/>
      <c r="L573" s="5"/>
      <c r="M573" s="5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5.75" customHeight="1">
      <c r="A574" s="1"/>
      <c r="B574" s="1"/>
      <c r="C574" s="3"/>
      <c r="D574" s="1"/>
      <c r="E574" s="1"/>
      <c r="F574" s="1"/>
      <c r="G574" s="1"/>
      <c r="H574" s="1"/>
      <c r="I574" s="4"/>
      <c r="J574" s="1"/>
      <c r="K574" s="1"/>
      <c r="L574" s="5"/>
      <c r="M574" s="5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5.75" customHeight="1">
      <c r="A575" s="1"/>
      <c r="B575" s="1"/>
      <c r="C575" s="3"/>
      <c r="D575" s="1"/>
      <c r="E575" s="1"/>
      <c r="F575" s="1"/>
      <c r="G575" s="1"/>
      <c r="H575" s="1"/>
      <c r="I575" s="4"/>
      <c r="J575" s="1"/>
      <c r="K575" s="1"/>
      <c r="L575" s="7"/>
      <c r="M575" s="5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5.75" customHeight="1">
      <c r="A576" s="1"/>
      <c r="B576" s="1"/>
      <c r="C576" s="3"/>
      <c r="D576" s="1"/>
      <c r="E576" s="1"/>
      <c r="F576" s="1"/>
      <c r="G576" s="1"/>
      <c r="H576" s="1"/>
      <c r="I576" s="6"/>
      <c r="J576" s="1"/>
      <c r="K576" s="1"/>
      <c r="L576" s="5"/>
      <c r="M576" s="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5.75" customHeight="1">
      <c r="A577" s="1"/>
      <c r="B577" s="1"/>
      <c r="C577" s="3"/>
      <c r="D577" s="1"/>
      <c r="E577" s="1"/>
      <c r="F577" s="1"/>
      <c r="G577" s="1"/>
      <c r="H577" s="1"/>
      <c r="I577" s="6"/>
      <c r="J577" s="1"/>
      <c r="K577" s="1"/>
      <c r="L577" s="5"/>
      <c r="M577" s="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5.75" customHeight="1">
      <c r="A578" s="1"/>
      <c r="B578" s="1"/>
      <c r="C578" s="3"/>
      <c r="D578" s="1"/>
      <c r="E578" s="1"/>
      <c r="F578" s="1"/>
      <c r="G578" s="1"/>
      <c r="H578" s="1"/>
      <c r="I578" s="6"/>
      <c r="J578" s="1"/>
      <c r="K578" s="1"/>
      <c r="L578" s="5"/>
      <c r="M578" s="7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5.75" customHeight="1">
      <c r="A579" s="1"/>
      <c r="B579" s="1"/>
      <c r="C579" s="3"/>
      <c r="D579" s="1"/>
      <c r="E579" s="1"/>
      <c r="F579" s="1"/>
      <c r="G579" s="1"/>
      <c r="H579" s="1"/>
      <c r="I579" s="6"/>
      <c r="J579" s="1"/>
      <c r="K579" s="1"/>
      <c r="L579" s="7"/>
      <c r="M579" s="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5.75" customHeight="1">
      <c r="A580" s="1"/>
      <c r="B580" s="1"/>
      <c r="C580" s="3"/>
      <c r="D580" s="1"/>
      <c r="E580" s="1"/>
      <c r="F580" s="1"/>
      <c r="G580" s="1"/>
      <c r="H580" s="1"/>
      <c r="I580" s="6"/>
      <c r="J580" s="1"/>
      <c r="K580" s="1"/>
      <c r="L580" s="7"/>
      <c r="M580" s="5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5.75" customHeight="1">
      <c r="A581" s="1"/>
      <c r="B581" s="1"/>
      <c r="C581" s="3"/>
      <c r="D581" s="1"/>
      <c r="E581" s="1"/>
      <c r="F581" s="1"/>
      <c r="G581" s="1"/>
      <c r="H581" s="1"/>
      <c r="I581" s="4"/>
      <c r="J581" s="1"/>
      <c r="K581" s="1"/>
      <c r="L581" s="5"/>
      <c r="M581" s="7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5.75" customHeight="1">
      <c r="A582" s="1"/>
      <c r="B582" s="1"/>
      <c r="C582" s="3"/>
      <c r="D582" s="1"/>
      <c r="E582" s="1"/>
      <c r="F582" s="1"/>
      <c r="G582" s="1"/>
      <c r="H582" s="1"/>
      <c r="I582" s="4"/>
      <c r="J582" s="1"/>
      <c r="K582" s="1"/>
      <c r="L582" s="5"/>
      <c r="M582" s="5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5.75" customHeight="1">
      <c r="A583" s="1"/>
      <c r="B583" s="1"/>
      <c r="C583" s="3"/>
      <c r="D583" s="1"/>
      <c r="E583" s="1"/>
      <c r="F583" s="1"/>
      <c r="G583" s="1"/>
      <c r="H583" s="1"/>
      <c r="I583" s="4"/>
      <c r="J583" s="1"/>
      <c r="K583" s="1"/>
      <c r="L583" s="5"/>
      <c r="M583" s="5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5.75" customHeight="1">
      <c r="A584" s="1"/>
      <c r="B584" s="1"/>
      <c r="C584" s="3"/>
      <c r="D584" s="1"/>
      <c r="E584" s="1"/>
      <c r="F584" s="1"/>
      <c r="G584" s="1"/>
      <c r="H584" s="1"/>
      <c r="I584" s="4"/>
      <c r="J584" s="1"/>
      <c r="K584" s="1"/>
      <c r="L584" s="5"/>
      <c r="M584" s="7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5.75" customHeight="1">
      <c r="A585" s="1"/>
      <c r="B585" s="1"/>
      <c r="C585" s="3"/>
      <c r="D585" s="1"/>
      <c r="E585" s="1"/>
      <c r="F585" s="1"/>
      <c r="G585" s="1"/>
      <c r="H585" s="1"/>
      <c r="I585" s="4"/>
      <c r="J585" s="1"/>
      <c r="K585" s="1"/>
      <c r="L585" s="5"/>
      <c r="M585" s="5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5.75" customHeight="1">
      <c r="A586" s="1"/>
      <c r="B586" s="1"/>
      <c r="C586" s="3"/>
      <c r="D586" s="1"/>
      <c r="E586" s="1"/>
      <c r="F586" s="1"/>
      <c r="G586" s="1"/>
      <c r="H586" s="1"/>
      <c r="I586" s="4"/>
      <c r="J586" s="1"/>
      <c r="K586" s="1"/>
      <c r="L586" s="5"/>
      <c r="M586" s="5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5.75" customHeight="1">
      <c r="A587" s="1"/>
      <c r="B587" s="1"/>
      <c r="C587" s="3"/>
      <c r="D587" s="1"/>
      <c r="E587" s="1"/>
      <c r="F587" s="1"/>
      <c r="G587" s="1"/>
      <c r="H587" s="1"/>
      <c r="I587" s="4"/>
      <c r="J587" s="1"/>
      <c r="K587" s="1"/>
      <c r="L587" s="5"/>
      <c r="M587" s="5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5.75" customHeight="1">
      <c r="A588" s="1"/>
      <c r="B588" s="1"/>
      <c r="C588" s="3"/>
      <c r="D588" s="1"/>
      <c r="E588" s="1"/>
      <c r="F588" s="1"/>
      <c r="G588" s="1"/>
      <c r="H588" s="1"/>
      <c r="I588" s="4"/>
      <c r="J588" s="1"/>
      <c r="K588" s="1"/>
      <c r="L588" s="5"/>
      <c r="M588" s="5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5.75" customHeight="1">
      <c r="A589" s="1"/>
      <c r="B589" s="1"/>
      <c r="C589" s="3"/>
      <c r="D589" s="1"/>
      <c r="E589" s="1"/>
      <c r="F589" s="1"/>
      <c r="G589" s="1"/>
      <c r="H589" s="1"/>
      <c r="I589" s="4"/>
      <c r="J589" s="1"/>
      <c r="K589" s="1"/>
      <c r="L589" s="5"/>
      <c r="M589" s="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5.75" customHeight="1">
      <c r="A590" s="1"/>
      <c r="B590" s="1"/>
      <c r="C590" s="3"/>
      <c r="D590" s="1"/>
      <c r="E590" s="1"/>
      <c r="F590" s="1"/>
      <c r="G590" s="1"/>
      <c r="H590" s="1"/>
      <c r="I590" s="4"/>
      <c r="J590" s="1"/>
      <c r="K590" s="1"/>
      <c r="L590" s="5"/>
      <c r="M590" s="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5.75" customHeight="1">
      <c r="A591" s="1"/>
      <c r="B591" s="1"/>
      <c r="C591" s="3"/>
      <c r="D591" s="1"/>
      <c r="E591" s="1"/>
      <c r="F591" s="1"/>
      <c r="G591" s="1"/>
      <c r="H591" s="1"/>
      <c r="I591" s="4"/>
      <c r="J591" s="1"/>
      <c r="K591" s="1"/>
      <c r="L591" s="5"/>
      <c r="M591" s="7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5.75" customHeight="1">
      <c r="A592" s="1"/>
      <c r="B592" s="1"/>
      <c r="C592" s="3"/>
      <c r="D592" s="1"/>
      <c r="E592" s="1"/>
      <c r="F592" s="1"/>
      <c r="G592" s="1"/>
      <c r="H592" s="1"/>
      <c r="I592" s="4"/>
      <c r="J592" s="1"/>
      <c r="K592" s="1"/>
      <c r="L592" s="5"/>
      <c r="M592" s="7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5.75" customHeight="1">
      <c r="A593" s="1"/>
      <c r="B593" s="1"/>
      <c r="C593" s="3"/>
      <c r="D593" s="1"/>
      <c r="E593" s="1"/>
      <c r="F593" s="1"/>
      <c r="G593" s="1"/>
      <c r="H593" s="1"/>
      <c r="I593" s="4"/>
      <c r="J593" s="1"/>
      <c r="K593" s="1"/>
      <c r="L593" s="7"/>
      <c r="M593" s="7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5.75" customHeight="1">
      <c r="A594" s="1"/>
      <c r="B594" s="1"/>
      <c r="C594" s="3"/>
      <c r="D594" s="1"/>
      <c r="E594" s="1"/>
      <c r="F594" s="1"/>
      <c r="G594" s="1"/>
      <c r="H594" s="1"/>
      <c r="I594" s="6"/>
      <c r="J594" s="1"/>
      <c r="K594" s="1"/>
      <c r="L594" s="5"/>
      <c r="M594" s="5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5.75" customHeight="1">
      <c r="A595" s="1"/>
      <c r="B595" s="1"/>
      <c r="C595" s="3"/>
      <c r="D595" s="1"/>
      <c r="E595" s="1"/>
      <c r="F595" s="1"/>
      <c r="G595" s="1"/>
      <c r="H595" s="1"/>
      <c r="I595" s="6"/>
      <c r="J595" s="1"/>
      <c r="K595" s="1"/>
      <c r="L595" s="5"/>
      <c r="M595" s="5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5.75" customHeight="1">
      <c r="A596" s="1"/>
      <c r="B596" s="1"/>
      <c r="C596" s="3"/>
      <c r="D596" s="1"/>
      <c r="E596" s="1"/>
      <c r="F596" s="1"/>
      <c r="G596" s="1"/>
      <c r="H596" s="1"/>
      <c r="I596" s="6"/>
      <c r="J596" s="1"/>
      <c r="K596" s="1"/>
      <c r="L596" s="7"/>
      <c r="M596" s="7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5.75" customHeight="1">
      <c r="A597" s="1"/>
      <c r="B597" s="1"/>
      <c r="C597" s="3"/>
      <c r="D597" s="1"/>
      <c r="E597" s="1"/>
      <c r="F597" s="1"/>
      <c r="G597" s="1"/>
      <c r="H597" s="1"/>
      <c r="I597" s="6"/>
      <c r="J597" s="1"/>
      <c r="K597" s="1"/>
      <c r="L597" s="5"/>
      <c r="M597" s="5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5.75" customHeight="1">
      <c r="A598" s="1"/>
      <c r="B598" s="1"/>
      <c r="C598" s="3"/>
      <c r="D598" s="1"/>
      <c r="E598" s="1"/>
      <c r="F598" s="1"/>
      <c r="G598" s="1"/>
      <c r="H598" s="1"/>
      <c r="I598" s="6"/>
      <c r="J598" s="1"/>
      <c r="K598" s="1"/>
      <c r="L598" s="5"/>
      <c r="M598" s="5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5.75" customHeight="1">
      <c r="A599" s="1"/>
      <c r="B599" s="1"/>
      <c r="C599" s="3"/>
      <c r="D599" s="1"/>
      <c r="E599" s="1"/>
      <c r="F599" s="1"/>
      <c r="G599" s="1"/>
      <c r="H599" s="1"/>
      <c r="I599" s="6"/>
      <c r="J599" s="1"/>
      <c r="K599" s="1"/>
      <c r="L599" s="5"/>
      <c r="M599" s="5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5.75" customHeight="1">
      <c r="A600" s="1"/>
      <c r="B600" s="1"/>
      <c r="C600" s="3"/>
      <c r="D600" s="1"/>
      <c r="E600" s="1"/>
      <c r="F600" s="1"/>
      <c r="G600" s="1"/>
      <c r="H600" s="1"/>
      <c r="I600" s="4"/>
      <c r="J600" s="1"/>
      <c r="K600" s="1"/>
      <c r="L600" s="7"/>
      <c r="M600" s="5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5.75" customHeight="1">
      <c r="A601" s="1"/>
      <c r="B601" s="1"/>
      <c r="C601" s="3"/>
      <c r="D601" s="1"/>
      <c r="E601" s="1"/>
      <c r="F601" s="1"/>
      <c r="G601" s="1"/>
      <c r="H601" s="1"/>
      <c r="I601" s="4"/>
      <c r="J601" s="1"/>
      <c r="K601" s="1"/>
      <c r="L601" s="7"/>
      <c r="M601" s="5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5.75" customHeight="1">
      <c r="A602" s="1"/>
      <c r="B602" s="1"/>
      <c r="C602" s="3"/>
      <c r="D602" s="1"/>
      <c r="E602" s="1"/>
      <c r="F602" s="1"/>
      <c r="G602" s="1"/>
      <c r="H602" s="1"/>
      <c r="I602" s="4"/>
      <c r="J602" s="1"/>
      <c r="K602" s="1"/>
      <c r="L602" s="5"/>
      <c r="M602" s="5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5.75" customHeight="1">
      <c r="A603" s="1"/>
      <c r="B603" s="1"/>
      <c r="C603" s="3"/>
      <c r="D603" s="1"/>
      <c r="E603" s="1"/>
      <c r="F603" s="1"/>
      <c r="G603" s="1"/>
      <c r="H603" s="1"/>
      <c r="I603" s="4"/>
      <c r="J603" s="1"/>
      <c r="K603" s="1"/>
      <c r="L603" s="5"/>
      <c r="M603" s="5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5.75" customHeight="1">
      <c r="A604" s="1"/>
      <c r="B604" s="1"/>
      <c r="C604" s="3"/>
      <c r="D604" s="1"/>
      <c r="E604" s="1"/>
      <c r="F604" s="1"/>
      <c r="G604" s="1"/>
      <c r="H604" s="1"/>
      <c r="I604" s="4"/>
      <c r="J604" s="1"/>
      <c r="K604" s="1"/>
      <c r="L604" s="7"/>
      <c r="M604" s="5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5.75" customHeight="1">
      <c r="A605" s="1"/>
      <c r="B605" s="1"/>
      <c r="C605" s="3"/>
      <c r="D605" s="1"/>
      <c r="E605" s="1"/>
      <c r="F605" s="1"/>
      <c r="G605" s="1"/>
      <c r="H605" s="1"/>
      <c r="I605" s="4"/>
      <c r="J605" s="1"/>
      <c r="K605" s="1"/>
      <c r="L605" s="5"/>
      <c r="M605" s="5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5.75" customHeight="1">
      <c r="A606" s="1"/>
      <c r="B606" s="1"/>
      <c r="C606" s="3"/>
      <c r="D606" s="1"/>
      <c r="E606" s="1"/>
      <c r="F606" s="1"/>
      <c r="G606" s="1"/>
      <c r="H606" s="1"/>
      <c r="I606" s="4"/>
      <c r="J606" s="1"/>
      <c r="K606" s="1"/>
      <c r="L606" s="5"/>
      <c r="M606" s="5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5.75" customHeight="1">
      <c r="A607" s="1"/>
      <c r="B607" s="1"/>
      <c r="C607" s="3"/>
      <c r="D607" s="1"/>
      <c r="E607" s="1"/>
      <c r="F607" s="1"/>
      <c r="G607" s="1"/>
      <c r="H607" s="1"/>
      <c r="I607" s="4"/>
      <c r="J607" s="1"/>
      <c r="K607" s="1"/>
      <c r="L607" s="5"/>
      <c r="M607" s="5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5.75" customHeight="1">
      <c r="A608" s="1"/>
      <c r="B608" s="1"/>
      <c r="C608" s="3"/>
      <c r="D608" s="1"/>
      <c r="E608" s="1"/>
      <c r="F608" s="1"/>
      <c r="G608" s="1"/>
      <c r="H608" s="1"/>
      <c r="I608" s="4"/>
      <c r="J608" s="1"/>
      <c r="K608" s="1"/>
      <c r="L608" s="5"/>
      <c r="M608" s="7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5.75" customHeight="1">
      <c r="A609" s="1"/>
      <c r="B609" s="1"/>
      <c r="C609" s="3"/>
      <c r="D609" s="1"/>
      <c r="E609" s="1"/>
      <c r="F609" s="1"/>
      <c r="G609" s="1"/>
      <c r="H609" s="1"/>
      <c r="I609" s="4"/>
      <c r="J609" s="1"/>
      <c r="K609" s="1"/>
      <c r="L609" s="5"/>
      <c r="M609" s="5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5.75" customHeight="1">
      <c r="A610" s="1"/>
      <c r="B610" s="1"/>
      <c r="C610" s="3"/>
      <c r="D610" s="1"/>
      <c r="E610" s="1"/>
      <c r="F610" s="1"/>
      <c r="G610" s="1"/>
      <c r="H610" s="1"/>
      <c r="I610" s="4"/>
      <c r="J610" s="1"/>
      <c r="K610" s="1"/>
      <c r="L610" s="5"/>
      <c r="M610" s="5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5.75" customHeight="1">
      <c r="A611" s="1"/>
      <c r="B611" s="1"/>
      <c r="C611" s="3"/>
      <c r="D611" s="1"/>
      <c r="E611" s="1"/>
      <c r="F611" s="1"/>
      <c r="G611" s="1"/>
      <c r="H611" s="1"/>
      <c r="I611" s="6"/>
      <c r="J611" s="1"/>
      <c r="K611" s="1"/>
      <c r="L611" s="5"/>
      <c r="M611" s="5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5.75" customHeight="1">
      <c r="A612" s="1"/>
      <c r="B612" s="1"/>
      <c r="C612" s="3"/>
      <c r="D612" s="1"/>
      <c r="E612" s="1"/>
      <c r="F612" s="1"/>
      <c r="G612" s="1"/>
      <c r="H612" s="1"/>
      <c r="I612" s="6"/>
      <c r="J612" s="1"/>
      <c r="K612" s="1"/>
      <c r="L612" s="5"/>
      <c r="M612" s="5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5.75" customHeight="1">
      <c r="A613" s="1"/>
      <c r="B613" s="1"/>
      <c r="C613" s="3"/>
      <c r="D613" s="1"/>
      <c r="E613" s="1"/>
      <c r="F613" s="1"/>
      <c r="G613" s="1"/>
      <c r="H613" s="1"/>
      <c r="I613" s="6"/>
      <c r="J613" s="1"/>
      <c r="K613" s="1"/>
      <c r="L613" s="5"/>
      <c r="M613" s="7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5.75" customHeight="1">
      <c r="A614" s="1"/>
      <c r="B614" s="1"/>
      <c r="C614" s="3"/>
      <c r="D614" s="1"/>
      <c r="E614" s="1"/>
      <c r="F614" s="1"/>
      <c r="G614" s="1"/>
      <c r="H614" s="1"/>
      <c r="I614" s="6"/>
      <c r="J614" s="1"/>
      <c r="K614" s="1"/>
      <c r="L614" s="5"/>
      <c r="M614" s="5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5.75" customHeight="1">
      <c r="A615" s="1"/>
      <c r="B615" s="1"/>
      <c r="C615" s="3"/>
      <c r="D615" s="1"/>
      <c r="E615" s="1"/>
      <c r="F615" s="1"/>
      <c r="G615" s="1"/>
      <c r="H615" s="1"/>
      <c r="I615" s="6"/>
      <c r="J615" s="1"/>
      <c r="K615" s="1"/>
      <c r="L615" s="5"/>
      <c r="M615" s="5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5.75" customHeight="1">
      <c r="A616" s="1"/>
      <c r="B616" s="1"/>
      <c r="C616" s="3"/>
      <c r="D616" s="1"/>
      <c r="E616" s="1"/>
      <c r="F616" s="1"/>
      <c r="G616" s="1"/>
      <c r="H616" s="1"/>
      <c r="I616" s="6"/>
      <c r="J616" s="1"/>
      <c r="K616" s="1"/>
      <c r="L616" s="7"/>
      <c r="M616" s="5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5.75" customHeight="1">
      <c r="A617" s="1"/>
      <c r="B617" s="1"/>
      <c r="C617" s="3"/>
      <c r="D617" s="1"/>
      <c r="E617" s="1"/>
      <c r="F617" s="1"/>
      <c r="G617" s="1"/>
      <c r="H617" s="1"/>
      <c r="I617" s="6"/>
      <c r="J617" s="1"/>
      <c r="K617" s="1"/>
      <c r="L617" s="5"/>
      <c r="M617" s="7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5.75" customHeight="1">
      <c r="A618" s="1"/>
      <c r="B618" s="1"/>
      <c r="C618" s="3"/>
      <c r="D618" s="1"/>
      <c r="E618" s="1"/>
      <c r="F618" s="1"/>
      <c r="G618" s="1"/>
      <c r="H618" s="1"/>
      <c r="I618" s="6"/>
      <c r="J618" s="1"/>
      <c r="K618" s="1"/>
      <c r="L618" s="5"/>
      <c r="M618" s="5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5.75" customHeight="1">
      <c r="A619" s="1"/>
      <c r="B619" s="1"/>
      <c r="C619" s="3"/>
      <c r="D619" s="1"/>
      <c r="E619" s="1"/>
      <c r="F619" s="1"/>
      <c r="G619" s="1"/>
      <c r="H619" s="1"/>
      <c r="I619" s="6"/>
      <c r="J619" s="1"/>
      <c r="K619" s="1"/>
      <c r="L619" s="5"/>
      <c r="M619" s="5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5.75" customHeight="1">
      <c r="A620" s="1"/>
      <c r="B620" s="1"/>
      <c r="C620" s="3"/>
      <c r="D620" s="1"/>
      <c r="E620" s="1"/>
      <c r="F620" s="1"/>
      <c r="G620" s="1"/>
      <c r="H620" s="1"/>
      <c r="I620" s="6"/>
      <c r="J620" s="1"/>
      <c r="K620" s="1"/>
      <c r="L620" s="5"/>
      <c r="M620" s="7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5.75" customHeight="1">
      <c r="A621" s="1"/>
      <c r="B621" s="1"/>
      <c r="C621" s="3"/>
      <c r="D621" s="1"/>
      <c r="E621" s="1"/>
      <c r="F621" s="1"/>
      <c r="G621" s="1"/>
      <c r="H621" s="1"/>
      <c r="I621" s="4"/>
      <c r="J621" s="1"/>
      <c r="K621" s="1"/>
      <c r="L621" s="5"/>
      <c r="M621" s="5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5.75" customHeight="1">
      <c r="A622" s="1"/>
      <c r="B622" s="1"/>
      <c r="C622" s="3"/>
      <c r="D622" s="1"/>
      <c r="E622" s="1"/>
      <c r="F622" s="1"/>
      <c r="G622" s="1"/>
      <c r="H622" s="1"/>
      <c r="I622" s="6"/>
      <c r="J622" s="1"/>
      <c r="K622" s="1"/>
      <c r="L622" s="5"/>
      <c r="M622" s="5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5.75" customHeight="1">
      <c r="A623" s="1"/>
      <c r="B623" s="1"/>
      <c r="C623" s="3"/>
      <c r="D623" s="1"/>
      <c r="E623" s="1"/>
      <c r="F623" s="1"/>
      <c r="G623" s="1"/>
      <c r="H623" s="1"/>
      <c r="I623" s="6"/>
      <c r="J623" s="1"/>
      <c r="K623" s="1"/>
      <c r="L623" s="5"/>
      <c r="M623" s="5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5.75" customHeight="1">
      <c r="A624" s="1"/>
      <c r="B624" s="1"/>
      <c r="C624" s="3"/>
      <c r="D624" s="1"/>
      <c r="E624" s="1"/>
      <c r="F624" s="1"/>
      <c r="G624" s="1"/>
      <c r="H624" s="1"/>
      <c r="I624" s="6"/>
      <c r="J624" s="1"/>
      <c r="K624" s="1"/>
      <c r="L624" s="5"/>
      <c r="M624" s="5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5.75" customHeight="1">
      <c r="A625" s="1"/>
      <c r="B625" s="1"/>
      <c r="C625" s="3"/>
      <c r="D625" s="1"/>
      <c r="E625" s="1"/>
      <c r="F625" s="1"/>
      <c r="G625" s="1"/>
      <c r="H625" s="1"/>
      <c r="I625" s="6"/>
      <c r="J625" s="1"/>
      <c r="K625" s="1"/>
      <c r="L625" s="5"/>
      <c r="M625" s="7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5.75" customHeight="1">
      <c r="A626" s="1"/>
      <c r="B626" s="1"/>
      <c r="C626" s="3"/>
      <c r="D626" s="1"/>
      <c r="E626" s="1"/>
      <c r="F626" s="1"/>
      <c r="G626" s="1"/>
      <c r="H626" s="1"/>
      <c r="I626" s="6"/>
      <c r="J626" s="1"/>
      <c r="K626" s="1"/>
      <c r="L626" s="5"/>
      <c r="M626" s="5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5.75" customHeight="1">
      <c r="A627" s="1"/>
      <c r="B627" s="1"/>
      <c r="C627" s="3"/>
      <c r="D627" s="1"/>
      <c r="E627" s="1"/>
      <c r="F627" s="1"/>
      <c r="G627" s="1"/>
      <c r="H627" s="1"/>
      <c r="I627" s="6"/>
      <c r="J627" s="1"/>
      <c r="K627" s="1"/>
      <c r="L627" s="5"/>
      <c r="M627" s="5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5.75" customHeight="1">
      <c r="A628" s="1"/>
      <c r="B628" s="1"/>
      <c r="C628" s="3"/>
      <c r="D628" s="1"/>
      <c r="E628" s="1"/>
      <c r="F628" s="1"/>
      <c r="G628" s="1"/>
      <c r="H628" s="1"/>
      <c r="I628" s="6"/>
      <c r="J628" s="1"/>
      <c r="K628" s="1"/>
      <c r="L628" s="5"/>
      <c r="M628" s="7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5.75" customHeight="1">
      <c r="A629" s="1"/>
      <c r="B629" s="1"/>
      <c r="C629" s="3"/>
      <c r="D629" s="1"/>
      <c r="E629" s="1"/>
      <c r="F629" s="1"/>
      <c r="G629" s="1"/>
      <c r="H629" s="1"/>
      <c r="I629" s="6"/>
      <c r="J629" s="1"/>
      <c r="K629" s="1"/>
      <c r="L629" s="7"/>
      <c r="M629" s="5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5.75" customHeight="1">
      <c r="A630" s="1"/>
      <c r="B630" s="1"/>
      <c r="C630" s="3"/>
      <c r="D630" s="1"/>
      <c r="E630" s="1"/>
      <c r="F630" s="1"/>
      <c r="G630" s="1"/>
      <c r="H630" s="1"/>
      <c r="I630" s="6"/>
      <c r="J630" s="1"/>
      <c r="K630" s="1"/>
      <c r="L630" s="5"/>
      <c r="M630" s="5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5.75" customHeight="1">
      <c r="A631" s="1"/>
      <c r="B631" s="1"/>
      <c r="C631" s="3"/>
      <c r="D631" s="1"/>
      <c r="E631" s="1"/>
      <c r="F631" s="1"/>
      <c r="G631" s="1"/>
      <c r="H631" s="1"/>
      <c r="I631" s="4"/>
      <c r="J631" s="1"/>
      <c r="K631" s="1"/>
      <c r="L631" s="5"/>
      <c r="M631" s="5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5.75" customHeight="1">
      <c r="A632" s="1"/>
      <c r="B632" s="1"/>
      <c r="C632" s="3"/>
      <c r="D632" s="1"/>
      <c r="E632" s="1"/>
      <c r="F632" s="1"/>
      <c r="G632" s="1"/>
      <c r="H632" s="1"/>
      <c r="I632" s="4"/>
      <c r="J632" s="1"/>
      <c r="K632" s="1"/>
      <c r="L632" s="7"/>
      <c r="M632" s="5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5.75" customHeight="1">
      <c r="A633" s="1"/>
      <c r="B633" s="1"/>
      <c r="C633" s="3"/>
      <c r="D633" s="1"/>
      <c r="E633" s="1"/>
      <c r="F633" s="1"/>
      <c r="G633" s="1"/>
      <c r="H633" s="1"/>
      <c r="I633" s="4"/>
      <c r="J633" s="1"/>
      <c r="K633" s="1"/>
      <c r="L633" s="7"/>
      <c r="M633" s="5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5.75" customHeight="1">
      <c r="A634" s="1"/>
      <c r="B634" s="1"/>
      <c r="C634" s="3"/>
      <c r="D634" s="1"/>
      <c r="E634" s="1"/>
      <c r="F634" s="1"/>
      <c r="G634" s="1"/>
      <c r="H634" s="1"/>
      <c r="I634" s="6"/>
      <c r="J634" s="1"/>
      <c r="K634" s="1"/>
      <c r="L634" s="5"/>
      <c r="M634" s="5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5.75" customHeight="1">
      <c r="A635" s="1"/>
      <c r="B635" s="1"/>
      <c r="C635" s="3"/>
      <c r="D635" s="1"/>
      <c r="E635" s="1"/>
      <c r="F635" s="1"/>
      <c r="G635" s="1"/>
      <c r="H635" s="1"/>
      <c r="I635" s="6"/>
      <c r="J635" s="1"/>
      <c r="K635" s="1"/>
      <c r="L635" s="5"/>
      <c r="M635" s="7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5.75" customHeight="1">
      <c r="A636" s="1"/>
      <c r="B636" s="1"/>
      <c r="C636" s="3"/>
      <c r="D636" s="1"/>
      <c r="E636" s="1"/>
      <c r="F636" s="1"/>
      <c r="G636" s="1"/>
      <c r="H636" s="1"/>
      <c r="I636" s="6"/>
      <c r="J636" s="1"/>
      <c r="K636" s="1"/>
      <c r="L636" s="5"/>
      <c r="M636" s="5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5.75" customHeight="1">
      <c r="A637" s="1"/>
      <c r="B637" s="1"/>
      <c r="C637" s="3"/>
      <c r="D637" s="1"/>
      <c r="E637" s="1"/>
      <c r="F637" s="1"/>
      <c r="G637" s="1"/>
      <c r="H637" s="1"/>
      <c r="I637" s="6"/>
      <c r="J637" s="1"/>
      <c r="K637" s="1"/>
      <c r="L637" s="5"/>
      <c r="M637" s="5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5.75" customHeight="1">
      <c r="A638" s="1"/>
      <c r="B638" s="1"/>
      <c r="C638" s="3"/>
      <c r="D638" s="1"/>
      <c r="E638" s="1"/>
      <c r="F638" s="1"/>
      <c r="G638" s="1"/>
      <c r="H638" s="1"/>
      <c r="I638" s="6"/>
      <c r="J638" s="1"/>
      <c r="K638" s="1"/>
      <c r="L638" s="5"/>
      <c r="M638" s="5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5.75" customHeight="1">
      <c r="A639" s="1"/>
      <c r="B639" s="1"/>
      <c r="C639" s="3"/>
      <c r="D639" s="1"/>
      <c r="E639" s="1"/>
      <c r="F639" s="1"/>
      <c r="G639" s="1"/>
      <c r="H639" s="1"/>
      <c r="I639" s="6"/>
      <c r="J639" s="1"/>
      <c r="K639" s="1"/>
      <c r="L639" s="5"/>
      <c r="M639" s="5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5.75" customHeight="1">
      <c r="A640" s="1"/>
      <c r="B640" s="1"/>
      <c r="C640" s="3"/>
      <c r="D640" s="1"/>
      <c r="E640" s="1"/>
      <c r="F640" s="1"/>
      <c r="G640" s="1"/>
      <c r="H640" s="1"/>
      <c r="I640" s="6"/>
      <c r="J640" s="1"/>
      <c r="K640" s="1"/>
      <c r="L640" s="5"/>
      <c r="M640" s="5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5.75" customHeight="1">
      <c r="A641" s="1"/>
      <c r="B641" s="1"/>
      <c r="C641" s="3"/>
      <c r="D641" s="1"/>
      <c r="E641" s="1"/>
      <c r="F641" s="1"/>
      <c r="G641" s="1"/>
      <c r="H641" s="1"/>
      <c r="I641" s="6"/>
      <c r="J641" s="1"/>
      <c r="K641" s="1"/>
      <c r="L641" s="5"/>
      <c r="M641" s="5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5.75" customHeight="1">
      <c r="A642" s="1"/>
      <c r="B642" s="1"/>
      <c r="C642" s="3"/>
      <c r="D642" s="1"/>
      <c r="E642" s="1"/>
      <c r="F642" s="1"/>
      <c r="G642" s="1"/>
      <c r="H642" s="1"/>
      <c r="I642" s="6"/>
      <c r="J642" s="1"/>
      <c r="K642" s="1"/>
      <c r="L642" s="5"/>
      <c r="M642" s="5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5.75" customHeight="1">
      <c r="A643" s="1"/>
      <c r="B643" s="1"/>
      <c r="C643" s="3"/>
      <c r="D643" s="1"/>
      <c r="E643" s="1"/>
      <c r="F643" s="1"/>
      <c r="G643" s="1"/>
      <c r="H643" s="1"/>
      <c r="I643" s="6"/>
      <c r="J643" s="1"/>
      <c r="K643" s="1"/>
      <c r="L643" s="5"/>
      <c r="M643" s="5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5.75" customHeight="1">
      <c r="A644" s="1"/>
      <c r="B644" s="1"/>
      <c r="C644" s="3"/>
      <c r="D644" s="1"/>
      <c r="E644" s="1"/>
      <c r="F644" s="1"/>
      <c r="G644" s="1"/>
      <c r="H644" s="1"/>
      <c r="I644" s="6"/>
      <c r="J644" s="1"/>
      <c r="K644" s="1"/>
      <c r="L644" s="5"/>
      <c r="M644" s="7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5.75" customHeight="1">
      <c r="A645" s="1"/>
      <c r="B645" s="1"/>
      <c r="C645" s="3"/>
      <c r="D645" s="1"/>
      <c r="E645" s="1"/>
      <c r="F645" s="1"/>
      <c r="G645" s="1"/>
      <c r="H645" s="1"/>
      <c r="I645" s="6"/>
      <c r="J645" s="1"/>
      <c r="K645" s="1"/>
      <c r="L645" s="5"/>
      <c r="M645" s="5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5.75" customHeight="1">
      <c r="A646" s="1"/>
      <c r="B646" s="1"/>
      <c r="C646" s="3"/>
      <c r="D646" s="1"/>
      <c r="E646" s="1"/>
      <c r="F646" s="1"/>
      <c r="G646" s="1"/>
      <c r="H646" s="1"/>
      <c r="I646" s="6"/>
      <c r="J646" s="1"/>
      <c r="K646" s="1"/>
      <c r="L646" s="5"/>
      <c r="M646" s="5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5.75" customHeight="1">
      <c r="A647" s="1"/>
      <c r="B647" s="1"/>
      <c r="C647" s="3"/>
      <c r="D647" s="1"/>
      <c r="E647" s="1"/>
      <c r="F647" s="1"/>
      <c r="G647" s="1"/>
      <c r="H647" s="1"/>
      <c r="I647" s="4"/>
      <c r="J647" s="1"/>
      <c r="K647" s="1"/>
      <c r="L647" s="5"/>
      <c r="M647" s="7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5.75" customHeight="1">
      <c r="A648" s="1"/>
      <c r="B648" s="1"/>
      <c r="C648" s="3"/>
      <c r="D648" s="1"/>
      <c r="E648" s="1"/>
      <c r="F648" s="1"/>
      <c r="G648" s="1"/>
      <c r="H648" s="1"/>
      <c r="I648" s="4"/>
      <c r="J648" s="1"/>
      <c r="K648" s="1"/>
      <c r="L648" s="5"/>
      <c r="M648" s="5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5.75" customHeight="1">
      <c r="A649" s="1"/>
      <c r="B649" s="1"/>
      <c r="C649" s="3"/>
      <c r="D649" s="1"/>
      <c r="E649" s="1"/>
      <c r="F649" s="1"/>
      <c r="G649" s="1"/>
      <c r="H649" s="1"/>
      <c r="I649" s="4"/>
      <c r="J649" s="1"/>
      <c r="K649" s="1"/>
      <c r="L649" s="5"/>
      <c r="M649" s="5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5.75" customHeight="1">
      <c r="A650" s="1"/>
      <c r="B650" s="1"/>
      <c r="C650" s="3"/>
      <c r="D650" s="1"/>
      <c r="E650" s="1"/>
      <c r="F650" s="1"/>
      <c r="G650" s="1"/>
      <c r="H650" s="1"/>
      <c r="I650" s="4"/>
      <c r="J650" s="1"/>
      <c r="K650" s="1"/>
      <c r="L650" s="5"/>
      <c r="M650" s="5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5.75" customHeight="1">
      <c r="A651" s="1"/>
      <c r="B651" s="1"/>
      <c r="C651" s="3"/>
      <c r="D651" s="1"/>
      <c r="E651" s="1"/>
      <c r="F651" s="1"/>
      <c r="G651" s="1"/>
      <c r="H651" s="1"/>
      <c r="I651" s="4"/>
      <c r="J651" s="1"/>
      <c r="K651" s="1"/>
      <c r="L651" s="7"/>
      <c r="M651" s="7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5.75" customHeight="1">
      <c r="A652" s="1"/>
      <c r="B652" s="1"/>
      <c r="C652" s="3"/>
      <c r="D652" s="1"/>
      <c r="E652" s="1"/>
      <c r="F652" s="1"/>
      <c r="G652" s="1"/>
      <c r="H652" s="1"/>
      <c r="I652" s="4"/>
      <c r="J652" s="1"/>
      <c r="K652" s="1"/>
      <c r="L652" s="5"/>
      <c r="M652" s="5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5.75" customHeight="1">
      <c r="A653" s="1"/>
      <c r="B653" s="1"/>
      <c r="C653" s="3"/>
      <c r="D653" s="1"/>
      <c r="E653" s="1"/>
      <c r="F653" s="1"/>
      <c r="G653" s="1"/>
      <c r="H653" s="1"/>
      <c r="I653" s="4"/>
      <c r="J653" s="1"/>
      <c r="K653" s="1"/>
      <c r="L653" s="5"/>
      <c r="M653" s="5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5.75" customHeight="1">
      <c r="A654" s="1"/>
      <c r="B654" s="1"/>
      <c r="C654" s="3"/>
      <c r="D654" s="1"/>
      <c r="E654" s="1"/>
      <c r="F654" s="1"/>
      <c r="G654" s="1"/>
      <c r="H654" s="1"/>
      <c r="I654" s="6"/>
      <c r="J654" s="1"/>
      <c r="K654" s="1"/>
      <c r="L654" s="5"/>
      <c r="M654" s="5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5.75" customHeight="1">
      <c r="A655" s="1"/>
      <c r="B655" s="1"/>
      <c r="C655" s="3"/>
      <c r="D655" s="1"/>
      <c r="E655" s="1"/>
      <c r="F655" s="1"/>
      <c r="G655" s="1"/>
      <c r="H655" s="1"/>
      <c r="I655" s="6"/>
      <c r="J655" s="1"/>
      <c r="K655" s="1"/>
      <c r="L655" s="7"/>
      <c r="M655" s="5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5.75" customHeight="1">
      <c r="A656" s="1"/>
      <c r="B656" s="1"/>
      <c r="C656" s="3"/>
      <c r="D656" s="1"/>
      <c r="E656" s="1"/>
      <c r="F656" s="1"/>
      <c r="G656" s="1"/>
      <c r="H656" s="1"/>
      <c r="I656" s="6"/>
      <c r="J656" s="1"/>
      <c r="K656" s="1"/>
      <c r="L656" s="5"/>
      <c r="M656" s="5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5.75" customHeight="1">
      <c r="A657" s="1"/>
      <c r="B657" s="1"/>
      <c r="C657" s="3"/>
      <c r="D657" s="1"/>
      <c r="E657" s="1"/>
      <c r="F657" s="1"/>
      <c r="G657" s="1"/>
      <c r="H657" s="1"/>
      <c r="I657" s="6"/>
      <c r="J657" s="1"/>
      <c r="K657" s="1"/>
      <c r="L657" s="5"/>
      <c r="M657" s="5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5.75" customHeight="1">
      <c r="A658" s="1"/>
      <c r="B658" s="1"/>
      <c r="C658" s="3"/>
      <c r="D658" s="1"/>
      <c r="E658" s="1"/>
      <c r="F658" s="1"/>
      <c r="G658" s="1"/>
      <c r="H658" s="1"/>
      <c r="I658" s="6"/>
      <c r="J658" s="1"/>
      <c r="K658" s="1"/>
      <c r="L658" s="5"/>
      <c r="M658" s="5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5.75" customHeight="1">
      <c r="A659" s="1"/>
      <c r="B659" s="1"/>
      <c r="C659" s="3"/>
      <c r="D659" s="1"/>
      <c r="E659" s="1"/>
      <c r="F659" s="1"/>
      <c r="G659" s="1"/>
      <c r="H659" s="1"/>
      <c r="I659" s="4"/>
      <c r="J659" s="1"/>
      <c r="K659" s="1"/>
      <c r="L659" s="5"/>
      <c r="M659" s="7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5.75" customHeight="1">
      <c r="A660" s="1"/>
      <c r="B660" s="1"/>
      <c r="C660" s="3"/>
      <c r="D660" s="1"/>
      <c r="E660" s="1"/>
      <c r="F660" s="1"/>
      <c r="G660" s="1"/>
      <c r="H660" s="1"/>
      <c r="I660" s="4"/>
      <c r="J660" s="1"/>
      <c r="K660" s="1"/>
      <c r="L660" s="7"/>
      <c r="M660" s="5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5.75" customHeight="1">
      <c r="A661" s="1"/>
      <c r="B661" s="1"/>
      <c r="C661" s="3"/>
      <c r="D661" s="1"/>
      <c r="E661" s="1"/>
      <c r="F661" s="1"/>
      <c r="G661" s="1"/>
      <c r="H661" s="1"/>
      <c r="I661" s="4"/>
      <c r="J661" s="1"/>
      <c r="K661" s="1"/>
      <c r="L661" s="7"/>
      <c r="M661" s="5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5.75" customHeight="1">
      <c r="A662" s="1"/>
      <c r="B662" s="1"/>
      <c r="C662" s="3"/>
      <c r="D662" s="1"/>
      <c r="E662" s="1"/>
      <c r="F662" s="1"/>
      <c r="G662" s="1"/>
      <c r="H662" s="1"/>
      <c r="I662" s="4"/>
      <c r="J662" s="1"/>
      <c r="K662" s="1"/>
      <c r="L662" s="5"/>
      <c r="M662" s="7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5.75" customHeight="1">
      <c r="A663" s="1"/>
      <c r="B663" s="1"/>
      <c r="C663" s="3"/>
      <c r="D663" s="1"/>
      <c r="E663" s="1"/>
      <c r="F663" s="1"/>
      <c r="G663" s="1"/>
      <c r="H663" s="1"/>
      <c r="I663" s="4"/>
      <c r="J663" s="1"/>
      <c r="K663" s="1"/>
      <c r="L663" s="5"/>
      <c r="M663" s="5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5.75" customHeight="1">
      <c r="A664" s="1"/>
      <c r="B664" s="1"/>
      <c r="C664" s="3"/>
      <c r="D664" s="1"/>
      <c r="E664" s="1"/>
      <c r="F664" s="1"/>
      <c r="G664" s="1"/>
      <c r="H664" s="1"/>
      <c r="I664" s="4"/>
      <c r="J664" s="1"/>
      <c r="K664" s="1"/>
      <c r="L664" s="5"/>
      <c r="M664" s="5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5.75" customHeight="1">
      <c r="A665" s="1"/>
      <c r="B665" s="1"/>
      <c r="C665" s="3"/>
      <c r="D665" s="1"/>
      <c r="E665" s="1"/>
      <c r="F665" s="1"/>
      <c r="G665" s="1"/>
      <c r="H665" s="1"/>
      <c r="I665" s="6"/>
      <c r="J665" s="1"/>
      <c r="K665" s="1"/>
      <c r="L665" s="7"/>
      <c r="M665" s="5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5.75" customHeight="1">
      <c r="A666" s="1"/>
      <c r="B666" s="1"/>
      <c r="C666" s="3"/>
      <c r="D666" s="1"/>
      <c r="E666" s="1"/>
      <c r="F666" s="1"/>
      <c r="G666" s="1"/>
      <c r="H666" s="1"/>
      <c r="I666" s="6"/>
      <c r="J666" s="1"/>
      <c r="K666" s="1"/>
      <c r="L666" s="5"/>
      <c r="M666" s="7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5.75" customHeight="1">
      <c r="A667" s="1"/>
      <c r="B667" s="1"/>
      <c r="C667" s="3"/>
      <c r="D667" s="1"/>
      <c r="E667" s="1"/>
      <c r="F667" s="1"/>
      <c r="G667" s="1"/>
      <c r="H667" s="1"/>
      <c r="I667" s="6"/>
      <c r="J667" s="1"/>
      <c r="K667" s="1"/>
      <c r="L667" s="7"/>
      <c r="M667" s="5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5.75" customHeight="1">
      <c r="A668" s="1"/>
      <c r="B668" s="1"/>
      <c r="C668" s="3"/>
      <c r="D668" s="1"/>
      <c r="E668" s="1"/>
      <c r="F668" s="1"/>
      <c r="G668" s="1"/>
      <c r="H668" s="1"/>
      <c r="I668" s="6"/>
      <c r="J668" s="1"/>
      <c r="K668" s="1"/>
      <c r="L668" s="5"/>
      <c r="M668" s="5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5.75" customHeight="1">
      <c r="A669" s="1"/>
      <c r="B669" s="1"/>
      <c r="C669" s="3"/>
      <c r="D669" s="1"/>
      <c r="E669" s="1"/>
      <c r="F669" s="1"/>
      <c r="G669" s="1"/>
      <c r="H669" s="1"/>
      <c r="I669" s="6"/>
      <c r="J669" s="1"/>
      <c r="K669" s="1"/>
      <c r="L669" s="5"/>
      <c r="M669" s="5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5.75" customHeight="1">
      <c r="A670" s="1"/>
      <c r="B670" s="1"/>
      <c r="C670" s="3"/>
      <c r="D670" s="1"/>
      <c r="E670" s="1"/>
      <c r="F670" s="1"/>
      <c r="G670" s="1"/>
      <c r="H670" s="1"/>
      <c r="I670" s="6"/>
      <c r="J670" s="1"/>
      <c r="K670" s="1"/>
      <c r="L670" s="5"/>
      <c r="M670" s="5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5.75" customHeight="1">
      <c r="A671" s="1"/>
      <c r="B671" s="1"/>
      <c r="C671" s="3"/>
      <c r="D671" s="1"/>
      <c r="E671" s="1"/>
      <c r="F671" s="1"/>
      <c r="G671" s="1"/>
      <c r="H671" s="1"/>
      <c r="I671" s="6"/>
      <c r="J671" s="1"/>
      <c r="K671" s="1"/>
      <c r="L671" s="5"/>
      <c r="M671" s="5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5.75" customHeight="1">
      <c r="A672" s="1"/>
      <c r="B672" s="1"/>
      <c r="C672" s="3"/>
      <c r="D672" s="1"/>
      <c r="E672" s="1"/>
      <c r="F672" s="1"/>
      <c r="G672" s="1"/>
      <c r="H672" s="1"/>
      <c r="I672" s="6"/>
      <c r="J672" s="1"/>
      <c r="K672" s="1"/>
      <c r="L672" s="5"/>
      <c r="M672" s="5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5.75" customHeight="1">
      <c r="A673" s="1"/>
      <c r="B673" s="1"/>
      <c r="C673" s="3"/>
      <c r="D673" s="1"/>
      <c r="E673" s="1"/>
      <c r="F673" s="1"/>
      <c r="G673" s="1"/>
      <c r="H673" s="1"/>
      <c r="I673" s="6"/>
      <c r="J673" s="1"/>
      <c r="K673" s="1"/>
      <c r="L673" s="7"/>
      <c r="M673" s="5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5.75" customHeight="1">
      <c r="A674" s="1"/>
      <c r="B674" s="1"/>
      <c r="C674" s="3"/>
      <c r="D674" s="1"/>
      <c r="E674" s="1"/>
      <c r="F674" s="1"/>
      <c r="G674" s="1"/>
      <c r="H674" s="1"/>
      <c r="I674" s="6"/>
      <c r="J674" s="1"/>
      <c r="K674" s="1"/>
      <c r="L674" s="5"/>
      <c r="M674" s="5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5.75" customHeight="1">
      <c r="A675" s="1"/>
      <c r="B675" s="1"/>
      <c r="C675" s="3"/>
      <c r="D675" s="1"/>
      <c r="E675" s="1"/>
      <c r="F675" s="1"/>
      <c r="G675" s="1"/>
      <c r="H675" s="1"/>
      <c r="I675" s="6"/>
      <c r="J675" s="1"/>
      <c r="K675" s="1"/>
      <c r="L675" s="5"/>
      <c r="M675" s="5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5.75" customHeight="1">
      <c r="A676" s="1"/>
      <c r="B676" s="1"/>
      <c r="C676" s="3"/>
      <c r="D676" s="1"/>
      <c r="E676" s="1"/>
      <c r="F676" s="1"/>
      <c r="G676" s="1"/>
      <c r="H676" s="1"/>
      <c r="I676" s="4"/>
      <c r="J676" s="1"/>
      <c r="K676" s="1"/>
      <c r="L676" s="5"/>
      <c r="M676" s="5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5.75" customHeight="1">
      <c r="A677" s="1"/>
      <c r="B677" s="1"/>
      <c r="C677" s="3"/>
      <c r="D677" s="1"/>
      <c r="E677" s="1"/>
      <c r="F677" s="1"/>
      <c r="G677" s="1"/>
      <c r="H677" s="1"/>
      <c r="I677" s="6"/>
      <c r="J677" s="1"/>
      <c r="K677" s="1"/>
      <c r="L677" s="5"/>
      <c r="M677" s="7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5.75" customHeight="1">
      <c r="A678" s="1"/>
      <c r="B678" s="1"/>
      <c r="C678" s="3"/>
      <c r="D678" s="1"/>
      <c r="E678" s="1"/>
      <c r="F678" s="1"/>
      <c r="G678" s="1"/>
      <c r="H678" s="1"/>
      <c r="I678" s="6"/>
      <c r="J678" s="1"/>
      <c r="K678" s="1"/>
      <c r="L678" s="5"/>
      <c r="M678" s="5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5.75" customHeight="1">
      <c r="A679" s="1"/>
      <c r="B679" s="1"/>
      <c r="C679" s="3"/>
      <c r="D679" s="1"/>
      <c r="E679" s="1"/>
      <c r="F679" s="1"/>
      <c r="G679" s="1"/>
      <c r="H679" s="1"/>
      <c r="I679" s="4"/>
      <c r="J679" s="1"/>
      <c r="K679" s="1"/>
      <c r="L679" s="5"/>
      <c r="M679" s="5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5.75" customHeight="1">
      <c r="A680" s="1"/>
      <c r="B680" s="1"/>
      <c r="C680" s="3"/>
      <c r="D680" s="1"/>
      <c r="E680" s="1"/>
      <c r="F680" s="1"/>
      <c r="G680" s="1"/>
      <c r="H680" s="1"/>
      <c r="I680" s="4"/>
      <c r="J680" s="1"/>
      <c r="K680" s="1"/>
      <c r="L680" s="5"/>
      <c r="M680" s="5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5.75" customHeight="1">
      <c r="A681" s="1"/>
      <c r="B681" s="1"/>
      <c r="C681" s="3"/>
      <c r="D681" s="1"/>
      <c r="E681" s="1"/>
      <c r="F681" s="1"/>
      <c r="G681" s="1"/>
      <c r="H681" s="1"/>
      <c r="I681" s="6"/>
      <c r="J681" s="1"/>
      <c r="K681" s="1"/>
      <c r="L681" s="5"/>
      <c r="M681" s="5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5.75" customHeight="1">
      <c r="A682" s="1"/>
      <c r="B682" s="1"/>
      <c r="C682" s="3"/>
      <c r="D682" s="1"/>
      <c r="E682" s="1"/>
      <c r="F682" s="1"/>
      <c r="G682" s="1"/>
      <c r="H682" s="1"/>
      <c r="I682" s="6"/>
      <c r="J682" s="1"/>
      <c r="K682" s="1"/>
      <c r="L682" s="5"/>
      <c r="M682" s="5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5.75" customHeight="1">
      <c r="A683" s="1"/>
      <c r="B683" s="1"/>
      <c r="C683" s="3"/>
      <c r="D683" s="1"/>
      <c r="E683" s="1"/>
      <c r="F683" s="1"/>
      <c r="G683" s="1"/>
      <c r="H683" s="1"/>
      <c r="I683" s="6"/>
      <c r="J683" s="1"/>
      <c r="K683" s="1"/>
      <c r="L683" s="5"/>
      <c r="M683" s="5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5.75" customHeight="1">
      <c r="A684" s="1"/>
      <c r="B684" s="1"/>
      <c r="C684" s="3"/>
      <c r="D684" s="1"/>
      <c r="E684" s="1"/>
      <c r="F684" s="1"/>
      <c r="G684" s="1"/>
      <c r="H684" s="1"/>
      <c r="I684" s="6"/>
      <c r="J684" s="1"/>
      <c r="K684" s="1"/>
      <c r="L684" s="5"/>
      <c r="M684" s="5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5.75" customHeight="1">
      <c r="A685" s="1"/>
      <c r="B685" s="1"/>
      <c r="C685" s="3"/>
      <c r="D685" s="1"/>
      <c r="E685" s="1"/>
      <c r="F685" s="1"/>
      <c r="G685" s="1"/>
      <c r="H685" s="1"/>
      <c r="I685" s="6"/>
      <c r="J685" s="1"/>
      <c r="K685" s="1"/>
      <c r="L685" s="5"/>
      <c r="M685" s="5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5.75" customHeight="1">
      <c r="A686" s="1"/>
      <c r="B686" s="1"/>
      <c r="C686" s="3"/>
      <c r="D686" s="1"/>
      <c r="E686" s="1"/>
      <c r="F686" s="1"/>
      <c r="G686" s="1"/>
      <c r="H686" s="1"/>
      <c r="I686" s="6"/>
      <c r="J686" s="1"/>
      <c r="K686" s="1"/>
      <c r="L686" s="5"/>
      <c r="M686" s="7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5.75" customHeight="1">
      <c r="A687" s="1"/>
      <c r="B687" s="1"/>
      <c r="C687" s="3"/>
      <c r="D687" s="1"/>
      <c r="E687" s="1"/>
      <c r="F687" s="1"/>
      <c r="G687" s="1"/>
      <c r="H687" s="1"/>
      <c r="I687" s="6"/>
      <c r="J687" s="1"/>
      <c r="K687" s="1"/>
      <c r="L687" s="5"/>
      <c r="M687" s="5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5.75" customHeight="1">
      <c r="A688" s="1"/>
      <c r="B688" s="1"/>
      <c r="C688" s="3"/>
      <c r="D688" s="1"/>
      <c r="E688" s="1"/>
      <c r="F688" s="1"/>
      <c r="G688" s="1"/>
      <c r="H688" s="1"/>
      <c r="I688" s="6"/>
      <c r="J688" s="1"/>
      <c r="K688" s="1"/>
      <c r="L688" s="5"/>
      <c r="M688" s="7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5.75" customHeight="1">
      <c r="A689" s="1"/>
      <c r="B689" s="1"/>
      <c r="C689" s="3"/>
      <c r="D689" s="1"/>
      <c r="E689" s="1"/>
      <c r="F689" s="1"/>
      <c r="G689" s="1"/>
      <c r="H689" s="1"/>
      <c r="I689" s="6"/>
      <c r="J689" s="1"/>
      <c r="K689" s="1"/>
      <c r="L689" s="5"/>
      <c r="M689" s="7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5.75" customHeight="1">
      <c r="A690" s="1"/>
      <c r="B690" s="1"/>
      <c r="C690" s="3"/>
      <c r="D690" s="1"/>
      <c r="E690" s="1"/>
      <c r="F690" s="1"/>
      <c r="G690" s="1"/>
      <c r="H690" s="1"/>
      <c r="I690" s="4"/>
      <c r="J690" s="1"/>
      <c r="K690" s="1"/>
      <c r="L690" s="5"/>
      <c r="M690" s="5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5.75" customHeight="1">
      <c r="A691" s="1"/>
      <c r="B691" s="1"/>
      <c r="C691" s="3"/>
      <c r="D691" s="1"/>
      <c r="E691" s="1"/>
      <c r="F691" s="1"/>
      <c r="G691" s="1"/>
      <c r="H691" s="1"/>
      <c r="I691" s="6"/>
      <c r="J691" s="1"/>
      <c r="K691" s="1"/>
      <c r="L691" s="5"/>
      <c r="M691" s="7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5.75" customHeight="1">
      <c r="A692" s="1"/>
      <c r="B692" s="1"/>
      <c r="C692" s="3"/>
      <c r="D692" s="1"/>
      <c r="E692" s="1"/>
      <c r="F692" s="1"/>
      <c r="G692" s="1"/>
      <c r="H692" s="1"/>
      <c r="I692" s="6"/>
      <c r="J692" s="1"/>
      <c r="K692" s="1"/>
      <c r="L692" s="5"/>
      <c r="M692" s="5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5.75" customHeight="1">
      <c r="A693" s="1"/>
      <c r="B693" s="1"/>
      <c r="C693" s="3"/>
      <c r="D693" s="1"/>
      <c r="E693" s="1"/>
      <c r="F693" s="1"/>
      <c r="G693" s="1"/>
      <c r="H693" s="1"/>
      <c r="I693" s="6"/>
      <c r="J693" s="1"/>
      <c r="K693" s="1"/>
      <c r="L693" s="5"/>
      <c r="M693" s="5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5.75" customHeight="1">
      <c r="A694" s="1"/>
      <c r="B694" s="1"/>
      <c r="C694" s="3"/>
      <c r="D694" s="1"/>
      <c r="E694" s="1"/>
      <c r="F694" s="1"/>
      <c r="G694" s="1"/>
      <c r="H694" s="1"/>
      <c r="I694" s="6"/>
      <c r="J694" s="1"/>
      <c r="K694" s="1"/>
      <c r="L694" s="5"/>
      <c r="M694" s="5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5.75" customHeight="1">
      <c r="A695" s="1"/>
      <c r="B695" s="1"/>
      <c r="C695" s="3"/>
      <c r="D695" s="1"/>
      <c r="E695" s="1"/>
      <c r="F695" s="1"/>
      <c r="G695" s="1"/>
      <c r="H695" s="1"/>
      <c r="I695" s="6"/>
      <c r="J695" s="1"/>
      <c r="K695" s="1"/>
      <c r="L695" s="5"/>
      <c r="M695" s="5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5.75" customHeight="1">
      <c r="A696" s="1"/>
      <c r="B696" s="1"/>
      <c r="C696" s="3"/>
      <c r="D696" s="1"/>
      <c r="E696" s="1"/>
      <c r="F696" s="1"/>
      <c r="G696" s="1"/>
      <c r="H696" s="1"/>
      <c r="I696" s="6"/>
      <c r="J696" s="1"/>
      <c r="K696" s="1"/>
      <c r="L696" s="5"/>
      <c r="M696" s="5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5.75" customHeight="1">
      <c r="A697" s="1"/>
      <c r="B697" s="1"/>
      <c r="C697" s="3"/>
      <c r="D697" s="1"/>
      <c r="E697" s="1"/>
      <c r="F697" s="1"/>
      <c r="G697" s="1"/>
      <c r="H697" s="1"/>
      <c r="I697" s="6"/>
      <c r="J697" s="1"/>
      <c r="K697" s="1"/>
      <c r="L697" s="5"/>
      <c r="M697" s="5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5.75" customHeight="1">
      <c r="A698" s="1"/>
      <c r="B698" s="1"/>
      <c r="C698" s="3"/>
      <c r="D698" s="1"/>
      <c r="E698" s="1"/>
      <c r="F698" s="1"/>
      <c r="G698" s="1"/>
      <c r="H698" s="1"/>
      <c r="I698" s="6"/>
      <c r="J698" s="1"/>
      <c r="K698" s="1"/>
      <c r="L698" s="5"/>
      <c r="M698" s="5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5.75" customHeight="1">
      <c r="A699" s="1"/>
      <c r="B699" s="1"/>
      <c r="C699" s="3"/>
      <c r="D699" s="1"/>
      <c r="E699" s="1"/>
      <c r="F699" s="1"/>
      <c r="G699" s="1"/>
      <c r="H699" s="1"/>
      <c r="I699" s="6"/>
      <c r="J699" s="1"/>
      <c r="K699" s="1"/>
      <c r="L699" s="7"/>
      <c r="M699" s="5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5.75" customHeight="1">
      <c r="A700" s="1"/>
      <c r="B700" s="1"/>
      <c r="C700" s="3"/>
      <c r="D700" s="1"/>
      <c r="E700" s="1"/>
      <c r="F700" s="1"/>
      <c r="G700" s="1"/>
      <c r="H700" s="1"/>
      <c r="I700" s="6"/>
      <c r="J700" s="1"/>
      <c r="K700" s="1"/>
      <c r="L700" s="5"/>
      <c r="M700" s="5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5.75" customHeight="1">
      <c r="A701" s="1"/>
      <c r="B701" s="1"/>
      <c r="C701" s="3"/>
      <c r="D701" s="1"/>
      <c r="E701" s="1"/>
      <c r="F701" s="1"/>
      <c r="G701" s="1"/>
      <c r="H701" s="1"/>
      <c r="I701" s="6"/>
      <c r="J701" s="1"/>
      <c r="K701" s="1"/>
      <c r="L701" s="5"/>
      <c r="M701" s="5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5.75" customHeight="1">
      <c r="A702" s="1"/>
      <c r="B702" s="1"/>
      <c r="C702" s="3"/>
      <c r="D702" s="1"/>
      <c r="E702" s="1"/>
      <c r="F702" s="1"/>
      <c r="G702" s="1"/>
      <c r="H702" s="1"/>
      <c r="I702" s="6"/>
      <c r="J702" s="1"/>
      <c r="K702" s="1"/>
      <c r="L702" s="5"/>
      <c r="M702" s="5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5.75" customHeight="1">
      <c r="A703" s="1"/>
      <c r="B703" s="1"/>
      <c r="C703" s="3"/>
      <c r="D703" s="1"/>
      <c r="E703" s="1"/>
      <c r="F703" s="1"/>
      <c r="G703" s="1"/>
      <c r="H703" s="1"/>
      <c r="I703" s="6"/>
      <c r="J703" s="1"/>
      <c r="K703" s="1"/>
      <c r="L703" s="5"/>
      <c r="M703" s="5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5.75" customHeight="1">
      <c r="A704" s="1"/>
      <c r="B704" s="1"/>
      <c r="C704" s="3"/>
      <c r="D704" s="1"/>
      <c r="E704" s="1"/>
      <c r="F704" s="1"/>
      <c r="G704" s="1"/>
      <c r="H704" s="1"/>
      <c r="I704" s="6"/>
      <c r="J704" s="1"/>
      <c r="K704" s="1"/>
      <c r="L704" s="5"/>
      <c r="M704" s="7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5.75" customHeight="1">
      <c r="A705" s="1"/>
      <c r="B705" s="1"/>
      <c r="C705" s="3"/>
      <c r="D705" s="1"/>
      <c r="E705" s="1"/>
      <c r="F705" s="1"/>
      <c r="G705" s="1"/>
      <c r="H705" s="1"/>
      <c r="I705" s="4"/>
      <c r="J705" s="1"/>
      <c r="K705" s="1"/>
      <c r="L705" s="5"/>
      <c r="M705" s="5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5.75" customHeight="1">
      <c r="A706" s="1"/>
      <c r="B706" s="1"/>
      <c r="C706" s="3"/>
      <c r="D706" s="1"/>
      <c r="E706" s="1"/>
      <c r="F706" s="1"/>
      <c r="G706" s="1"/>
      <c r="H706" s="1"/>
      <c r="I706" s="4"/>
      <c r="J706" s="1"/>
      <c r="K706" s="1"/>
      <c r="L706" s="7"/>
      <c r="M706" s="5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5.75" customHeight="1">
      <c r="A707" s="1"/>
      <c r="B707" s="1"/>
      <c r="C707" s="3"/>
      <c r="D707" s="1"/>
      <c r="E707" s="1"/>
      <c r="F707" s="1"/>
      <c r="G707" s="1"/>
      <c r="H707" s="1"/>
      <c r="I707" s="4"/>
      <c r="J707" s="1"/>
      <c r="K707" s="1"/>
      <c r="L707" s="5"/>
      <c r="M707" s="5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5.75" customHeight="1">
      <c r="A708" s="1"/>
      <c r="B708" s="1"/>
      <c r="C708" s="3"/>
      <c r="D708" s="1"/>
      <c r="E708" s="1"/>
      <c r="F708" s="1"/>
      <c r="G708" s="1"/>
      <c r="H708" s="1"/>
      <c r="I708" s="4"/>
      <c r="J708" s="1"/>
      <c r="K708" s="1"/>
      <c r="L708" s="5"/>
      <c r="M708" s="5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5.75" customHeight="1">
      <c r="A709" s="1"/>
      <c r="B709" s="1"/>
      <c r="C709" s="3"/>
      <c r="D709" s="1"/>
      <c r="E709" s="1"/>
      <c r="F709" s="1"/>
      <c r="G709" s="1"/>
      <c r="H709" s="1"/>
      <c r="I709" s="4"/>
      <c r="J709" s="1"/>
      <c r="K709" s="1"/>
      <c r="L709" s="5"/>
      <c r="M709" s="5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5.75" customHeight="1">
      <c r="A710" s="1"/>
      <c r="B710" s="1"/>
      <c r="C710" s="3"/>
      <c r="D710" s="1"/>
      <c r="E710" s="1"/>
      <c r="F710" s="1"/>
      <c r="G710" s="1"/>
      <c r="H710" s="1"/>
      <c r="I710" s="6"/>
      <c r="J710" s="1"/>
      <c r="K710" s="1"/>
      <c r="L710" s="7"/>
      <c r="M710" s="7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5.75" customHeight="1">
      <c r="A711" s="1"/>
      <c r="B711" s="1"/>
      <c r="C711" s="3"/>
      <c r="D711" s="1"/>
      <c r="E711" s="1"/>
      <c r="F711" s="1"/>
      <c r="G711" s="1"/>
      <c r="H711" s="1"/>
      <c r="I711" s="6"/>
      <c r="J711" s="1"/>
      <c r="K711" s="1"/>
      <c r="L711" s="5"/>
      <c r="M711" s="5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5.75" customHeight="1">
      <c r="A712" s="1"/>
      <c r="B712" s="1"/>
      <c r="C712" s="3"/>
      <c r="D712" s="1"/>
      <c r="E712" s="1"/>
      <c r="F712" s="1"/>
      <c r="G712" s="1"/>
      <c r="H712" s="1"/>
      <c r="I712" s="6"/>
      <c r="J712" s="1"/>
      <c r="K712" s="1"/>
      <c r="L712" s="7"/>
      <c r="M712" s="5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5.75" customHeight="1">
      <c r="A713" s="1"/>
      <c r="B713" s="1"/>
      <c r="C713" s="3"/>
      <c r="D713" s="1"/>
      <c r="E713" s="1"/>
      <c r="F713" s="1"/>
      <c r="G713" s="1"/>
      <c r="H713" s="1"/>
      <c r="I713" s="6"/>
      <c r="J713" s="1"/>
      <c r="K713" s="1"/>
      <c r="L713" s="5"/>
      <c r="M713" s="5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5.75" customHeight="1">
      <c r="A714" s="1"/>
      <c r="B714" s="1"/>
      <c r="C714" s="3"/>
      <c r="D714" s="1"/>
      <c r="E714" s="1"/>
      <c r="F714" s="1"/>
      <c r="G714" s="1"/>
      <c r="H714" s="1"/>
      <c r="I714" s="6"/>
      <c r="J714" s="1"/>
      <c r="K714" s="1"/>
      <c r="L714" s="5"/>
      <c r="M714" s="7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5.75" customHeight="1">
      <c r="A715" s="1"/>
      <c r="B715" s="1"/>
      <c r="C715" s="3"/>
      <c r="D715" s="1"/>
      <c r="E715" s="1"/>
      <c r="F715" s="1"/>
      <c r="G715" s="1"/>
      <c r="H715" s="1"/>
      <c r="I715" s="6"/>
      <c r="J715" s="1"/>
      <c r="K715" s="1"/>
      <c r="L715" s="5"/>
      <c r="M715" s="5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5.75" customHeight="1">
      <c r="A716" s="1"/>
      <c r="B716" s="1"/>
      <c r="C716" s="3"/>
      <c r="D716" s="1"/>
      <c r="E716" s="1"/>
      <c r="F716" s="1"/>
      <c r="G716" s="1"/>
      <c r="H716" s="1"/>
      <c r="I716" s="6"/>
      <c r="J716" s="1"/>
      <c r="K716" s="1"/>
      <c r="L716" s="5"/>
      <c r="M716" s="5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5.75" customHeight="1">
      <c r="A717" s="1"/>
      <c r="B717" s="1"/>
      <c r="C717" s="3"/>
      <c r="D717" s="1"/>
      <c r="E717" s="1"/>
      <c r="F717" s="1"/>
      <c r="G717" s="1"/>
      <c r="H717" s="1"/>
      <c r="I717" s="6"/>
      <c r="J717" s="1"/>
      <c r="K717" s="1"/>
      <c r="L717" s="5"/>
      <c r="M717" s="5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5.75" customHeight="1">
      <c r="A718" s="1"/>
      <c r="B718" s="1"/>
      <c r="C718" s="3"/>
      <c r="D718" s="1"/>
      <c r="E718" s="1"/>
      <c r="F718" s="1"/>
      <c r="G718" s="1"/>
      <c r="H718" s="1"/>
      <c r="I718" s="6"/>
      <c r="J718" s="1"/>
      <c r="K718" s="1"/>
      <c r="L718" s="5"/>
      <c r="M718" s="5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5.75" customHeight="1">
      <c r="A719" s="1"/>
      <c r="B719" s="1"/>
      <c r="C719" s="3"/>
      <c r="D719" s="1"/>
      <c r="E719" s="1"/>
      <c r="F719" s="1"/>
      <c r="G719" s="1"/>
      <c r="H719" s="1"/>
      <c r="I719" s="6"/>
      <c r="J719" s="1"/>
      <c r="K719" s="1"/>
      <c r="L719" s="5"/>
      <c r="M719" s="5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5.75" customHeight="1">
      <c r="A720" s="1"/>
      <c r="B720" s="1"/>
      <c r="C720" s="3"/>
      <c r="D720" s="1"/>
      <c r="E720" s="1"/>
      <c r="F720" s="1"/>
      <c r="G720" s="1"/>
      <c r="H720" s="1"/>
      <c r="I720" s="6"/>
      <c r="J720" s="1"/>
      <c r="K720" s="1"/>
      <c r="L720" s="5"/>
      <c r="M720" s="7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5.75" customHeight="1">
      <c r="A721" s="1"/>
      <c r="B721" s="1"/>
      <c r="C721" s="3"/>
      <c r="D721" s="1"/>
      <c r="E721" s="1"/>
      <c r="F721" s="1"/>
      <c r="G721" s="1"/>
      <c r="H721" s="1"/>
      <c r="I721" s="4"/>
      <c r="J721" s="1"/>
      <c r="K721" s="1"/>
      <c r="L721" s="5"/>
      <c r="M721" s="5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5.75" customHeight="1">
      <c r="A722" s="1"/>
      <c r="B722" s="1"/>
      <c r="C722" s="3"/>
      <c r="D722" s="1"/>
      <c r="E722" s="1"/>
      <c r="F722" s="1"/>
      <c r="G722" s="1"/>
      <c r="H722" s="1"/>
      <c r="I722" s="4"/>
      <c r="J722" s="1"/>
      <c r="K722" s="1"/>
      <c r="L722" s="5"/>
      <c r="M722" s="5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5.75" customHeight="1">
      <c r="A723" s="1"/>
      <c r="B723" s="1"/>
      <c r="C723" s="3"/>
      <c r="D723" s="1"/>
      <c r="E723" s="1"/>
      <c r="F723" s="1"/>
      <c r="G723" s="1"/>
      <c r="H723" s="1"/>
      <c r="I723" s="4"/>
      <c r="J723" s="1"/>
      <c r="K723" s="1"/>
      <c r="L723" s="5"/>
      <c r="M723" s="5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5.75" customHeight="1">
      <c r="A724" s="1"/>
      <c r="B724" s="1"/>
      <c r="C724" s="3"/>
      <c r="D724" s="1"/>
      <c r="E724" s="1"/>
      <c r="F724" s="1"/>
      <c r="G724" s="1"/>
      <c r="H724" s="1"/>
      <c r="I724" s="4"/>
      <c r="J724" s="1"/>
      <c r="K724" s="1"/>
      <c r="L724" s="5"/>
      <c r="M724" s="5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5.75" customHeight="1">
      <c r="A725" s="1"/>
      <c r="B725" s="1"/>
      <c r="C725" s="3"/>
      <c r="D725" s="1"/>
      <c r="E725" s="1"/>
      <c r="F725" s="1"/>
      <c r="G725" s="1"/>
      <c r="H725" s="1"/>
      <c r="I725" s="6"/>
      <c r="J725" s="1"/>
      <c r="K725" s="1"/>
      <c r="L725" s="5"/>
      <c r="M725" s="5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5.75" customHeight="1">
      <c r="A726" s="1"/>
      <c r="B726" s="1"/>
      <c r="C726" s="3"/>
      <c r="D726" s="1"/>
      <c r="E726" s="1"/>
      <c r="F726" s="1"/>
      <c r="G726" s="1"/>
      <c r="H726" s="1"/>
      <c r="I726" s="6"/>
      <c r="J726" s="1"/>
      <c r="K726" s="1"/>
      <c r="L726" s="5"/>
      <c r="M726" s="5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5.75" customHeight="1">
      <c r="A727" s="1"/>
      <c r="B727" s="1"/>
      <c r="C727" s="3"/>
      <c r="D727" s="1"/>
      <c r="E727" s="1"/>
      <c r="F727" s="1"/>
      <c r="G727" s="1"/>
      <c r="H727" s="1"/>
      <c r="I727" s="4"/>
      <c r="J727" s="1"/>
      <c r="K727" s="1"/>
      <c r="L727" s="5"/>
      <c r="M727" s="7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5.75" customHeight="1">
      <c r="A728" s="1"/>
      <c r="B728" s="1"/>
      <c r="C728" s="3"/>
      <c r="D728" s="1"/>
      <c r="E728" s="1"/>
      <c r="F728" s="1"/>
      <c r="G728" s="1"/>
      <c r="H728" s="1"/>
      <c r="I728" s="4"/>
      <c r="J728" s="1"/>
      <c r="K728" s="1"/>
      <c r="L728" s="7"/>
      <c r="M728" s="5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5.75" customHeight="1">
      <c r="A729" s="1"/>
      <c r="B729" s="1"/>
      <c r="C729" s="3"/>
      <c r="D729" s="1"/>
      <c r="E729" s="1"/>
      <c r="F729" s="1"/>
      <c r="G729" s="1"/>
      <c r="H729" s="1"/>
      <c r="I729" s="6"/>
      <c r="J729" s="1"/>
      <c r="K729" s="1"/>
      <c r="L729" s="7"/>
      <c r="M729" s="5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5.75" customHeight="1">
      <c r="A730" s="1"/>
      <c r="B730" s="1"/>
      <c r="C730" s="3"/>
      <c r="D730" s="1"/>
      <c r="E730" s="1"/>
      <c r="F730" s="1"/>
      <c r="G730" s="1"/>
      <c r="H730" s="1"/>
      <c r="I730" s="6"/>
      <c r="J730" s="1"/>
      <c r="K730" s="1"/>
      <c r="L730" s="5"/>
      <c r="M730" s="5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5.75" customHeight="1">
      <c r="A731" s="1"/>
      <c r="B731" s="1"/>
      <c r="C731" s="3"/>
      <c r="D731" s="1"/>
      <c r="E731" s="1"/>
      <c r="F731" s="1"/>
      <c r="G731" s="1"/>
      <c r="H731" s="1"/>
      <c r="I731" s="6"/>
      <c r="J731" s="1"/>
      <c r="K731" s="1"/>
      <c r="L731" s="5"/>
      <c r="M731" s="7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5.75" customHeight="1">
      <c r="A732" s="1"/>
      <c r="B732" s="1"/>
      <c r="C732" s="3"/>
      <c r="D732" s="1"/>
      <c r="E732" s="1"/>
      <c r="F732" s="1"/>
      <c r="G732" s="1"/>
      <c r="H732" s="1"/>
      <c r="I732" s="6"/>
      <c r="J732" s="1"/>
      <c r="K732" s="1"/>
      <c r="L732" s="5"/>
      <c r="M732" s="7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5.75" customHeight="1">
      <c r="A733" s="1"/>
      <c r="B733" s="1"/>
      <c r="C733" s="3"/>
      <c r="D733" s="1"/>
      <c r="E733" s="1"/>
      <c r="F733" s="1"/>
      <c r="G733" s="1"/>
      <c r="H733" s="1"/>
      <c r="I733" s="6"/>
      <c r="J733" s="1"/>
      <c r="K733" s="1"/>
      <c r="L733" s="5"/>
      <c r="M733" s="5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5.75" customHeight="1">
      <c r="A734" s="1"/>
      <c r="B734" s="1"/>
      <c r="C734" s="3"/>
      <c r="D734" s="1"/>
      <c r="E734" s="1"/>
      <c r="F734" s="1"/>
      <c r="G734" s="1"/>
      <c r="H734" s="1"/>
      <c r="I734" s="6"/>
      <c r="J734" s="1"/>
      <c r="K734" s="1"/>
      <c r="L734" s="5"/>
      <c r="M734" s="5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5.75" customHeight="1">
      <c r="A735" s="1"/>
      <c r="B735" s="1"/>
      <c r="C735" s="3"/>
      <c r="D735" s="1"/>
      <c r="E735" s="1"/>
      <c r="F735" s="1"/>
      <c r="G735" s="1"/>
      <c r="H735" s="1"/>
      <c r="I735" s="6"/>
      <c r="J735" s="1"/>
      <c r="K735" s="1"/>
      <c r="L735" s="5"/>
      <c r="M735" s="5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5.75" customHeight="1">
      <c r="A736" s="1"/>
      <c r="B736" s="1"/>
      <c r="C736" s="3"/>
      <c r="D736" s="1"/>
      <c r="E736" s="1"/>
      <c r="F736" s="1"/>
      <c r="G736" s="1"/>
      <c r="H736" s="1"/>
      <c r="I736" s="6"/>
      <c r="J736" s="1"/>
      <c r="K736" s="1"/>
      <c r="L736" s="5"/>
      <c r="M736" s="5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5.75" customHeight="1">
      <c r="A737" s="1"/>
      <c r="B737" s="1"/>
      <c r="C737" s="3"/>
      <c r="D737" s="1"/>
      <c r="E737" s="1"/>
      <c r="F737" s="1"/>
      <c r="G737" s="1"/>
      <c r="H737" s="1"/>
      <c r="I737" s="6"/>
      <c r="J737" s="1"/>
      <c r="K737" s="1"/>
      <c r="L737" s="7"/>
      <c r="M737" s="5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5.75" customHeight="1">
      <c r="A738" s="1"/>
      <c r="B738" s="1"/>
      <c r="C738" s="3"/>
      <c r="D738" s="1"/>
      <c r="E738" s="1"/>
      <c r="F738" s="1"/>
      <c r="G738" s="1"/>
      <c r="H738" s="1"/>
      <c r="I738" s="6"/>
      <c r="J738" s="1"/>
      <c r="K738" s="1"/>
      <c r="L738" s="5"/>
      <c r="M738" s="5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5.75" customHeight="1">
      <c r="A739" s="1"/>
      <c r="B739" s="1"/>
      <c r="C739" s="3"/>
      <c r="D739" s="1"/>
      <c r="E739" s="1"/>
      <c r="F739" s="1"/>
      <c r="G739" s="1"/>
      <c r="H739" s="1"/>
      <c r="I739" s="6"/>
      <c r="J739" s="1"/>
      <c r="K739" s="1"/>
      <c r="L739" s="5"/>
      <c r="M739" s="5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5.75" customHeight="1">
      <c r="A740" s="1"/>
      <c r="B740" s="1"/>
      <c r="C740" s="3"/>
      <c r="D740" s="1"/>
      <c r="E740" s="1"/>
      <c r="F740" s="1"/>
      <c r="G740" s="1"/>
      <c r="H740" s="1"/>
      <c r="I740" s="4"/>
      <c r="J740" s="1"/>
      <c r="K740" s="1"/>
      <c r="L740" s="5"/>
      <c r="M740" s="5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5.75" customHeight="1">
      <c r="A741" s="1"/>
      <c r="B741" s="1"/>
      <c r="C741" s="3"/>
      <c r="D741" s="1"/>
      <c r="E741" s="1"/>
      <c r="F741" s="1"/>
      <c r="G741" s="1"/>
      <c r="H741" s="1"/>
      <c r="I741" s="4"/>
      <c r="J741" s="1"/>
      <c r="K741" s="1"/>
      <c r="L741" s="5"/>
      <c r="M741" s="5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5.75" customHeight="1">
      <c r="A742" s="1"/>
      <c r="B742" s="1"/>
      <c r="C742" s="3"/>
      <c r="D742" s="1"/>
      <c r="E742" s="1"/>
      <c r="F742" s="1"/>
      <c r="G742" s="1"/>
      <c r="H742" s="1"/>
      <c r="I742" s="4"/>
      <c r="J742" s="1"/>
      <c r="K742" s="1"/>
      <c r="L742" s="5"/>
      <c r="M742" s="5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5.75" customHeight="1">
      <c r="A743" s="1"/>
      <c r="B743" s="1"/>
      <c r="C743" s="3"/>
      <c r="D743" s="1"/>
      <c r="E743" s="1"/>
      <c r="F743" s="1"/>
      <c r="G743" s="1"/>
      <c r="H743" s="1"/>
      <c r="I743" s="6"/>
      <c r="J743" s="1"/>
      <c r="K743" s="1"/>
      <c r="L743" s="5"/>
      <c r="M743" s="5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5.75" customHeight="1">
      <c r="A744" s="1"/>
      <c r="B744" s="1"/>
      <c r="C744" s="3"/>
      <c r="D744" s="1"/>
      <c r="E744" s="1"/>
      <c r="F744" s="1"/>
      <c r="G744" s="1"/>
      <c r="H744" s="1"/>
      <c r="I744" s="6"/>
      <c r="J744" s="1"/>
      <c r="K744" s="1"/>
      <c r="L744" s="5"/>
      <c r="M744" s="5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5.75" customHeight="1">
      <c r="A745" s="1"/>
      <c r="B745" s="1"/>
      <c r="C745" s="3"/>
      <c r="D745" s="1"/>
      <c r="E745" s="1"/>
      <c r="F745" s="1"/>
      <c r="G745" s="1"/>
      <c r="H745" s="1"/>
      <c r="I745" s="6"/>
      <c r="J745" s="1"/>
      <c r="K745" s="1"/>
      <c r="L745" s="5"/>
      <c r="M745" s="5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5.75" customHeight="1">
      <c r="A746" s="1"/>
      <c r="B746" s="1"/>
      <c r="C746" s="3"/>
      <c r="D746" s="1"/>
      <c r="E746" s="1"/>
      <c r="F746" s="1"/>
      <c r="G746" s="1"/>
      <c r="H746" s="1"/>
      <c r="I746" s="4"/>
      <c r="J746" s="1"/>
      <c r="K746" s="1"/>
      <c r="L746" s="5"/>
      <c r="M746" s="5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5.75" customHeight="1">
      <c r="A747" s="1"/>
      <c r="B747" s="1"/>
      <c r="C747" s="3"/>
      <c r="D747" s="1"/>
      <c r="E747" s="1"/>
      <c r="F747" s="1"/>
      <c r="G747" s="1"/>
      <c r="H747" s="1"/>
      <c r="I747" s="6"/>
      <c r="J747" s="1"/>
      <c r="K747" s="1"/>
      <c r="L747" s="5"/>
      <c r="M747" s="7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5.75" customHeight="1">
      <c r="A748" s="1"/>
      <c r="B748" s="1"/>
      <c r="C748" s="3"/>
      <c r="D748" s="1"/>
      <c r="E748" s="1"/>
      <c r="F748" s="1"/>
      <c r="G748" s="1"/>
      <c r="H748" s="1"/>
      <c r="I748" s="6"/>
      <c r="J748" s="1"/>
      <c r="K748" s="1"/>
      <c r="L748" s="5"/>
      <c r="M748" s="5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5.75" customHeight="1">
      <c r="A749" s="1"/>
      <c r="B749" s="1"/>
      <c r="C749" s="3"/>
      <c r="D749" s="1"/>
      <c r="E749" s="1"/>
      <c r="F749" s="1"/>
      <c r="G749" s="1"/>
      <c r="H749" s="1"/>
      <c r="I749" s="6"/>
      <c r="J749" s="1"/>
      <c r="K749" s="1"/>
      <c r="L749" s="5"/>
      <c r="M749" s="5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5.75" customHeight="1">
      <c r="A750" s="1"/>
      <c r="B750" s="1"/>
      <c r="C750" s="3"/>
      <c r="D750" s="1"/>
      <c r="E750" s="1"/>
      <c r="F750" s="1"/>
      <c r="G750" s="1"/>
      <c r="H750" s="1"/>
      <c r="I750" s="6"/>
      <c r="J750" s="1"/>
      <c r="K750" s="1"/>
      <c r="L750" s="5"/>
      <c r="M750" s="7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5.75" customHeight="1">
      <c r="A751" s="1"/>
      <c r="B751" s="1"/>
      <c r="C751" s="3"/>
      <c r="D751" s="1"/>
      <c r="E751" s="1"/>
      <c r="F751" s="1"/>
      <c r="G751" s="1"/>
      <c r="H751" s="1"/>
      <c r="I751" s="6"/>
      <c r="J751" s="1"/>
      <c r="K751" s="1"/>
      <c r="L751" s="5"/>
      <c r="M751" s="5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5.75" customHeight="1">
      <c r="A752" s="1"/>
      <c r="B752" s="1"/>
      <c r="C752" s="3"/>
      <c r="D752" s="1"/>
      <c r="E752" s="1"/>
      <c r="F752" s="1"/>
      <c r="G752" s="1"/>
      <c r="H752" s="1"/>
      <c r="I752" s="6"/>
      <c r="J752" s="1"/>
      <c r="K752" s="1"/>
      <c r="L752" s="7"/>
      <c r="M752" s="5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5.75" customHeight="1">
      <c r="A753" s="1"/>
      <c r="B753" s="1"/>
      <c r="C753" s="3"/>
      <c r="D753" s="1"/>
      <c r="E753" s="1"/>
      <c r="F753" s="1"/>
      <c r="G753" s="1"/>
      <c r="H753" s="1"/>
      <c r="I753" s="6"/>
      <c r="J753" s="1"/>
      <c r="K753" s="1"/>
      <c r="L753" s="5"/>
      <c r="M753" s="5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5.75" customHeight="1">
      <c r="A754" s="1"/>
      <c r="B754" s="1"/>
      <c r="C754" s="3"/>
      <c r="D754" s="1"/>
      <c r="E754" s="1"/>
      <c r="F754" s="1"/>
      <c r="G754" s="1"/>
      <c r="H754" s="1"/>
      <c r="I754" s="6"/>
      <c r="J754" s="1"/>
      <c r="K754" s="1"/>
      <c r="L754" s="5"/>
      <c r="M754" s="5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5.75" customHeight="1">
      <c r="A755" s="1"/>
      <c r="B755" s="1"/>
      <c r="C755" s="3"/>
      <c r="D755" s="1"/>
      <c r="E755" s="1"/>
      <c r="F755" s="1"/>
      <c r="G755" s="1"/>
      <c r="H755" s="1"/>
      <c r="I755" s="1"/>
      <c r="J755" s="4"/>
      <c r="K755" s="1"/>
      <c r="L755" s="1"/>
      <c r="M755" s="7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5.75" customHeight="1">
      <c r="A756" s="1"/>
      <c r="B756" s="1"/>
      <c r="C756" s="3"/>
      <c r="D756" s="1"/>
      <c r="E756" s="1"/>
      <c r="F756" s="1"/>
      <c r="G756" s="1"/>
      <c r="H756" s="1"/>
      <c r="I756" s="1"/>
      <c r="J756" s="4"/>
      <c r="K756" s="1"/>
      <c r="L756" s="1"/>
      <c r="M756" s="7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5.75" customHeight="1">
      <c r="A757" s="1"/>
      <c r="B757" s="1"/>
      <c r="C757" s="3"/>
      <c r="D757" s="1"/>
      <c r="E757" s="1"/>
      <c r="F757" s="1"/>
      <c r="G757" s="1"/>
      <c r="H757" s="1"/>
      <c r="I757" s="1"/>
      <c r="J757" s="4"/>
      <c r="K757" s="1"/>
      <c r="L757" s="1"/>
      <c r="M757" s="5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5.75" customHeight="1">
      <c r="A758" s="1"/>
      <c r="B758" s="1"/>
      <c r="C758" s="3"/>
      <c r="D758" s="1"/>
      <c r="E758" s="1"/>
      <c r="F758" s="1"/>
      <c r="G758" s="1"/>
      <c r="H758" s="1"/>
      <c r="I758" s="1"/>
      <c r="J758" s="4"/>
      <c r="K758" s="1"/>
      <c r="L758" s="1"/>
      <c r="M758" s="5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5.75" customHeight="1">
      <c r="A759" s="1"/>
      <c r="B759" s="1"/>
      <c r="C759" s="3"/>
      <c r="D759" s="1"/>
      <c r="E759" s="1"/>
      <c r="F759" s="1"/>
      <c r="G759" s="1"/>
      <c r="H759" s="1"/>
      <c r="I759" s="1"/>
      <c r="J759" s="4"/>
      <c r="K759" s="1"/>
      <c r="L759" s="1"/>
      <c r="M759" s="7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5.75" customHeight="1">
      <c r="A760" s="1"/>
      <c r="B760" s="1"/>
      <c r="C760" s="3"/>
      <c r="D760" s="1"/>
      <c r="E760" s="1"/>
      <c r="F760" s="1"/>
      <c r="G760" s="1"/>
      <c r="H760" s="1"/>
      <c r="I760" s="1"/>
      <c r="J760" s="4"/>
      <c r="K760" s="1"/>
      <c r="L760" s="1"/>
      <c r="M760" s="5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5.75" customHeight="1">
      <c r="A761" s="1"/>
      <c r="B761" s="1"/>
      <c r="C761" s="3"/>
      <c r="D761" s="1"/>
      <c r="E761" s="1"/>
      <c r="F761" s="1"/>
      <c r="G761" s="1"/>
      <c r="H761" s="1"/>
      <c r="I761" s="1"/>
      <c r="J761" s="4"/>
      <c r="K761" s="1"/>
      <c r="L761" s="1"/>
      <c r="M761" s="5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5.75" customHeight="1">
      <c r="A762" s="1"/>
      <c r="B762" s="1"/>
      <c r="C762" s="3"/>
      <c r="D762" s="1"/>
      <c r="E762" s="1"/>
      <c r="F762" s="1"/>
      <c r="G762" s="1"/>
      <c r="H762" s="1"/>
      <c r="I762" s="1"/>
      <c r="J762" s="4"/>
      <c r="K762" s="1"/>
      <c r="L762" s="1"/>
      <c r="M762" s="5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5.75" customHeight="1">
      <c r="A763" s="1"/>
      <c r="B763" s="1"/>
      <c r="C763" s="3"/>
      <c r="D763" s="1"/>
      <c r="E763" s="1"/>
      <c r="F763" s="1"/>
      <c r="G763" s="1"/>
      <c r="H763" s="1"/>
      <c r="I763" s="1"/>
      <c r="J763" s="4"/>
      <c r="K763" s="1"/>
      <c r="L763" s="1"/>
      <c r="M763" s="5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5.75" customHeight="1">
      <c r="A764" s="1"/>
      <c r="B764" s="1"/>
      <c r="C764" s="3"/>
      <c r="D764" s="1"/>
      <c r="E764" s="1"/>
      <c r="F764" s="1"/>
      <c r="G764" s="1"/>
      <c r="H764" s="1"/>
      <c r="I764" s="1"/>
      <c r="J764" s="4"/>
      <c r="K764" s="1"/>
      <c r="L764" s="1"/>
      <c r="M764" s="5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5.75" customHeight="1">
      <c r="A765" s="1"/>
      <c r="B765" s="1"/>
      <c r="C765" s="3"/>
      <c r="D765" s="1"/>
      <c r="E765" s="1"/>
      <c r="F765" s="1"/>
      <c r="G765" s="1"/>
      <c r="H765" s="1"/>
      <c r="I765" s="1"/>
      <c r="J765" s="4"/>
      <c r="K765" s="1"/>
      <c r="L765" s="1"/>
      <c r="M765" s="5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5.75" customHeight="1">
      <c r="A766" s="1"/>
      <c r="B766" s="1"/>
      <c r="C766" s="3"/>
      <c r="D766" s="1"/>
      <c r="E766" s="1"/>
      <c r="F766" s="1"/>
      <c r="G766" s="1"/>
      <c r="H766" s="1"/>
      <c r="I766" s="1"/>
      <c r="J766" s="6"/>
      <c r="K766" s="1"/>
      <c r="L766" s="1"/>
      <c r="M766" s="5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5.75" customHeight="1">
      <c r="A767" s="1"/>
      <c r="B767" s="1"/>
      <c r="C767" s="3"/>
      <c r="D767" s="1"/>
      <c r="E767" s="1"/>
      <c r="F767" s="1"/>
      <c r="G767" s="1"/>
      <c r="H767" s="1"/>
      <c r="I767" s="1"/>
      <c r="J767" s="6"/>
      <c r="K767" s="1"/>
      <c r="L767" s="1"/>
      <c r="M767" s="5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5.75" customHeight="1">
      <c r="A768" s="1"/>
      <c r="B768" s="1"/>
      <c r="C768" s="3"/>
      <c r="D768" s="1"/>
      <c r="E768" s="1"/>
      <c r="F768" s="1"/>
      <c r="G768" s="1"/>
      <c r="H768" s="1"/>
      <c r="I768" s="1"/>
      <c r="J768" s="6"/>
      <c r="K768" s="1"/>
      <c r="L768" s="1"/>
      <c r="M768" s="5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5.75" customHeight="1">
      <c r="A769" s="1"/>
      <c r="B769" s="1"/>
      <c r="C769" s="3"/>
      <c r="D769" s="1"/>
      <c r="E769" s="1"/>
      <c r="F769" s="1"/>
      <c r="G769" s="1"/>
      <c r="H769" s="1"/>
      <c r="I769" s="1"/>
      <c r="J769" s="6"/>
      <c r="K769" s="1"/>
      <c r="L769" s="1"/>
      <c r="M769" s="5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5.75" customHeight="1">
      <c r="A770" s="1"/>
      <c r="B770" s="1"/>
      <c r="C770" s="3"/>
      <c r="D770" s="1"/>
      <c r="E770" s="1"/>
      <c r="F770" s="1"/>
      <c r="G770" s="1"/>
      <c r="H770" s="1"/>
      <c r="I770" s="1"/>
      <c r="J770" s="6"/>
      <c r="K770" s="1"/>
      <c r="L770" s="1"/>
      <c r="M770" s="5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5.75" customHeight="1">
      <c r="A771" s="1"/>
      <c r="B771" s="1"/>
      <c r="C771" s="3"/>
      <c r="D771" s="1"/>
      <c r="E771" s="1"/>
      <c r="F771" s="1"/>
      <c r="G771" s="1"/>
      <c r="H771" s="1"/>
      <c r="I771" s="1"/>
      <c r="J771" s="6"/>
      <c r="K771" s="1"/>
      <c r="L771" s="1"/>
      <c r="M771" s="7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5.75" customHeight="1">
      <c r="A772" s="1"/>
      <c r="B772" s="1"/>
      <c r="C772" s="3"/>
      <c r="D772" s="1"/>
      <c r="E772" s="1"/>
      <c r="F772" s="1"/>
      <c r="G772" s="1"/>
      <c r="H772" s="1"/>
      <c r="I772" s="1"/>
      <c r="J772" s="4"/>
      <c r="K772" s="1"/>
      <c r="L772" s="1"/>
      <c r="M772" s="5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5.75" customHeight="1">
      <c r="A773" s="1"/>
      <c r="B773" s="1"/>
      <c r="C773" s="3"/>
      <c r="D773" s="1"/>
      <c r="E773" s="1"/>
      <c r="F773" s="1"/>
      <c r="G773" s="1"/>
      <c r="H773" s="1"/>
      <c r="I773" s="1"/>
      <c r="J773" s="6"/>
      <c r="K773" s="1"/>
      <c r="L773" s="1"/>
      <c r="M773" s="5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5.75" customHeight="1">
      <c r="A774" s="1"/>
      <c r="B774" s="1"/>
      <c r="C774" s="3"/>
      <c r="D774" s="1"/>
      <c r="E774" s="1"/>
      <c r="F774" s="1"/>
      <c r="G774" s="1"/>
      <c r="H774" s="1"/>
      <c r="I774" s="1"/>
      <c r="J774" s="6"/>
      <c r="K774" s="1"/>
      <c r="L774" s="1"/>
      <c r="M774" s="5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5.75" customHeight="1">
      <c r="A775" s="1"/>
      <c r="B775" s="1"/>
      <c r="C775" s="3"/>
      <c r="D775" s="1"/>
      <c r="E775" s="1"/>
      <c r="F775" s="1"/>
      <c r="G775" s="1"/>
      <c r="H775" s="1"/>
      <c r="I775" s="1"/>
      <c r="J775" s="6"/>
      <c r="K775" s="1"/>
      <c r="L775" s="1"/>
      <c r="M775" s="5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5.75" customHeight="1">
      <c r="A776" s="1"/>
      <c r="B776" s="1"/>
      <c r="C776" s="3"/>
      <c r="D776" s="1"/>
      <c r="E776" s="1"/>
      <c r="F776" s="1"/>
      <c r="G776" s="1"/>
      <c r="H776" s="1"/>
      <c r="I776" s="1"/>
      <c r="J776" s="6"/>
      <c r="K776" s="1"/>
      <c r="L776" s="1"/>
      <c r="M776" s="5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5.75" customHeight="1">
      <c r="A777" s="1"/>
      <c r="B777" s="1"/>
      <c r="C777" s="3"/>
      <c r="D777" s="1"/>
      <c r="E777" s="1"/>
      <c r="F777" s="1"/>
      <c r="G777" s="1"/>
      <c r="H777" s="1"/>
      <c r="I777" s="1"/>
      <c r="J777" s="6"/>
      <c r="K777" s="1"/>
      <c r="L777" s="1"/>
      <c r="M777" s="5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5.75" customHeight="1">
      <c r="A778" s="1"/>
      <c r="B778" s="1"/>
      <c r="C778" s="3"/>
      <c r="D778" s="1"/>
      <c r="E778" s="1"/>
      <c r="F778" s="1"/>
      <c r="G778" s="1"/>
      <c r="H778" s="1"/>
      <c r="I778" s="1"/>
      <c r="J778" s="6"/>
      <c r="K778" s="1"/>
      <c r="L778" s="1"/>
      <c r="M778" s="5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5.75" customHeight="1">
      <c r="A779" s="1"/>
      <c r="B779" s="1"/>
      <c r="C779" s="3"/>
      <c r="D779" s="1"/>
      <c r="E779" s="1"/>
      <c r="F779" s="1"/>
      <c r="G779" s="1"/>
      <c r="H779" s="1"/>
      <c r="I779" s="1"/>
      <c r="J779" s="6"/>
      <c r="K779" s="1"/>
      <c r="L779" s="1"/>
      <c r="M779" s="5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5.75" customHeight="1">
      <c r="A780" s="1"/>
      <c r="B780" s="1"/>
      <c r="C780" s="3"/>
      <c r="D780" s="1"/>
      <c r="E780" s="1"/>
      <c r="F780" s="1"/>
      <c r="G780" s="1"/>
      <c r="H780" s="1"/>
      <c r="I780" s="1"/>
      <c r="J780" s="4"/>
      <c r="K780" s="1"/>
      <c r="L780" s="1"/>
      <c r="M780" s="5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5.75" customHeight="1">
      <c r="A781" s="1"/>
      <c r="B781" s="1"/>
      <c r="C781" s="3"/>
      <c r="D781" s="1"/>
      <c r="E781" s="1"/>
      <c r="F781" s="1"/>
      <c r="G781" s="1"/>
      <c r="H781" s="1"/>
      <c r="I781" s="1"/>
      <c r="J781" s="4"/>
      <c r="K781" s="1"/>
      <c r="L781" s="1"/>
      <c r="M781" s="5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5.75" customHeight="1">
      <c r="A782" s="1"/>
      <c r="B782" s="1"/>
      <c r="C782" s="3"/>
      <c r="D782" s="1"/>
      <c r="E782" s="1"/>
      <c r="F782" s="1"/>
      <c r="G782" s="1"/>
      <c r="H782" s="1"/>
      <c r="I782" s="1"/>
      <c r="J782" s="4"/>
      <c r="K782" s="1"/>
      <c r="L782" s="1"/>
      <c r="M782" s="5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5.75" customHeight="1">
      <c r="A783" s="1"/>
      <c r="B783" s="1"/>
      <c r="C783" s="3"/>
      <c r="D783" s="1"/>
      <c r="E783" s="1"/>
      <c r="F783" s="1"/>
      <c r="G783" s="1"/>
      <c r="H783" s="1"/>
      <c r="I783" s="1"/>
      <c r="J783" s="4"/>
      <c r="K783" s="1"/>
      <c r="L783" s="1"/>
      <c r="M783" s="5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5.75" customHeight="1">
      <c r="A784" s="1"/>
      <c r="B784" s="1"/>
      <c r="C784" s="3"/>
      <c r="D784" s="1"/>
      <c r="E784" s="1"/>
      <c r="F784" s="1"/>
      <c r="G784" s="1"/>
      <c r="H784" s="1"/>
      <c r="I784" s="1"/>
      <c r="J784" s="4"/>
      <c r="K784" s="1"/>
      <c r="L784" s="1"/>
      <c r="M784" s="5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5.75" customHeight="1">
      <c r="A785" s="1"/>
      <c r="B785" s="1"/>
      <c r="C785" s="3"/>
      <c r="D785" s="1"/>
      <c r="E785" s="1"/>
      <c r="F785" s="1"/>
      <c r="G785" s="1"/>
      <c r="H785" s="1"/>
      <c r="I785" s="1"/>
      <c r="J785" s="6"/>
      <c r="K785" s="1"/>
      <c r="L785" s="1"/>
      <c r="M785" s="5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5.75" customHeight="1">
      <c r="A786" s="1"/>
      <c r="B786" s="1"/>
      <c r="C786" s="3"/>
      <c r="D786" s="1"/>
      <c r="E786" s="1"/>
      <c r="F786" s="1"/>
      <c r="G786" s="1"/>
      <c r="H786" s="1"/>
      <c r="I786" s="1"/>
      <c r="J786" s="6"/>
      <c r="K786" s="1"/>
      <c r="L786" s="1"/>
      <c r="M786" s="5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5.75" customHeight="1">
      <c r="A787" s="1"/>
      <c r="B787" s="1"/>
      <c r="C787" s="3"/>
      <c r="D787" s="1"/>
      <c r="E787" s="1"/>
      <c r="F787" s="1"/>
      <c r="G787" s="1"/>
      <c r="H787" s="1"/>
      <c r="I787" s="1"/>
      <c r="J787" s="6"/>
      <c r="K787" s="1"/>
      <c r="L787" s="1"/>
      <c r="M787" s="5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5.75" customHeight="1">
      <c r="A788" s="1"/>
      <c r="B788" s="1"/>
      <c r="C788" s="3"/>
      <c r="D788" s="1"/>
      <c r="E788" s="1"/>
      <c r="F788" s="1"/>
      <c r="G788" s="1"/>
      <c r="H788" s="1"/>
      <c r="I788" s="1"/>
      <c r="J788" s="6"/>
      <c r="K788" s="1"/>
      <c r="L788" s="1"/>
      <c r="M788" s="5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5.75" customHeight="1">
      <c r="A789" s="1"/>
      <c r="B789" s="1"/>
      <c r="C789" s="3"/>
      <c r="D789" s="1"/>
      <c r="E789" s="1"/>
      <c r="F789" s="1"/>
      <c r="G789" s="1"/>
      <c r="H789" s="1"/>
      <c r="I789" s="1"/>
      <c r="J789" s="6"/>
      <c r="K789" s="1"/>
      <c r="L789" s="1"/>
      <c r="M789" s="5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5.75" customHeight="1">
      <c r="A790" s="1"/>
      <c r="B790" s="1"/>
      <c r="C790" s="3"/>
      <c r="D790" s="1"/>
      <c r="E790" s="1"/>
      <c r="F790" s="1"/>
      <c r="G790" s="1"/>
      <c r="H790" s="1"/>
      <c r="I790" s="1"/>
      <c r="J790" s="6"/>
      <c r="K790" s="1"/>
      <c r="L790" s="1"/>
      <c r="M790" s="5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5.75" customHeight="1">
      <c r="A791" s="1"/>
      <c r="B791" s="1"/>
      <c r="C791" s="3"/>
      <c r="D791" s="1"/>
      <c r="E791" s="1"/>
      <c r="F791" s="1"/>
      <c r="G791" s="1"/>
      <c r="H791" s="1"/>
      <c r="I791" s="1"/>
      <c r="J791" s="6"/>
      <c r="K791" s="1"/>
      <c r="L791" s="1"/>
      <c r="M791" s="5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5.75" customHeight="1">
      <c r="A792" s="1"/>
      <c r="B792" s="1"/>
      <c r="C792" s="3"/>
      <c r="D792" s="1"/>
      <c r="E792" s="1"/>
      <c r="F792" s="1"/>
      <c r="G792" s="1"/>
      <c r="H792" s="1"/>
      <c r="I792" s="1"/>
      <c r="J792" s="6"/>
      <c r="K792" s="1"/>
      <c r="L792" s="1"/>
      <c r="M792" s="7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5.75" customHeight="1">
      <c r="A793" s="1"/>
      <c r="B793" s="1"/>
      <c r="C793" s="3"/>
      <c r="D793" s="1"/>
      <c r="E793" s="1"/>
      <c r="F793" s="1"/>
      <c r="G793" s="1"/>
      <c r="H793" s="1"/>
      <c r="I793" s="1"/>
      <c r="J793" s="6"/>
      <c r="K793" s="1"/>
      <c r="L793" s="1"/>
      <c r="M793" s="7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5.75" customHeight="1">
      <c r="A794" s="1"/>
      <c r="B794" s="1"/>
      <c r="C794" s="3"/>
      <c r="D794" s="1"/>
      <c r="E794" s="1"/>
      <c r="F794" s="1"/>
      <c r="G794" s="1"/>
      <c r="H794" s="1"/>
      <c r="I794" s="1"/>
      <c r="J794" s="6"/>
      <c r="K794" s="1"/>
      <c r="L794" s="1"/>
      <c r="M794" s="7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5.75" customHeight="1">
      <c r="A795" s="1"/>
      <c r="B795" s="1"/>
      <c r="C795" s="3"/>
      <c r="D795" s="1"/>
      <c r="E795" s="1"/>
      <c r="F795" s="1"/>
      <c r="G795" s="1"/>
      <c r="H795" s="1"/>
      <c r="I795" s="1"/>
      <c r="J795" s="6"/>
      <c r="K795" s="1"/>
      <c r="L795" s="1"/>
      <c r="M795" s="5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5.75" customHeight="1">
      <c r="A796" s="1"/>
      <c r="B796" s="1"/>
      <c r="C796" s="3"/>
      <c r="D796" s="1"/>
      <c r="E796" s="1"/>
      <c r="F796" s="1"/>
      <c r="G796" s="1"/>
      <c r="H796" s="1"/>
      <c r="I796" s="1"/>
      <c r="J796" s="6"/>
      <c r="K796" s="1"/>
      <c r="L796" s="1"/>
      <c r="M796" s="5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5.75" customHeight="1">
      <c r="A797" s="1"/>
      <c r="B797" s="1"/>
      <c r="C797" s="3"/>
      <c r="D797" s="1"/>
      <c r="E797" s="1"/>
      <c r="F797" s="1"/>
      <c r="G797" s="1"/>
      <c r="H797" s="1"/>
      <c r="I797" s="1"/>
      <c r="J797" s="4"/>
      <c r="K797" s="1"/>
      <c r="L797" s="1"/>
      <c r="M797" s="5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5.75" customHeight="1">
      <c r="A798" s="1"/>
      <c r="B798" s="1"/>
      <c r="C798" s="3"/>
      <c r="D798" s="1"/>
      <c r="E798" s="1"/>
      <c r="F798" s="1"/>
      <c r="G798" s="1"/>
      <c r="H798" s="1"/>
      <c r="I798" s="1"/>
      <c r="J798" s="6"/>
      <c r="K798" s="1"/>
      <c r="L798" s="1"/>
      <c r="M798" s="5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5.75" customHeight="1">
      <c r="A799" s="1"/>
      <c r="B799" s="1"/>
      <c r="C799" s="3"/>
      <c r="D799" s="1"/>
      <c r="E799" s="1"/>
      <c r="F799" s="1"/>
      <c r="G799" s="1"/>
      <c r="H799" s="1"/>
      <c r="I799" s="1"/>
      <c r="J799" s="6"/>
      <c r="K799" s="1"/>
      <c r="L799" s="1"/>
      <c r="M799" s="5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5.75" customHeight="1">
      <c r="A800" s="1"/>
      <c r="B800" s="1"/>
      <c r="C800" s="3"/>
      <c r="D800" s="1"/>
      <c r="E800" s="1"/>
      <c r="F800" s="1"/>
      <c r="G800" s="1"/>
      <c r="H800" s="1"/>
      <c r="I800" s="1"/>
      <c r="J800" s="6"/>
      <c r="K800" s="1"/>
      <c r="L800" s="1"/>
      <c r="M800" s="5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5.75" customHeight="1">
      <c r="A801" s="1"/>
      <c r="B801" s="1"/>
      <c r="C801" s="3"/>
      <c r="D801" s="1"/>
      <c r="E801" s="1"/>
      <c r="F801" s="1"/>
      <c r="G801" s="1"/>
      <c r="H801" s="1"/>
      <c r="I801" s="1"/>
      <c r="J801" s="6"/>
      <c r="K801" s="1"/>
      <c r="L801" s="1"/>
      <c r="M801" s="5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5.75" customHeight="1">
      <c r="A802" s="1"/>
      <c r="B802" s="1"/>
      <c r="C802" s="3"/>
      <c r="D802" s="1"/>
      <c r="E802" s="1"/>
      <c r="F802" s="1"/>
      <c r="G802" s="1"/>
      <c r="H802" s="1"/>
      <c r="I802" s="1"/>
      <c r="J802" s="4"/>
      <c r="K802" s="1"/>
      <c r="L802" s="1"/>
      <c r="M802" s="5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5.75" customHeight="1">
      <c r="A803" s="1"/>
      <c r="B803" s="1"/>
      <c r="C803" s="3"/>
      <c r="D803" s="1"/>
      <c r="E803" s="1"/>
      <c r="F803" s="1"/>
      <c r="G803" s="1"/>
      <c r="H803" s="1"/>
      <c r="I803" s="1"/>
      <c r="J803" s="4"/>
      <c r="K803" s="1"/>
      <c r="L803" s="1"/>
      <c r="M803" s="5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5.75" customHeight="1">
      <c r="A804" s="1"/>
      <c r="B804" s="1"/>
      <c r="C804" s="3"/>
      <c r="D804" s="1"/>
      <c r="E804" s="1"/>
      <c r="F804" s="1"/>
      <c r="G804" s="1"/>
      <c r="H804" s="1"/>
      <c r="I804" s="1"/>
      <c r="J804" s="4"/>
      <c r="K804" s="1"/>
      <c r="L804" s="1"/>
      <c r="M804" s="5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5.75" customHeight="1">
      <c r="A805" s="1"/>
      <c r="B805" s="1"/>
      <c r="C805" s="3"/>
      <c r="D805" s="1"/>
      <c r="E805" s="1"/>
      <c r="F805" s="1"/>
      <c r="G805" s="1"/>
      <c r="H805" s="1"/>
      <c r="I805" s="1"/>
      <c r="J805" s="4"/>
      <c r="K805" s="1"/>
      <c r="L805" s="1"/>
      <c r="M805" s="5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5.75" customHeight="1">
      <c r="A806" s="1"/>
      <c r="B806" s="1"/>
      <c r="C806" s="3"/>
      <c r="D806" s="1"/>
      <c r="E806" s="1"/>
      <c r="F806" s="1"/>
      <c r="G806" s="1"/>
      <c r="H806" s="1"/>
      <c r="I806" s="1"/>
      <c r="J806" s="4"/>
      <c r="K806" s="1"/>
      <c r="L806" s="1"/>
      <c r="M806" s="5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5.75" customHeight="1">
      <c r="A807" s="1"/>
      <c r="B807" s="1"/>
      <c r="C807" s="3"/>
      <c r="D807" s="1"/>
      <c r="E807" s="1"/>
      <c r="F807" s="1"/>
      <c r="G807" s="1"/>
      <c r="H807" s="1"/>
      <c r="I807" s="1"/>
      <c r="J807" s="6"/>
      <c r="K807" s="1"/>
      <c r="L807" s="1"/>
      <c r="M807" s="5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5.75" customHeight="1">
      <c r="A808" s="1"/>
      <c r="B808" s="1"/>
      <c r="C808" s="3"/>
      <c r="D808" s="1"/>
      <c r="E808" s="1"/>
      <c r="F808" s="1"/>
      <c r="G808" s="1"/>
      <c r="H808" s="1"/>
      <c r="I808" s="1"/>
      <c r="J808" s="6"/>
      <c r="K808" s="1"/>
      <c r="L808" s="1"/>
      <c r="M808" s="5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5.75" customHeight="1">
      <c r="A809" s="1"/>
      <c r="B809" s="1"/>
      <c r="C809" s="3"/>
      <c r="D809" s="1"/>
      <c r="E809" s="1"/>
      <c r="F809" s="1"/>
      <c r="G809" s="1"/>
      <c r="H809" s="1"/>
      <c r="I809" s="1"/>
      <c r="J809" s="6"/>
      <c r="K809" s="1"/>
      <c r="L809" s="1"/>
      <c r="M809" s="5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5.75" customHeight="1">
      <c r="A810" s="1"/>
      <c r="B810" s="1"/>
      <c r="C810" s="3"/>
      <c r="D810" s="1"/>
      <c r="E810" s="1"/>
      <c r="F810" s="1"/>
      <c r="G810" s="1"/>
      <c r="H810" s="1"/>
      <c r="I810" s="1"/>
      <c r="J810" s="6"/>
      <c r="K810" s="1"/>
      <c r="L810" s="1"/>
      <c r="M810" s="5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5.75" customHeight="1">
      <c r="A811" s="1"/>
      <c r="B811" s="1"/>
      <c r="C811" s="3"/>
      <c r="D811" s="1"/>
      <c r="E811" s="1"/>
      <c r="F811" s="1"/>
      <c r="G811" s="1"/>
      <c r="H811" s="1"/>
      <c r="I811" s="1"/>
      <c r="J811" s="6"/>
      <c r="K811" s="1"/>
      <c r="L811" s="1"/>
      <c r="M811" s="5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5.75" customHeight="1">
      <c r="A812" s="1"/>
      <c r="B812" s="1"/>
      <c r="C812" s="3"/>
      <c r="D812" s="1"/>
      <c r="E812" s="1"/>
      <c r="F812" s="1"/>
      <c r="G812" s="1"/>
      <c r="H812" s="1"/>
      <c r="I812" s="1"/>
      <c r="J812" s="6"/>
      <c r="K812" s="1"/>
      <c r="L812" s="1"/>
      <c r="M812" s="5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5.75" customHeight="1">
      <c r="A813" s="1"/>
      <c r="B813" s="1"/>
      <c r="C813" s="3"/>
      <c r="D813" s="1"/>
      <c r="E813" s="1"/>
      <c r="F813" s="1"/>
      <c r="G813" s="1"/>
      <c r="H813" s="1"/>
      <c r="I813" s="1"/>
      <c r="J813" s="6"/>
      <c r="K813" s="1"/>
      <c r="L813" s="1"/>
      <c r="M813" s="5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5.75" customHeight="1">
      <c r="A814" s="1"/>
      <c r="B814" s="1"/>
      <c r="C814" s="3"/>
      <c r="D814" s="1"/>
      <c r="E814" s="1"/>
      <c r="F814" s="1"/>
      <c r="G814" s="1"/>
      <c r="H814" s="1"/>
      <c r="I814" s="1"/>
      <c r="J814" s="6"/>
      <c r="K814" s="1"/>
      <c r="L814" s="1"/>
      <c r="M814" s="5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5.75" customHeight="1">
      <c r="A815" s="1"/>
      <c r="B815" s="1"/>
      <c r="C815" s="3"/>
      <c r="D815" s="1"/>
      <c r="E815" s="1"/>
      <c r="F815" s="1"/>
      <c r="G815" s="1"/>
      <c r="H815" s="1"/>
      <c r="I815" s="1"/>
      <c r="J815" s="6"/>
      <c r="K815" s="1"/>
      <c r="L815" s="1"/>
      <c r="M815" s="5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5.75" customHeight="1">
      <c r="A816" s="1"/>
      <c r="B816" s="1"/>
      <c r="C816" s="3"/>
      <c r="D816" s="1"/>
      <c r="E816" s="1"/>
      <c r="F816" s="1"/>
      <c r="G816" s="1"/>
      <c r="H816" s="1"/>
      <c r="I816" s="1"/>
      <c r="J816" s="6"/>
      <c r="K816" s="1"/>
      <c r="L816" s="1"/>
      <c r="M816" s="5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5.75" customHeight="1">
      <c r="A817" s="1"/>
      <c r="B817" s="1"/>
      <c r="C817" s="3"/>
      <c r="D817" s="1"/>
      <c r="E817" s="1"/>
      <c r="F817" s="1"/>
      <c r="G817" s="1"/>
      <c r="H817" s="1"/>
      <c r="I817" s="1"/>
      <c r="J817" s="4"/>
      <c r="K817" s="1"/>
      <c r="L817" s="1"/>
      <c r="M817" s="5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5.75" customHeight="1">
      <c r="A818" s="1"/>
      <c r="B818" s="1"/>
      <c r="C818" s="3"/>
      <c r="D818" s="1"/>
      <c r="E818" s="1"/>
      <c r="F818" s="1"/>
      <c r="G818" s="1"/>
      <c r="H818" s="1"/>
      <c r="I818" s="1"/>
      <c r="J818" s="4"/>
      <c r="K818" s="1"/>
      <c r="L818" s="1"/>
      <c r="M818" s="5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5.75" customHeight="1">
      <c r="A819" s="1"/>
      <c r="B819" s="1"/>
      <c r="C819" s="3"/>
      <c r="D819" s="1"/>
      <c r="E819" s="1"/>
      <c r="F819" s="1"/>
      <c r="G819" s="1"/>
      <c r="H819" s="1"/>
      <c r="I819" s="1"/>
      <c r="J819" s="4"/>
      <c r="K819" s="1"/>
      <c r="L819" s="1"/>
      <c r="M819" s="7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5.75" customHeight="1">
      <c r="A820" s="1"/>
      <c r="B820" s="1"/>
      <c r="C820" s="3"/>
      <c r="D820" s="1"/>
      <c r="E820" s="1"/>
      <c r="F820" s="1"/>
      <c r="G820" s="1"/>
      <c r="H820" s="1"/>
      <c r="I820" s="1"/>
      <c r="J820" s="4"/>
      <c r="K820" s="1"/>
      <c r="L820" s="1"/>
      <c r="M820" s="7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5.75" customHeight="1">
      <c r="A821" s="1"/>
      <c r="B821" s="1"/>
      <c r="C821" s="3"/>
      <c r="D821" s="1"/>
      <c r="E821" s="1"/>
      <c r="F821" s="1"/>
      <c r="G821" s="1"/>
      <c r="H821" s="1"/>
      <c r="I821" s="1"/>
      <c r="J821" s="6"/>
      <c r="K821" s="1"/>
      <c r="L821" s="1"/>
      <c r="M821" s="5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5.75" customHeight="1">
      <c r="A822" s="1"/>
      <c r="B822" s="1"/>
      <c r="C822" s="3"/>
      <c r="D822" s="1"/>
      <c r="E822" s="1"/>
      <c r="F822" s="1"/>
      <c r="G822" s="1"/>
      <c r="H822" s="1"/>
      <c r="I822" s="1"/>
      <c r="J822" s="6"/>
      <c r="K822" s="1"/>
      <c r="L822" s="1"/>
      <c r="M822" s="5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5.75" customHeight="1">
      <c r="A823" s="1"/>
      <c r="B823" s="1"/>
      <c r="C823" s="3"/>
      <c r="D823" s="1"/>
      <c r="E823" s="1"/>
      <c r="F823" s="1"/>
      <c r="G823" s="1"/>
      <c r="H823" s="1"/>
      <c r="I823" s="1"/>
      <c r="J823" s="6"/>
      <c r="K823" s="1"/>
      <c r="L823" s="1"/>
      <c r="M823" s="5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5.75" customHeight="1">
      <c r="A824" s="1"/>
      <c r="B824" s="1"/>
      <c r="C824" s="3"/>
      <c r="D824" s="1"/>
      <c r="E824" s="1"/>
      <c r="F824" s="1"/>
      <c r="G824" s="1"/>
      <c r="H824" s="1"/>
      <c r="I824" s="1"/>
      <c r="J824" s="6"/>
      <c r="K824" s="1"/>
      <c r="L824" s="1"/>
      <c r="M824" s="5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5.75" customHeight="1">
      <c r="A825" s="1"/>
      <c r="B825" s="1"/>
      <c r="C825" s="3"/>
      <c r="D825" s="1"/>
      <c r="E825" s="1"/>
      <c r="F825" s="1"/>
      <c r="G825" s="1"/>
      <c r="H825" s="1"/>
      <c r="I825" s="1"/>
      <c r="J825" s="6"/>
      <c r="K825" s="1"/>
      <c r="L825" s="1"/>
      <c r="M825" s="5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5.75" customHeight="1">
      <c r="A826" s="1"/>
      <c r="B826" s="1"/>
      <c r="C826" s="3"/>
      <c r="D826" s="1"/>
      <c r="E826" s="1"/>
      <c r="F826" s="1"/>
      <c r="G826" s="1"/>
      <c r="H826" s="1"/>
      <c r="I826" s="1"/>
      <c r="J826" s="6"/>
      <c r="K826" s="1"/>
      <c r="L826" s="1"/>
      <c r="M826" s="5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5.75" customHeight="1">
      <c r="A827" s="1"/>
      <c r="B827" s="1"/>
      <c r="C827" s="3"/>
      <c r="D827" s="1"/>
      <c r="E827" s="1"/>
      <c r="F827" s="1"/>
      <c r="G827" s="1"/>
      <c r="H827" s="1"/>
      <c r="I827" s="1"/>
      <c r="J827" s="6"/>
      <c r="K827" s="1"/>
      <c r="L827" s="1"/>
      <c r="M827" s="5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5.75" customHeight="1">
      <c r="A828" s="1"/>
      <c r="B828" s="1"/>
      <c r="C828" s="3"/>
      <c r="D828" s="1"/>
      <c r="E828" s="1"/>
      <c r="F828" s="1"/>
      <c r="G828" s="1"/>
      <c r="H828" s="1"/>
      <c r="I828" s="1"/>
      <c r="J828" s="6"/>
      <c r="K828" s="1"/>
      <c r="L828" s="1"/>
      <c r="M828" s="5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5.75" customHeight="1">
      <c r="A829" s="1"/>
      <c r="B829" s="1"/>
      <c r="C829" s="3"/>
      <c r="D829" s="1"/>
      <c r="E829" s="1"/>
      <c r="F829" s="1"/>
      <c r="G829" s="1"/>
      <c r="H829" s="1"/>
      <c r="I829" s="1"/>
      <c r="J829" s="6"/>
      <c r="K829" s="1"/>
      <c r="L829" s="1"/>
      <c r="M829" s="5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5.75" customHeight="1">
      <c r="A830" s="1"/>
      <c r="B830" s="1"/>
      <c r="C830" s="3"/>
      <c r="D830" s="1"/>
      <c r="E830" s="1"/>
      <c r="F830" s="1"/>
      <c r="G830" s="1"/>
      <c r="H830" s="1"/>
      <c r="I830" s="1"/>
      <c r="J830" s="6"/>
      <c r="K830" s="1"/>
      <c r="L830" s="1"/>
      <c r="M830" s="5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5.75" customHeight="1">
      <c r="A831" s="1"/>
      <c r="B831" s="1"/>
      <c r="C831" s="3"/>
      <c r="D831" s="1"/>
      <c r="E831" s="1"/>
      <c r="F831" s="1"/>
      <c r="G831" s="1"/>
      <c r="H831" s="1"/>
      <c r="I831" s="1"/>
      <c r="J831" s="6"/>
      <c r="K831" s="1"/>
      <c r="L831" s="1"/>
      <c r="M831" s="5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5.75" customHeight="1">
      <c r="A832" s="1"/>
      <c r="B832" s="1"/>
      <c r="C832" s="3"/>
      <c r="D832" s="1"/>
      <c r="E832" s="1"/>
      <c r="F832" s="1"/>
      <c r="G832" s="1"/>
      <c r="H832" s="1"/>
      <c r="I832" s="1"/>
      <c r="J832" s="6"/>
      <c r="K832" s="1"/>
      <c r="L832" s="1"/>
      <c r="M832" s="5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5.75" customHeight="1">
      <c r="A833" s="1"/>
      <c r="B833" s="1"/>
      <c r="C833" s="3"/>
      <c r="D833" s="1"/>
      <c r="E833" s="1"/>
      <c r="F833" s="1"/>
      <c r="G833" s="1"/>
      <c r="H833" s="1"/>
      <c r="I833" s="1"/>
      <c r="J833" s="4"/>
      <c r="K833" s="1"/>
      <c r="L833" s="1"/>
      <c r="M833" s="5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5.75" customHeight="1">
      <c r="A834" s="1"/>
      <c r="B834" s="1"/>
      <c r="C834" s="3"/>
      <c r="D834" s="1"/>
      <c r="E834" s="1"/>
      <c r="F834" s="1"/>
      <c r="G834" s="1"/>
      <c r="H834" s="1"/>
      <c r="I834" s="1"/>
      <c r="J834" s="6"/>
      <c r="K834" s="1"/>
      <c r="L834" s="1"/>
      <c r="M834" s="5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5.75" customHeight="1">
      <c r="A835" s="1"/>
      <c r="B835" s="1"/>
      <c r="C835" s="3"/>
      <c r="D835" s="1"/>
      <c r="E835" s="1"/>
      <c r="F835" s="1"/>
      <c r="G835" s="1"/>
      <c r="H835" s="1"/>
      <c r="I835" s="1"/>
      <c r="J835" s="6"/>
      <c r="K835" s="1"/>
      <c r="L835" s="1"/>
      <c r="M835" s="5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5.75" customHeight="1">
      <c r="A836" s="1"/>
      <c r="B836" s="1"/>
      <c r="C836" s="3"/>
      <c r="D836" s="1"/>
      <c r="E836" s="1"/>
      <c r="F836" s="1"/>
      <c r="G836" s="1"/>
      <c r="H836" s="1"/>
      <c r="I836" s="1"/>
      <c r="J836" s="6"/>
      <c r="K836" s="1"/>
      <c r="L836" s="1"/>
      <c r="M836" s="5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5.75" customHeight="1">
      <c r="A837" s="1"/>
      <c r="B837" s="1"/>
      <c r="C837" s="3"/>
      <c r="D837" s="1"/>
      <c r="E837" s="1"/>
      <c r="F837" s="1"/>
      <c r="G837" s="1"/>
      <c r="H837" s="1"/>
      <c r="I837" s="1"/>
      <c r="J837" s="6"/>
      <c r="K837" s="1"/>
      <c r="L837" s="1"/>
      <c r="M837" s="5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5.75" customHeight="1">
      <c r="A838" s="1"/>
      <c r="B838" s="1"/>
      <c r="C838" s="3"/>
      <c r="D838" s="1"/>
      <c r="E838" s="1"/>
      <c r="F838" s="1"/>
      <c r="G838" s="1"/>
      <c r="H838" s="1"/>
      <c r="I838" s="1"/>
      <c r="J838" s="6"/>
      <c r="K838" s="1"/>
      <c r="L838" s="1"/>
      <c r="M838" s="5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5.75" customHeight="1">
      <c r="A839" s="1"/>
      <c r="B839" s="1"/>
      <c r="C839" s="3"/>
      <c r="D839" s="1"/>
      <c r="E839" s="1"/>
      <c r="F839" s="1"/>
      <c r="G839" s="1"/>
      <c r="H839" s="1"/>
      <c r="I839" s="1"/>
      <c r="J839" s="6"/>
      <c r="K839" s="1"/>
      <c r="L839" s="1"/>
      <c r="M839" s="5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5.75" customHeight="1">
      <c r="A840" s="1"/>
      <c r="B840" s="1"/>
      <c r="C840" s="3"/>
      <c r="D840" s="1"/>
      <c r="E840" s="1"/>
      <c r="F840" s="1"/>
      <c r="G840" s="1"/>
      <c r="H840" s="1"/>
      <c r="I840" s="1"/>
      <c r="J840" s="6"/>
      <c r="K840" s="1"/>
      <c r="L840" s="1"/>
      <c r="M840" s="5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5.75" customHeight="1">
      <c r="A841" s="1"/>
      <c r="B841" s="1"/>
      <c r="C841" s="3"/>
      <c r="D841" s="1"/>
      <c r="E841" s="1"/>
      <c r="F841" s="1"/>
      <c r="G841" s="1"/>
      <c r="H841" s="1"/>
      <c r="I841" s="1"/>
      <c r="J841" s="6"/>
      <c r="K841" s="1"/>
      <c r="L841" s="1"/>
      <c r="M841" s="5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5.75" customHeight="1">
      <c r="A842" s="1"/>
      <c r="B842" s="1"/>
      <c r="C842" s="3"/>
      <c r="D842" s="1"/>
      <c r="E842" s="1"/>
      <c r="F842" s="1"/>
      <c r="G842" s="1"/>
      <c r="H842" s="1"/>
      <c r="I842" s="1"/>
      <c r="J842" s="6"/>
      <c r="K842" s="1"/>
      <c r="L842" s="1"/>
      <c r="M842" s="5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5.75" customHeight="1">
      <c r="A843" s="1"/>
      <c r="B843" s="1"/>
      <c r="C843" s="3"/>
      <c r="D843" s="1"/>
      <c r="E843" s="1"/>
      <c r="F843" s="1"/>
      <c r="G843" s="1"/>
      <c r="H843" s="1"/>
      <c r="I843" s="1"/>
      <c r="J843" s="4"/>
      <c r="K843" s="1"/>
      <c r="L843" s="1"/>
      <c r="M843" s="5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5.75" customHeight="1">
      <c r="A844" s="1"/>
      <c r="B844" s="1"/>
      <c r="C844" s="3"/>
      <c r="D844" s="1"/>
      <c r="E844" s="1"/>
      <c r="F844" s="1"/>
      <c r="G844" s="1"/>
      <c r="H844" s="1"/>
      <c r="I844" s="1"/>
      <c r="J844" s="6"/>
      <c r="K844" s="1"/>
      <c r="L844" s="1"/>
      <c r="M844" s="5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5.75" customHeight="1">
      <c r="A845" s="1"/>
      <c r="B845" s="1"/>
      <c r="C845" s="3"/>
      <c r="D845" s="1"/>
      <c r="E845" s="1"/>
      <c r="F845" s="1"/>
      <c r="G845" s="1"/>
      <c r="H845" s="1"/>
      <c r="I845" s="1"/>
      <c r="J845" s="6"/>
      <c r="K845" s="1"/>
      <c r="L845" s="1"/>
      <c r="M845" s="5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5.75" customHeight="1">
      <c r="A846" s="1"/>
      <c r="B846" s="1"/>
      <c r="C846" s="3"/>
      <c r="D846" s="1"/>
      <c r="E846" s="1"/>
      <c r="F846" s="1"/>
      <c r="G846" s="1"/>
      <c r="H846" s="1"/>
      <c r="I846" s="1"/>
      <c r="J846" s="4"/>
      <c r="K846" s="1"/>
      <c r="L846" s="1"/>
      <c r="M846" s="5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5.75" customHeight="1">
      <c r="A847" s="1"/>
      <c r="B847" s="1"/>
      <c r="C847" s="3"/>
      <c r="D847" s="1"/>
      <c r="E847" s="1"/>
      <c r="F847" s="1"/>
      <c r="G847" s="1"/>
      <c r="H847" s="1"/>
      <c r="I847" s="1"/>
      <c r="J847" s="4"/>
      <c r="K847" s="1"/>
      <c r="L847" s="1"/>
      <c r="M847" s="5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5.75" customHeight="1">
      <c r="A848" s="1"/>
      <c r="B848" s="1"/>
      <c r="C848" s="3"/>
      <c r="D848" s="1"/>
      <c r="E848" s="1"/>
      <c r="F848" s="1"/>
      <c r="G848" s="1"/>
      <c r="H848" s="1"/>
      <c r="I848" s="1"/>
      <c r="J848" s="4"/>
      <c r="K848" s="1"/>
      <c r="L848" s="1"/>
      <c r="M848" s="5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5.75" customHeight="1">
      <c r="A849" s="1"/>
      <c r="B849" s="1"/>
      <c r="C849" s="3"/>
      <c r="D849" s="1"/>
      <c r="E849" s="1"/>
      <c r="F849" s="1"/>
      <c r="G849" s="1"/>
      <c r="H849" s="1"/>
      <c r="I849" s="1"/>
      <c r="J849" s="4"/>
      <c r="K849" s="1"/>
      <c r="L849" s="1"/>
      <c r="M849" s="5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5.75" customHeight="1">
      <c r="A850" s="1"/>
      <c r="B850" s="1"/>
      <c r="C850" s="3"/>
      <c r="D850" s="1"/>
      <c r="E850" s="1"/>
      <c r="F850" s="1"/>
      <c r="G850" s="1"/>
      <c r="H850" s="1"/>
      <c r="I850" s="1"/>
      <c r="J850" s="4"/>
      <c r="K850" s="1"/>
      <c r="L850" s="1"/>
      <c r="M850" s="7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5.75" customHeight="1">
      <c r="A851" s="1"/>
      <c r="B851" s="1"/>
      <c r="C851" s="3"/>
      <c r="D851" s="1"/>
      <c r="E851" s="1"/>
      <c r="F851" s="1"/>
      <c r="G851" s="1"/>
      <c r="H851" s="1"/>
      <c r="I851" s="1"/>
      <c r="J851" s="4"/>
      <c r="K851" s="1"/>
      <c r="L851" s="1"/>
      <c r="M851" s="5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5.75" customHeight="1">
      <c r="A852" s="1"/>
      <c r="B852" s="1"/>
      <c r="C852" s="3"/>
      <c r="D852" s="1"/>
      <c r="E852" s="1"/>
      <c r="F852" s="1"/>
      <c r="G852" s="1"/>
      <c r="H852" s="1"/>
      <c r="I852" s="1"/>
      <c r="J852" s="4"/>
      <c r="K852" s="1"/>
      <c r="L852" s="1"/>
      <c r="M852" s="5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5.75" customHeight="1">
      <c r="A853" s="1"/>
      <c r="B853" s="1"/>
      <c r="C853" s="3"/>
      <c r="D853" s="1"/>
      <c r="E853" s="1"/>
      <c r="F853" s="1"/>
      <c r="G853" s="1"/>
      <c r="H853" s="1"/>
      <c r="I853" s="1"/>
      <c r="J853" s="6"/>
      <c r="K853" s="1"/>
      <c r="L853" s="1"/>
      <c r="M853" s="5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5.75" customHeight="1">
      <c r="A854" s="1"/>
      <c r="B854" s="1"/>
      <c r="C854" s="3"/>
      <c r="D854" s="1"/>
      <c r="E854" s="1"/>
      <c r="F854" s="1"/>
      <c r="G854" s="1"/>
      <c r="H854" s="1"/>
      <c r="I854" s="1"/>
      <c r="J854" s="6"/>
      <c r="K854" s="1"/>
      <c r="L854" s="1"/>
      <c r="M854" s="7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5.75" customHeight="1">
      <c r="A855" s="1"/>
      <c r="B855" s="1"/>
      <c r="C855" s="3"/>
      <c r="D855" s="1"/>
      <c r="E855" s="1"/>
      <c r="F855" s="1"/>
      <c r="G855" s="1"/>
      <c r="H855" s="1"/>
      <c r="I855" s="1"/>
      <c r="J855" s="6"/>
      <c r="K855" s="1"/>
      <c r="L855" s="1"/>
      <c r="M855" s="5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5.75" customHeight="1">
      <c r="A856" s="1"/>
      <c r="B856" s="1"/>
      <c r="C856" s="3"/>
      <c r="D856" s="1"/>
      <c r="E856" s="1"/>
      <c r="F856" s="1"/>
      <c r="G856" s="1"/>
      <c r="H856" s="1"/>
      <c r="I856" s="1"/>
      <c r="J856" s="6"/>
      <c r="K856" s="1"/>
      <c r="L856" s="1"/>
      <c r="M856" s="5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5.75" customHeight="1">
      <c r="A857" s="1"/>
      <c r="B857" s="1"/>
      <c r="C857" s="3"/>
      <c r="D857" s="1"/>
      <c r="E857" s="1"/>
      <c r="F857" s="1"/>
      <c r="G857" s="1"/>
      <c r="H857" s="1"/>
      <c r="I857" s="1"/>
      <c r="J857" s="6"/>
      <c r="K857" s="1"/>
      <c r="L857" s="1"/>
      <c r="M857" s="5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5.75" customHeight="1">
      <c r="A858" s="1"/>
      <c r="B858" s="1"/>
      <c r="C858" s="3"/>
      <c r="D858" s="1"/>
      <c r="E858" s="1"/>
      <c r="F858" s="1"/>
      <c r="G858" s="1"/>
      <c r="H858" s="1"/>
      <c r="I858" s="1"/>
      <c r="J858" s="6"/>
      <c r="K858" s="1"/>
      <c r="L858" s="1"/>
      <c r="M858" s="5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5.75" customHeight="1">
      <c r="A859" s="1"/>
      <c r="B859" s="1"/>
      <c r="C859" s="3"/>
      <c r="D859" s="1"/>
      <c r="E859" s="1"/>
      <c r="F859" s="1"/>
      <c r="G859" s="1"/>
      <c r="H859" s="1"/>
      <c r="I859" s="1"/>
      <c r="J859" s="4"/>
      <c r="K859" s="1"/>
      <c r="L859" s="1"/>
      <c r="M859" s="5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5.75" customHeight="1">
      <c r="A860" s="1"/>
      <c r="B860" s="1"/>
      <c r="C860" s="3"/>
      <c r="D860" s="1"/>
      <c r="E860" s="1"/>
      <c r="F860" s="1"/>
      <c r="G860" s="1"/>
      <c r="H860" s="1"/>
      <c r="I860" s="1"/>
      <c r="J860" s="4"/>
      <c r="K860" s="1"/>
      <c r="L860" s="1"/>
      <c r="M860" s="7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5.75" customHeight="1">
      <c r="A861" s="1"/>
      <c r="B861" s="1"/>
      <c r="C861" s="3"/>
      <c r="D861" s="1"/>
      <c r="E861" s="1"/>
      <c r="F861" s="1"/>
      <c r="G861" s="1"/>
      <c r="H861" s="1"/>
      <c r="I861" s="1"/>
      <c r="J861" s="4"/>
      <c r="K861" s="1"/>
      <c r="L861" s="1"/>
      <c r="M861" s="7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5.75" customHeight="1">
      <c r="A862" s="1"/>
      <c r="B862" s="1"/>
      <c r="C862" s="3"/>
      <c r="D862" s="1"/>
      <c r="E862" s="1"/>
      <c r="F862" s="1"/>
      <c r="G862" s="1"/>
      <c r="H862" s="1"/>
      <c r="I862" s="1"/>
      <c r="J862" s="4"/>
      <c r="K862" s="1"/>
      <c r="L862" s="1"/>
      <c r="M862" s="7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5.75" customHeight="1">
      <c r="A863" s="1"/>
      <c r="B863" s="1"/>
      <c r="C863" s="3"/>
      <c r="D863" s="1"/>
      <c r="E863" s="1"/>
      <c r="F863" s="1"/>
      <c r="G863" s="1"/>
      <c r="H863" s="1"/>
      <c r="I863" s="1"/>
      <c r="J863" s="4"/>
      <c r="K863" s="1"/>
      <c r="L863" s="1"/>
      <c r="M863" s="5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5.75" customHeight="1">
      <c r="A864" s="1"/>
      <c r="B864" s="1"/>
      <c r="C864" s="3"/>
      <c r="D864" s="1"/>
      <c r="E864" s="1"/>
      <c r="F864" s="1"/>
      <c r="G864" s="1"/>
      <c r="H864" s="1"/>
      <c r="I864" s="1"/>
      <c r="J864" s="4"/>
      <c r="K864" s="1"/>
      <c r="L864" s="1"/>
      <c r="M864" s="5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5.75" customHeight="1">
      <c r="A865" s="1"/>
      <c r="B865" s="1"/>
      <c r="C865" s="3"/>
      <c r="D865" s="1"/>
      <c r="E865" s="1"/>
      <c r="F865" s="1"/>
      <c r="G865" s="1"/>
      <c r="H865" s="1"/>
      <c r="I865" s="1"/>
      <c r="J865" s="4"/>
      <c r="K865" s="1"/>
      <c r="L865" s="1"/>
      <c r="M865" s="5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5.75" customHeight="1">
      <c r="A866" s="1"/>
      <c r="B866" s="1"/>
      <c r="C866" s="3"/>
      <c r="D866" s="1"/>
      <c r="E866" s="1"/>
      <c r="F866" s="1"/>
      <c r="G866" s="1"/>
      <c r="H866" s="1"/>
      <c r="I866" s="1"/>
      <c r="J866" s="6"/>
      <c r="K866" s="1"/>
      <c r="L866" s="1"/>
      <c r="M866" s="7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5.75" customHeight="1">
      <c r="A867" s="1"/>
      <c r="B867" s="1"/>
      <c r="C867" s="3"/>
      <c r="D867" s="1"/>
      <c r="E867" s="1"/>
      <c r="F867" s="1"/>
      <c r="G867" s="1"/>
      <c r="H867" s="1"/>
      <c r="I867" s="1"/>
      <c r="J867" s="6"/>
      <c r="K867" s="1"/>
      <c r="L867" s="1"/>
      <c r="M867" s="5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5.75" customHeight="1">
      <c r="A868" s="1"/>
      <c r="B868" s="1"/>
      <c r="C868" s="3"/>
      <c r="D868" s="1"/>
      <c r="E868" s="1"/>
      <c r="F868" s="1"/>
      <c r="G868" s="1"/>
      <c r="H868" s="1"/>
      <c r="I868" s="1"/>
      <c r="J868" s="6"/>
      <c r="K868" s="1"/>
      <c r="L868" s="1"/>
      <c r="M868" s="7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5.75" customHeight="1">
      <c r="A869" s="1"/>
      <c r="B869" s="1"/>
      <c r="C869" s="3"/>
      <c r="D869" s="1"/>
      <c r="E869" s="1"/>
      <c r="F869" s="1"/>
      <c r="G869" s="1"/>
      <c r="H869" s="1"/>
      <c r="I869" s="1"/>
      <c r="J869" s="6"/>
      <c r="K869" s="1"/>
      <c r="L869" s="1"/>
      <c r="M869" s="5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5.75" customHeight="1">
      <c r="A870" s="1"/>
      <c r="B870" s="1"/>
      <c r="C870" s="3"/>
      <c r="D870" s="1"/>
      <c r="E870" s="1"/>
      <c r="F870" s="1"/>
      <c r="G870" s="1"/>
      <c r="H870" s="1"/>
      <c r="I870" s="1"/>
      <c r="J870" s="6"/>
      <c r="K870" s="1"/>
      <c r="L870" s="1"/>
      <c r="M870" s="5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5.75" customHeight="1">
      <c r="A871" s="1"/>
      <c r="B871" s="1"/>
      <c r="C871" s="3"/>
      <c r="D871" s="1"/>
      <c r="E871" s="1"/>
      <c r="F871" s="1"/>
      <c r="G871" s="1"/>
      <c r="H871" s="1"/>
      <c r="I871" s="1"/>
      <c r="J871" s="6"/>
      <c r="K871" s="1"/>
      <c r="L871" s="1"/>
      <c r="M871" s="5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5.75" customHeight="1">
      <c r="A872" s="1"/>
      <c r="B872" s="1"/>
      <c r="C872" s="3"/>
      <c r="D872" s="1"/>
      <c r="E872" s="1"/>
      <c r="F872" s="1"/>
      <c r="G872" s="1"/>
      <c r="H872" s="1"/>
      <c r="I872" s="1"/>
      <c r="J872" s="6"/>
      <c r="K872" s="1"/>
      <c r="L872" s="1"/>
      <c r="M872" s="5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5.75" customHeight="1">
      <c r="A873" s="1"/>
      <c r="B873" s="1"/>
      <c r="C873" s="3"/>
      <c r="D873" s="1"/>
      <c r="E873" s="1"/>
      <c r="F873" s="1"/>
      <c r="G873" s="1"/>
      <c r="H873" s="1"/>
      <c r="I873" s="1"/>
      <c r="J873" s="6"/>
      <c r="K873" s="1"/>
      <c r="L873" s="1"/>
      <c r="M873" s="5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5.75" customHeight="1">
      <c r="A874" s="1"/>
      <c r="B874" s="1"/>
      <c r="C874" s="3"/>
      <c r="D874" s="1"/>
      <c r="E874" s="1"/>
      <c r="F874" s="1"/>
      <c r="G874" s="1"/>
      <c r="H874" s="1"/>
      <c r="I874" s="1"/>
      <c r="J874" s="6"/>
      <c r="K874" s="1"/>
      <c r="L874" s="1"/>
      <c r="M874" s="7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5.75" customHeight="1">
      <c r="A875" s="1"/>
      <c r="B875" s="1"/>
      <c r="C875" s="3"/>
      <c r="D875" s="1"/>
      <c r="E875" s="1"/>
      <c r="F875" s="1"/>
      <c r="G875" s="1"/>
      <c r="H875" s="1"/>
      <c r="I875" s="1"/>
      <c r="J875" s="6"/>
      <c r="K875" s="1"/>
      <c r="L875" s="1"/>
      <c r="M875" s="5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5.75" customHeight="1">
      <c r="A876" s="1"/>
      <c r="B876" s="1"/>
      <c r="C876" s="3"/>
      <c r="D876" s="1"/>
      <c r="E876" s="1"/>
      <c r="F876" s="1"/>
      <c r="G876" s="1"/>
      <c r="H876" s="1"/>
      <c r="I876" s="1"/>
      <c r="J876" s="6"/>
      <c r="K876" s="1"/>
      <c r="L876" s="1"/>
      <c r="M876" s="5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5.75" customHeight="1">
      <c r="A877" s="1"/>
      <c r="B877" s="1"/>
      <c r="C877" s="3"/>
      <c r="D877" s="1"/>
      <c r="E877" s="1"/>
      <c r="F877" s="1"/>
      <c r="G877" s="1"/>
      <c r="H877" s="1"/>
      <c r="I877" s="1"/>
      <c r="J877" s="4"/>
      <c r="K877" s="1"/>
      <c r="L877" s="1"/>
      <c r="M877" s="5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5.75" customHeight="1">
      <c r="A878" s="1"/>
      <c r="B878" s="1"/>
      <c r="C878" s="3"/>
      <c r="D878" s="1"/>
      <c r="E878" s="1"/>
      <c r="F878" s="1"/>
      <c r="G878" s="1"/>
      <c r="H878" s="1"/>
      <c r="I878" s="1"/>
      <c r="J878" s="6"/>
      <c r="K878" s="1"/>
      <c r="L878" s="1"/>
      <c r="M878" s="5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5.75" customHeight="1">
      <c r="A879" s="1"/>
      <c r="B879" s="1"/>
      <c r="C879" s="3"/>
      <c r="D879" s="1"/>
      <c r="E879" s="1"/>
      <c r="F879" s="1"/>
      <c r="G879" s="1"/>
      <c r="H879" s="1"/>
      <c r="I879" s="1"/>
      <c r="J879" s="6"/>
      <c r="K879" s="1"/>
      <c r="L879" s="1"/>
      <c r="M879" s="5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5.75" customHeight="1">
      <c r="A880" s="1"/>
      <c r="B880" s="1"/>
      <c r="C880" s="3"/>
      <c r="D880" s="1"/>
      <c r="E880" s="1"/>
      <c r="F880" s="1"/>
      <c r="G880" s="1"/>
      <c r="H880" s="1"/>
      <c r="I880" s="1"/>
      <c r="J880" s="6"/>
      <c r="K880" s="1"/>
      <c r="L880" s="1"/>
      <c r="M880" s="5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5.75" customHeight="1">
      <c r="A881" s="1"/>
      <c r="B881" s="1"/>
      <c r="C881" s="3"/>
      <c r="D881" s="1"/>
      <c r="E881" s="1"/>
      <c r="F881" s="1"/>
      <c r="G881" s="1"/>
      <c r="H881" s="1"/>
      <c r="I881" s="1"/>
      <c r="J881" s="6"/>
      <c r="K881" s="1"/>
      <c r="L881" s="1"/>
      <c r="M881" s="5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5.75" customHeight="1">
      <c r="A882" s="1"/>
      <c r="B882" s="1"/>
      <c r="C882" s="3"/>
      <c r="D882" s="1"/>
      <c r="E882" s="1"/>
      <c r="F882" s="1"/>
      <c r="G882" s="1"/>
      <c r="H882" s="1"/>
      <c r="I882" s="1"/>
      <c r="J882" s="6"/>
      <c r="K882" s="1"/>
      <c r="L882" s="1"/>
      <c r="M882" s="5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5.75" customHeight="1">
      <c r="A883" s="1"/>
      <c r="B883" s="1"/>
      <c r="C883" s="3"/>
      <c r="D883" s="1"/>
      <c r="E883" s="1"/>
      <c r="F883" s="1"/>
      <c r="G883" s="1"/>
      <c r="H883" s="1"/>
      <c r="I883" s="1"/>
      <c r="J883" s="4"/>
      <c r="K883" s="1"/>
      <c r="L883" s="1"/>
      <c r="M883" s="5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5.75" customHeight="1">
      <c r="A884" s="1"/>
      <c r="B884" s="1"/>
      <c r="C884" s="3"/>
      <c r="D884" s="1"/>
      <c r="E884" s="1"/>
      <c r="F884" s="1"/>
      <c r="G884" s="1"/>
      <c r="H884" s="1"/>
      <c r="I884" s="1"/>
      <c r="J884" s="4"/>
      <c r="K884" s="1"/>
      <c r="L884" s="1"/>
      <c r="M884" s="5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5.75" customHeight="1">
      <c r="A885" s="1"/>
      <c r="B885" s="1"/>
      <c r="C885" s="3"/>
      <c r="D885" s="1"/>
      <c r="E885" s="1"/>
      <c r="F885" s="1"/>
      <c r="G885" s="1"/>
      <c r="H885" s="1"/>
      <c r="I885" s="1"/>
      <c r="J885" s="6"/>
      <c r="K885" s="1"/>
      <c r="L885" s="1"/>
      <c r="M885" s="5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5.75" customHeight="1">
      <c r="A886" s="1"/>
      <c r="B886" s="1"/>
      <c r="C886" s="3"/>
      <c r="D886" s="1"/>
      <c r="E886" s="1"/>
      <c r="F886" s="1"/>
      <c r="G886" s="1"/>
      <c r="H886" s="1"/>
      <c r="I886" s="1"/>
      <c r="J886" s="6"/>
      <c r="K886" s="1"/>
      <c r="L886" s="1"/>
      <c r="M886" s="5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5.75" customHeight="1">
      <c r="A887" s="1"/>
      <c r="B887" s="1"/>
      <c r="C887" s="3"/>
      <c r="D887" s="1"/>
      <c r="E887" s="1"/>
      <c r="F887" s="1"/>
      <c r="G887" s="1"/>
      <c r="H887" s="1"/>
      <c r="I887" s="1"/>
      <c r="J887" s="6"/>
      <c r="K887" s="1"/>
      <c r="L887" s="1"/>
      <c r="M887" s="5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5.75" customHeight="1">
      <c r="A888" s="1"/>
      <c r="B888" s="1"/>
      <c r="C888" s="3"/>
      <c r="D888" s="1"/>
      <c r="E888" s="1"/>
      <c r="F888" s="1"/>
      <c r="G888" s="1"/>
      <c r="H888" s="1"/>
      <c r="I888" s="1"/>
      <c r="J888" s="6"/>
      <c r="K888" s="1"/>
      <c r="L888" s="1"/>
      <c r="M888" s="5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5.75" customHeight="1">
      <c r="A889" s="1"/>
      <c r="B889" s="1"/>
      <c r="C889" s="3"/>
      <c r="D889" s="1"/>
      <c r="E889" s="1"/>
      <c r="F889" s="1"/>
      <c r="G889" s="1"/>
      <c r="H889" s="1"/>
      <c r="I889" s="1"/>
      <c r="J889" s="6"/>
      <c r="K889" s="1"/>
      <c r="L889" s="1"/>
      <c r="M889" s="5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5.75" customHeight="1">
      <c r="A890" s="1"/>
      <c r="B890" s="1"/>
      <c r="C890" s="3"/>
      <c r="D890" s="1"/>
      <c r="E890" s="1"/>
      <c r="F890" s="1"/>
      <c r="G890" s="1"/>
      <c r="H890" s="1"/>
      <c r="I890" s="1"/>
      <c r="J890" s="6"/>
      <c r="K890" s="1"/>
      <c r="L890" s="1"/>
      <c r="M890" s="5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5.75" customHeight="1">
      <c r="A891" s="1"/>
      <c r="B891" s="1"/>
      <c r="C891" s="3"/>
      <c r="D891" s="1"/>
      <c r="E891" s="1"/>
      <c r="F891" s="1"/>
      <c r="G891" s="1"/>
      <c r="H891" s="1"/>
      <c r="I891" s="1"/>
      <c r="J891" s="6"/>
      <c r="K891" s="1"/>
      <c r="L891" s="1"/>
      <c r="M891" s="5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5.75" customHeight="1">
      <c r="A892" s="1"/>
      <c r="B892" s="1"/>
      <c r="C892" s="3"/>
      <c r="D892" s="1"/>
      <c r="E892" s="1"/>
      <c r="F892" s="1"/>
      <c r="G892" s="1"/>
      <c r="H892" s="1"/>
      <c r="I892" s="1"/>
      <c r="J892" s="6"/>
      <c r="K892" s="1"/>
      <c r="L892" s="1"/>
      <c r="M892" s="5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5.75" customHeight="1">
      <c r="A893" s="1"/>
      <c r="B893" s="1"/>
      <c r="C893" s="3"/>
      <c r="D893" s="1"/>
      <c r="E893" s="1"/>
      <c r="F893" s="1"/>
      <c r="G893" s="1"/>
      <c r="H893" s="1"/>
      <c r="I893" s="1"/>
      <c r="J893" s="6"/>
      <c r="K893" s="1"/>
      <c r="L893" s="1"/>
      <c r="M893" s="5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5.75" customHeight="1">
      <c r="A894" s="1"/>
      <c r="B894" s="1"/>
      <c r="C894" s="3"/>
      <c r="D894" s="1"/>
      <c r="E894" s="1"/>
      <c r="F894" s="1"/>
      <c r="G894" s="1"/>
      <c r="H894" s="1"/>
      <c r="I894" s="1"/>
      <c r="J894" s="6"/>
      <c r="K894" s="1"/>
      <c r="L894" s="1"/>
      <c r="M894" s="5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5.75" customHeight="1">
      <c r="A895" s="1"/>
      <c r="B895" s="1"/>
      <c r="C895" s="3"/>
      <c r="D895" s="1"/>
      <c r="E895" s="1"/>
      <c r="F895" s="1"/>
      <c r="G895" s="1"/>
      <c r="H895" s="1"/>
      <c r="I895" s="1"/>
      <c r="J895" s="4"/>
      <c r="K895" s="1"/>
      <c r="L895" s="1"/>
      <c r="M895" s="5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5.75" customHeight="1">
      <c r="A896" s="1"/>
      <c r="B896" s="1"/>
      <c r="C896" s="3"/>
      <c r="D896" s="1"/>
      <c r="E896" s="1"/>
      <c r="F896" s="1"/>
      <c r="G896" s="1"/>
      <c r="H896" s="1"/>
      <c r="I896" s="1"/>
      <c r="J896" s="6"/>
      <c r="K896" s="1"/>
      <c r="L896" s="1"/>
      <c r="M896" s="5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5.75" customHeight="1">
      <c r="A897" s="1"/>
      <c r="B897" s="1"/>
      <c r="C897" s="3"/>
      <c r="D897" s="1"/>
      <c r="E897" s="1"/>
      <c r="F897" s="1"/>
      <c r="G897" s="1"/>
      <c r="H897" s="1"/>
      <c r="I897" s="1"/>
      <c r="J897" s="6"/>
      <c r="K897" s="1"/>
      <c r="L897" s="1"/>
      <c r="M897" s="5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5.75" customHeight="1">
      <c r="A898" s="1"/>
      <c r="B898" s="1"/>
      <c r="C898" s="3"/>
      <c r="D898" s="1"/>
      <c r="E898" s="1"/>
      <c r="F898" s="1"/>
      <c r="G898" s="1"/>
      <c r="H898" s="1"/>
      <c r="I898" s="1"/>
      <c r="J898" s="6"/>
      <c r="K898" s="1"/>
      <c r="L898" s="1"/>
      <c r="M898" s="5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5.75" customHeight="1">
      <c r="A899" s="1"/>
      <c r="B899" s="1"/>
      <c r="C899" s="3"/>
      <c r="D899" s="1"/>
      <c r="E899" s="1"/>
      <c r="F899" s="1"/>
      <c r="G899" s="1"/>
      <c r="H899" s="1"/>
      <c r="I899" s="1"/>
      <c r="J899" s="6"/>
      <c r="K899" s="1"/>
      <c r="L899" s="1"/>
      <c r="M899" s="5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5.75" customHeight="1">
      <c r="A900" s="1"/>
      <c r="B900" s="1"/>
      <c r="C900" s="3"/>
      <c r="D900" s="1"/>
      <c r="E900" s="1"/>
      <c r="F900" s="1"/>
      <c r="G900" s="1"/>
      <c r="H900" s="1"/>
      <c r="I900" s="1"/>
      <c r="J900" s="4"/>
      <c r="K900" s="1"/>
      <c r="L900" s="1"/>
      <c r="M900" s="5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5.75" customHeight="1">
      <c r="A901" s="1"/>
      <c r="B901" s="1"/>
      <c r="C901" s="3"/>
      <c r="D901" s="1"/>
      <c r="E901" s="1"/>
      <c r="F901" s="1"/>
      <c r="G901" s="1"/>
      <c r="H901" s="1"/>
      <c r="I901" s="1"/>
      <c r="J901" s="4"/>
      <c r="K901" s="1"/>
      <c r="L901" s="1"/>
      <c r="M901" s="5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5.75" customHeight="1">
      <c r="A902" s="1"/>
      <c r="B902" s="1"/>
      <c r="C902" s="3"/>
      <c r="D902" s="1"/>
      <c r="E902" s="1"/>
      <c r="F902" s="1"/>
      <c r="G902" s="1"/>
      <c r="H902" s="1"/>
      <c r="I902" s="1"/>
      <c r="J902" s="6"/>
      <c r="K902" s="1"/>
      <c r="L902" s="1"/>
      <c r="M902" s="7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5.75" customHeight="1">
      <c r="A903" s="1"/>
      <c r="B903" s="1"/>
      <c r="C903" s="3"/>
      <c r="D903" s="1"/>
      <c r="E903" s="1"/>
      <c r="F903" s="1"/>
      <c r="G903" s="1"/>
      <c r="H903" s="1"/>
      <c r="I903" s="1"/>
      <c r="J903" s="6"/>
      <c r="K903" s="1"/>
      <c r="L903" s="1"/>
      <c r="M903" s="5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5.75" customHeight="1">
      <c r="A904" s="1"/>
      <c r="B904" s="1"/>
      <c r="C904" s="3"/>
      <c r="D904" s="1"/>
      <c r="E904" s="1"/>
      <c r="F904" s="1"/>
      <c r="G904" s="1"/>
      <c r="H904" s="1"/>
      <c r="I904" s="1"/>
      <c r="J904" s="6"/>
      <c r="K904" s="1"/>
      <c r="L904" s="1"/>
      <c r="M904" s="5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5.75" customHeight="1">
      <c r="A905" s="1"/>
      <c r="B905" s="1"/>
      <c r="C905" s="3"/>
      <c r="D905" s="1"/>
      <c r="E905" s="1"/>
      <c r="F905" s="1"/>
      <c r="G905" s="1"/>
      <c r="H905" s="1"/>
      <c r="I905" s="1"/>
      <c r="J905" s="6"/>
      <c r="K905" s="1"/>
      <c r="L905" s="1"/>
      <c r="M905" s="5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5.75" customHeight="1">
      <c r="A906" s="1"/>
      <c r="B906" s="1"/>
      <c r="C906" s="3"/>
      <c r="D906" s="1"/>
      <c r="E906" s="1"/>
      <c r="F906" s="1"/>
      <c r="G906" s="1"/>
      <c r="H906" s="1"/>
      <c r="I906" s="1"/>
      <c r="J906" s="6"/>
      <c r="K906" s="1"/>
      <c r="L906" s="1"/>
      <c r="M906" s="5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5.75" customHeight="1">
      <c r="A907" s="1"/>
      <c r="B907" s="1"/>
      <c r="C907" s="3"/>
      <c r="D907" s="1"/>
      <c r="E907" s="1"/>
      <c r="F907" s="1"/>
      <c r="G907" s="1"/>
      <c r="H907" s="1"/>
      <c r="I907" s="1"/>
      <c r="J907" s="6"/>
      <c r="K907" s="1"/>
      <c r="L907" s="1"/>
      <c r="M907" s="5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5.75" customHeight="1">
      <c r="A908" s="1"/>
      <c r="B908" s="1"/>
      <c r="C908" s="3"/>
      <c r="D908" s="1"/>
      <c r="E908" s="1"/>
      <c r="F908" s="1"/>
      <c r="G908" s="1"/>
      <c r="H908" s="1"/>
      <c r="I908" s="1"/>
      <c r="J908" s="6"/>
      <c r="K908" s="1"/>
      <c r="L908" s="1"/>
      <c r="M908" s="5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5.75" customHeight="1">
      <c r="A909" s="1"/>
      <c r="B909" s="1"/>
      <c r="C909" s="3"/>
      <c r="D909" s="1"/>
      <c r="E909" s="1"/>
      <c r="F909" s="1"/>
      <c r="G909" s="1"/>
      <c r="H909" s="1"/>
      <c r="I909" s="1"/>
      <c r="J909" s="6"/>
      <c r="K909" s="1"/>
      <c r="L909" s="1"/>
      <c r="M909" s="5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5.75" customHeight="1">
      <c r="A910" s="1"/>
      <c r="B910" s="1"/>
      <c r="C910" s="3"/>
      <c r="D910" s="1"/>
      <c r="E910" s="1"/>
      <c r="F910" s="1"/>
      <c r="G910" s="1"/>
      <c r="H910" s="1"/>
      <c r="I910" s="1"/>
      <c r="J910" s="4"/>
      <c r="K910" s="1"/>
      <c r="L910" s="1"/>
      <c r="M910" s="5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5.75" customHeight="1">
      <c r="A911" s="1"/>
      <c r="B911" s="1"/>
      <c r="C911" s="3"/>
      <c r="D911" s="1"/>
      <c r="E911" s="1"/>
      <c r="F911" s="1"/>
      <c r="G911" s="1"/>
      <c r="H911" s="1"/>
      <c r="I911" s="1"/>
      <c r="J911" s="4"/>
      <c r="K911" s="1"/>
      <c r="L911" s="1"/>
      <c r="M911" s="5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5.75" customHeight="1">
      <c r="A912" s="1"/>
      <c r="B912" s="1"/>
      <c r="C912" s="3"/>
      <c r="D912" s="1"/>
      <c r="E912" s="1"/>
      <c r="F912" s="1"/>
      <c r="G912" s="1"/>
      <c r="H912" s="1"/>
      <c r="I912" s="1"/>
      <c r="J912" s="6"/>
      <c r="K912" s="1"/>
      <c r="L912" s="1"/>
      <c r="M912" s="5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5.75" customHeight="1">
      <c r="A913" s="1"/>
      <c r="B913" s="1"/>
      <c r="C913" s="3"/>
      <c r="D913" s="1"/>
      <c r="E913" s="1"/>
      <c r="F913" s="1"/>
      <c r="G913" s="1"/>
      <c r="H913" s="1"/>
      <c r="I913" s="1"/>
      <c r="J913" s="6"/>
      <c r="K913" s="1"/>
      <c r="L913" s="1"/>
      <c r="M913" s="5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5.75" customHeight="1">
      <c r="A914" s="1"/>
      <c r="B914" s="1"/>
      <c r="C914" s="3"/>
      <c r="D914" s="1"/>
      <c r="E914" s="1"/>
      <c r="F914" s="1"/>
      <c r="G914" s="1"/>
      <c r="H914" s="1"/>
      <c r="I914" s="1"/>
      <c r="J914" s="4"/>
      <c r="K914" s="1"/>
      <c r="L914" s="1"/>
      <c r="M914" s="5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5.75" customHeight="1">
      <c r="A915" s="1"/>
      <c r="B915" s="1"/>
      <c r="C915" s="3"/>
      <c r="D915" s="1"/>
      <c r="E915" s="1"/>
      <c r="F915" s="1"/>
      <c r="G915" s="1"/>
      <c r="H915" s="1"/>
      <c r="I915" s="1"/>
      <c r="J915" s="6"/>
      <c r="K915" s="1"/>
      <c r="L915" s="1"/>
      <c r="M915" s="5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5.75" customHeight="1">
      <c r="A916" s="1"/>
      <c r="B916" s="1"/>
      <c r="C916" s="3"/>
      <c r="D916" s="1"/>
      <c r="E916" s="1"/>
      <c r="F916" s="1"/>
      <c r="G916" s="1"/>
      <c r="H916" s="1"/>
      <c r="I916" s="1"/>
      <c r="J916" s="4"/>
      <c r="K916" s="1"/>
      <c r="L916" s="1"/>
      <c r="M916" s="5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5.75" customHeight="1">
      <c r="A917" s="1"/>
      <c r="B917" s="1"/>
      <c r="C917" s="3"/>
      <c r="D917" s="1"/>
      <c r="E917" s="1"/>
      <c r="F917" s="1"/>
      <c r="G917" s="1"/>
      <c r="H917" s="1"/>
      <c r="I917" s="1"/>
      <c r="J917" s="4"/>
      <c r="K917" s="1"/>
      <c r="L917" s="1"/>
      <c r="M917" s="5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5.75" customHeight="1">
      <c r="A918" s="1"/>
      <c r="B918" s="1"/>
      <c r="C918" s="3"/>
      <c r="D918" s="1"/>
      <c r="E918" s="1"/>
      <c r="F918" s="1"/>
      <c r="G918" s="1"/>
      <c r="H918" s="1"/>
      <c r="I918" s="1"/>
      <c r="J918" s="6"/>
      <c r="K918" s="1"/>
      <c r="L918" s="1"/>
      <c r="M918" s="7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5.75" customHeight="1">
      <c r="A919" s="1"/>
      <c r="B919" s="1"/>
      <c r="C919" s="3"/>
      <c r="D919" s="1"/>
      <c r="E919" s="1"/>
      <c r="F919" s="1"/>
      <c r="G919" s="1"/>
      <c r="H919" s="1"/>
      <c r="I919" s="1"/>
      <c r="J919" s="6"/>
      <c r="K919" s="1"/>
      <c r="L919" s="1"/>
      <c r="M919" s="5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5.75" customHeight="1">
      <c r="A920" s="1"/>
      <c r="B920" s="1"/>
      <c r="C920" s="3"/>
      <c r="D920" s="1"/>
      <c r="E920" s="1"/>
      <c r="F920" s="1"/>
      <c r="G920" s="1"/>
      <c r="H920" s="1"/>
      <c r="I920" s="1"/>
      <c r="J920" s="6"/>
      <c r="K920" s="1"/>
      <c r="L920" s="1"/>
      <c r="M920" s="5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5.75" customHeight="1">
      <c r="A921" s="1"/>
      <c r="B921" s="1"/>
      <c r="C921" s="3"/>
      <c r="D921" s="1"/>
      <c r="E921" s="1"/>
      <c r="F921" s="1"/>
      <c r="G921" s="1"/>
      <c r="H921" s="1"/>
      <c r="I921" s="1"/>
      <c r="J921" s="6"/>
      <c r="K921" s="1"/>
      <c r="L921" s="1"/>
      <c r="M921" s="5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5.75" customHeight="1">
      <c r="A922" s="1"/>
      <c r="B922" s="1"/>
      <c r="C922" s="3"/>
      <c r="D922" s="1"/>
      <c r="E922" s="1"/>
      <c r="F922" s="1"/>
      <c r="G922" s="1"/>
      <c r="H922" s="1"/>
      <c r="I922" s="1"/>
      <c r="J922" s="6"/>
      <c r="K922" s="1"/>
      <c r="L922" s="1"/>
      <c r="M922" s="5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5.75" customHeight="1">
      <c r="A923" s="1"/>
      <c r="B923" s="1"/>
      <c r="C923" s="3"/>
      <c r="D923" s="1"/>
      <c r="E923" s="1"/>
      <c r="F923" s="1"/>
      <c r="G923" s="1"/>
      <c r="H923" s="1"/>
      <c r="I923" s="1"/>
      <c r="J923" s="6"/>
      <c r="K923" s="1"/>
      <c r="L923" s="1"/>
      <c r="M923" s="5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5.75" customHeight="1">
      <c r="A924" s="1"/>
      <c r="B924" s="1"/>
      <c r="C924" s="3"/>
      <c r="D924" s="1"/>
      <c r="E924" s="1"/>
      <c r="F924" s="1"/>
      <c r="G924" s="1"/>
      <c r="H924" s="1"/>
      <c r="I924" s="1"/>
      <c r="J924" s="4"/>
      <c r="K924" s="1"/>
      <c r="L924" s="1"/>
      <c r="M924" s="5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5.75" customHeight="1">
      <c r="A925" s="1"/>
      <c r="B925" s="1"/>
      <c r="C925" s="3"/>
      <c r="D925" s="1"/>
      <c r="E925" s="1"/>
      <c r="F925" s="1"/>
      <c r="G925" s="1"/>
      <c r="H925" s="1"/>
      <c r="I925" s="1"/>
      <c r="J925" s="6"/>
      <c r="K925" s="1"/>
      <c r="L925" s="1"/>
      <c r="M925" s="5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5.75" customHeight="1">
      <c r="A926" s="1"/>
      <c r="B926" s="1"/>
      <c r="C926" s="3"/>
      <c r="D926" s="1"/>
      <c r="E926" s="1"/>
      <c r="F926" s="1"/>
      <c r="G926" s="1"/>
      <c r="H926" s="1"/>
      <c r="I926" s="1"/>
      <c r="J926" s="6"/>
      <c r="K926" s="1"/>
      <c r="L926" s="1"/>
      <c r="M926" s="5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5.75" customHeight="1">
      <c r="A927" s="1"/>
      <c r="B927" s="1"/>
      <c r="C927" s="3"/>
      <c r="D927" s="1"/>
      <c r="E927" s="1"/>
      <c r="F927" s="1"/>
      <c r="G927" s="1"/>
      <c r="H927" s="1"/>
      <c r="I927" s="1"/>
      <c r="J927" s="6"/>
      <c r="K927" s="1"/>
      <c r="L927" s="1"/>
      <c r="M927" s="5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5.75" customHeight="1">
      <c r="A928" s="1"/>
      <c r="B928" s="1"/>
      <c r="C928" s="3"/>
      <c r="D928" s="1"/>
      <c r="E928" s="1"/>
      <c r="F928" s="1"/>
      <c r="G928" s="1"/>
      <c r="H928" s="1"/>
      <c r="I928" s="1"/>
      <c r="J928" s="6"/>
      <c r="K928" s="1"/>
      <c r="L928" s="1"/>
      <c r="M928" s="5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5.75" customHeight="1">
      <c r="A929" s="1"/>
      <c r="B929" s="1"/>
      <c r="C929" s="3"/>
      <c r="D929" s="1"/>
      <c r="E929" s="1"/>
      <c r="F929" s="1"/>
      <c r="G929" s="1"/>
      <c r="H929" s="1"/>
      <c r="I929" s="1"/>
      <c r="J929" s="6"/>
      <c r="K929" s="1"/>
      <c r="L929" s="1"/>
      <c r="M929" s="5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5.75" customHeight="1">
      <c r="A930" s="1"/>
      <c r="B930" s="1"/>
      <c r="C930" s="3"/>
      <c r="D930" s="1"/>
      <c r="E930" s="1"/>
      <c r="F930" s="1"/>
      <c r="G930" s="1"/>
      <c r="H930" s="1"/>
      <c r="I930" s="1"/>
      <c r="J930" s="6"/>
      <c r="K930" s="1"/>
      <c r="L930" s="1"/>
      <c r="M930" s="7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5.75" customHeight="1">
      <c r="A931" s="1"/>
      <c r="B931" s="1"/>
      <c r="C931" s="3"/>
      <c r="D931" s="1"/>
      <c r="E931" s="1"/>
      <c r="F931" s="1"/>
      <c r="G931" s="1"/>
      <c r="H931" s="1"/>
      <c r="I931" s="1"/>
      <c r="J931" s="6"/>
      <c r="K931" s="1"/>
      <c r="L931" s="1"/>
      <c r="M931" s="5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5.75" customHeight="1">
      <c r="A932" s="1"/>
      <c r="B932" s="1"/>
      <c r="C932" s="3"/>
      <c r="D932" s="1"/>
      <c r="E932" s="1"/>
      <c r="F932" s="1"/>
      <c r="G932" s="1"/>
      <c r="H932" s="1"/>
      <c r="I932" s="1"/>
      <c r="J932" s="6"/>
      <c r="K932" s="1"/>
      <c r="L932" s="1"/>
      <c r="M932" s="5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5.75" customHeight="1">
      <c r="A933" s="1"/>
      <c r="B933" s="1"/>
      <c r="C933" s="3"/>
      <c r="D933" s="1"/>
      <c r="E933" s="1"/>
      <c r="F933" s="1"/>
      <c r="G933" s="1"/>
      <c r="H933" s="1"/>
      <c r="I933" s="1"/>
      <c r="J933" s="6"/>
      <c r="K933" s="1"/>
      <c r="L933" s="1"/>
      <c r="M933" s="7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5.75" customHeight="1">
      <c r="A934" s="1"/>
      <c r="B934" s="1"/>
      <c r="C934" s="3"/>
      <c r="D934" s="1"/>
      <c r="E934" s="1"/>
      <c r="F934" s="1"/>
      <c r="G934" s="1"/>
      <c r="H934" s="1"/>
      <c r="I934" s="1"/>
      <c r="J934" s="6"/>
      <c r="K934" s="1"/>
      <c r="L934" s="1"/>
      <c r="M934" s="5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5.75" customHeight="1">
      <c r="A935" s="1"/>
      <c r="B935" s="1"/>
      <c r="C935" s="3"/>
      <c r="D935" s="1"/>
      <c r="E935" s="1"/>
      <c r="F935" s="1"/>
      <c r="G935" s="1"/>
      <c r="H935" s="1"/>
      <c r="I935" s="1"/>
      <c r="J935" s="6"/>
      <c r="K935" s="1"/>
      <c r="L935" s="1"/>
      <c r="M935" s="5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5.75" customHeight="1">
      <c r="A936" s="1"/>
      <c r="B936" s="1"/>
      <c r="C936" s="3"/>
      <c r="D936" s="1"/>
      <c r="E936" s="1"/>
      <c r="F936" s="1"/>
      <c r="G936" s="1"/>
      <c r="H936" s="1"/>
      <c r="I936" s="1"/>
      <c r="J936" s="6"/>
      <c r="K936" s="1"/>
      <c r="L936" s="1"/>
      <c r="M936" s="5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5.75" customHeight="1">
      <c r="A937" s="1"/>
      <c r="B937" s="1"/>
      <c r="C937" s="3"/>
      <c r="D937" s="1"/>
      <c r="E937" s="1"/>
      <c r="F937" s="1"/>
      <c r="G937" s="1"/>
      <c r="H937" s="1"/>
      <c r="I937" s="1"/>
      <c r="J937" s="6"/>
      <c r="K937" s="1"/>
      <c r="L937" s="1"/>
      <c r="M937" s="5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5.75" customHeight="1">
      <c r="A938" s="1"/>
      <c r="B938" s="1"/>
      <c r="C938" s="3"/>
      <c r="D938" s="1"/>
      <c r="E938" s="1"/>
      <c r="F938" s="1"/>
      <c r="G938" s="1"/>
      <c r="H938" s="1"/>
      <c r="I938" s="1"/>
      <c r="J938" s="6"/>
      <c r="K938" s="1"/>
      <c r="L938" s="1"/>
      <c r="M938" s="5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5.75" customHeight="1">
      <c r="A939" s="1"/>
      <c r="B939" s="1"/>
      <c r="C939" s="3"/>
      <c r="D939" s="1"/>
      <c r="E939" s="1"/>
      <c r="F939" s="1"/>
      <c r="G939" s="1"/>
      <c r="H939" s="1"/>
      <c r="I939" s="1"/>
      <c r="J939" s="4"/>
      <c r="K939" s="1"/>
      <c r="L939" s="1"/>
      <c r="M939" s="5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5.75" customHeight="1">
      <c r="A940" s="1"/>
      <c r="B940" s="1"/>
      <c r="C940" s="3"/>
      <c r="D940" s="1"/>
      <c r="E940" s="1"/>
      <c r="F940" s="1"/>
      <c r="G940" s="1"/>
      <c r="H940" s="1"/>
      <c r="I940" s="1"/>
      <c r="J940" s="6"/>
      <c r="K940" s="1"/>
      <c r="L940" s="1"/>
      <c r="M940" s="5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5.75" customHeight="1">
      <c r="A941" s="1"/>
      <c r="B941" s="1"/>
      <c r="C941" s="3"/>
      <c r="D941" s="1"/>
      <c r="E941" s="1"/>
      <c r="F941" s="1"/>
      <c r="G941" s="1"/>
      <c r="H941" s="1"/>
      <c r="I941" s="1"/>
      <c r="J941" s="6"/>
      <c r="K941" s="1"/>
      <c r="L941" s="1"/>
      <c r="M941" s="5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5.75" customHeight="1">
      <c r="A942" s="1"/>
      <c r="B942" s="1"/>
      <c r="C942" s="3"/>
      <c r="D942" s="1"/>
      <c r="E942" s="1"/>
      <c r="F942" s="1"/>
      <c r="G942" s="1"/>
      <c r="H942" s="1"/>
      <c r="I942" s="1"/>
      <c r="J942" s="6"/>
      <c r="K942" s="1"/>
      <c r="L942" s="1"/>
      <c r="M942" s="7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5.75" customHeight="1">
      <c r="A943" s="1"/>
      <c r="B943" s="1"/>
      <c r="C943" s="3"/>
      <c r="D943" s="1"/>
      <c r="E943" s="1"/>
      <c r="F943" s="1"/>
      <c r="G943" s="1"/>
      <c r="H943" s="1"/>
      <c r="I943" s="1"/>
      <c r="J943" s="6"/>
      <c r="K943" s="1"/>
      <c r="L943" s="1"/>
      <c r="M943" s="5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5.75" customHeight="1">
      <c r="A944" s="1"/>
      <c r="B944" s="1"/>
      <c r="C944" s="3"/>
      <c r="D944" s="1"/>
      <c r="E944" s="1"/>
      <c r="F944" s="1"/>
      <c r="G944" s="1"/>
      <c r="H944" s="1"/>
      <c r="I944" s="1"/>
      <c r="J944" s="6"/>
      <c r="K944" s="1"/>
      <c r="L944" s="1"/>
      <c r="M944" s="5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5.75" customHeight="1">
      <c r="A945" s="1"/>
      <c r="B945" s="1"/>
      <c r="C945" s="3"/>
      <c r="D945" s="1"/>
      <c r="E945" s="1"/>
      <c r="F945" s="1"/>
      <c r="G945" s="1"/>
      <c r="H945" s="1"/>
      <c r="I945" s="1"/>
      <c r="J945" s="6"/>
      <c r="K945" s="1"/>
      <c r="L945" s="1"/>
      <c r="M945" s="5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5.75" customHeight="1">
      <c r="A946" s="1"/>
      <c r="B946" s="1"/>
      <c r="C946" s="3"/>
      <c r="D946" s="1"/>
      <c r="E946" s="1"/>
      <c r="F946" s="1"/>
      <c r="G946" s="1"/>
      <c r="H946" s="1"/>
      <c r="I946" s="1"/>
      <c r="J946" s="4"/>
      <c r="K946" s="1"/>
      <c r="L946" s="1"/>
      <c r="M946" s="5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5.75" customHeight="1">
      <c r="A947" s="1"/>
      <c r="B947" s="1"/>
      <c r="C947" s="3"/>
      <c r="D947" s="1"/>
      <c r="E947" s="1"/>
      <c r="F947" s="1"/>
      <c r="G947" s="1"/>
      <c r="H947" s="1"/>
      <c r="I947" s="1"/>
      <c r="J947" s="4"/>
      <c r="K947" s="1"/>
      <c r="L947" s="1"/>
      <c r="M947" s="7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5.75" customHeight="1">
      <c r="A948" s="1"/>
      <c r="B948" s="1"/>
      <c r="C948" s="3"/>
      <c r="D948" s="1"/>
      <c r="E948" s="1"/>
      <c r="F948" s="1"/>
      <c r="G948" s="1"/>
      <c r="H948" s="1"/>
      <c r="I948" s="1"/>
      <c r="J948" s="4"/>
      <c r="K948" s="1"/>
      <c r="L948" s="1"/>
      <c r="M948" s="5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5.75" customHeight="1">
      <c r="A949" s="1"/>
      <c r="B949" s="1"/>
      <c r="C949" s="3"/>
      <c r="D949" s="1"/>
      <c r="E949" s="1"/>
      <c r="F949" s="1"/>
      <c r="G949" s="1"/>
      <c r="H949" s="1"/>
      <c r="I949" s="1"/>
      <c r="J949" s="4"/>
      <c r="K949" s="1"/>
      <c r="L949" s="1"/>
      <c r="M949" s="5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5.75" customHeight="1">
      <c r="A950" s="1"/>
      <c r="B950" s="1"/>
      <c r="C950" s="3"/>
      <c r="D950" s="1"/>
      <c r="E950" s="1"/>
      <c r="F950" s="1"/>
      <c r="G950" s="1"/>
      <c r="H950" s="1"/>
      <c r="I950" s="1"/>
      <c r="J950" s="4"/>
      <c r="K950" s="1"/>
      <c r="L950" s="1"/>
      <c r="M950" s="5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5.75" customHeight="1">
      <c r="A951" s="1"/>
      <c r="B951" s="1"/>
      <c r="C951" s="3"/>
      <c r="D951" s="1"/>
      <c r="E951" s="1"/>
      <c r="F951" s="1"/>
      <c r="G951" s="1"/>
      <c r="H951" s="1"/>
      <c r="I951" s="1"/>
      <c r="J951" s="6"/>
      <c r="K951" s="1"/>
      <c r="L951" s="1"/>
      <c r="M951" s="7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5.75" customHeight="1">
      <c r="A952" s="1"/>
      <c r="B952" s="1"/>
      <c r="C952" s="3"/>
      <c r="D952" s="1"/>
      <c r="E952" s="1"/>
      <c r="F952" s="1"/>
      <c r="G952" s="1"/>
      <c r="H952" s="1"/>
      <c r="I952" s="1"/>
      <c r="J952" s="6"/>
      <c r="K952" s="1"/>
      <c r="L952" s="1"/>
      <c r="M952" s="5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5.75" customHeight="1">
      <c r="A953" s="1"/>
      <c r="B953" s="1"/>
      <c r="C953" s="3"/>
      <c r="D953" s="1"/>
      <c r="E953" s="1"/>
      <c r="F953" s="1"/>
      <c r="G953" s="1"/>
      <c r="H953" s="1"/>
      <c r="I953" s="1"/>
      <c r="J953" s="6"/>
      <c r="K953" s="1"/>
      <c r="L953" s="1"/>
      <c r="M953" s="7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5.75" customHeight="1">
      <c r="A954" s="1"/>
      <c r="B954" s="1"/>
      <c r="C954" s="3"/>
      <c r="D954" s="1"/>
      <c r="E954" s="1"/>
      <c r="F954" s="1"/>
      <c r="G954" s="1"/>
      <c r="H954" s="1"/>
      <c r="I954" s="1"/>
      <c r="J954" s="6"/>
      <c r="K954" s="1"/>
      <c r="L954" s="1"/>
      <c r="M954" s="5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5.75" customHeight="1">
      <c r="A955" s="1"/>
      <c r="B955" s="1"/>
      <c r="C955" s="3"/>
      <c r="D955" s="1"/>
      <c r="E955" s="1"/>
      <c r="F955" s="1"/>
      <c r="G955" s="1"/>
      <c r="H955" s="1"/>
      <c r="I955" s="1"/>
      <c r="J955" s="6"/>
      <c r="K955" s="1"/>
      <c r="L955" s="1"/>
      <c r="M955" s="5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5.75" customHeight="1">
      <c r="A956" s="1"/>
      <c r="B956" s="1"/>
      <c r="C956" s="3"/>
      <c r="D956" s="1"/>
      <c r="E956" s="1"/>
      <c r="F956" s="1"/>
      <c r="G956" s="1"/>
      <c r="H956" s="1"/>
      <c r="I956" s="1"/>
      <c r="J956" s="6"/>
      <c r="K956" s="1"/>
      <c r="L956" s="1"/>
      <c r="M956" s="5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5.75" customHeight="1">
      <c r="A957" s="1"/>
      <c r="B957" s="1"/>
      <c r="C957" s="3"/>
      <c r="D957" s="1"/>
      <c r="E957" s="1"/>
      <c r="F957" s="1"/>
      <c r="G957" s="1"/>
      <c r="H957" s="1"/>
      <c r="I957" s="1"/>
      <c r="J957" s="6"/>
      <c r="K957" s="1"/>
      <c r="L957" s="1"/>
      <c r="M957" s="5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5.75" customHeight="1">
      <c r="A958" s="1"/>
      <c r="B958" s="1"/>
      <c r="C958" s="3"/>
      <c r="D958" s="1"/>
      <c r="E958" s="1"/>
      <c r="F958" s="1"/>
      <c r="G958" s="1"/>
      <c r="H958" s="1"/>
      <c r="I958" s="1"/>
      <c r="J958" s="6"/>
      <c r="K958" s="1"/>
      <c r="L958" s="1"/>
      <c r="M958" s="5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5.75" customHeight="1">
      <c r="A959" s="1"/>
      <c r="B959" s="1"/>
      <c r="C959" s="3"/>
      <c r="D959" s="1"/>
      <c r="E959" s="1"/>
      <c r="F959" s="1"/>
      <c r="G959" s="1"/>
      <c r="H959" s="1"/>
      <c r="I959" s="1"/>
      <c r="J959" s="6"/>
      <c r="K959" s="1"/>
      <c r="L959" s="1"/>
      <c r="M959" s="5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5.75" customHeight="1">
      <c r="A960" s="1"/>
      <c r="B960" s="1"/>
      <c r="C960" s="3"/>
      <c r="D960" s="1"/>
      <c r="E960" s="1"/>
      <c r="F960" s="1"/>
      <c r="G960" s="1"/>
      <c r="H960" s="1"/>
      <c r="I960" s="1"/>
      <c r="J960" s="6"/>
      <c r="K960" s="1"/>
      <c r="L960" s="1"/>
      <c r="M960" s="5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5.75" customHeight="1">
      <c r="A961" s="1"/>
      <c r="B961" s="1"/>
      <c r="C961" s="3"/>
      <c r="D961" s="1"/>
      <c r="E961" s="1"/>
      <c r="F961" s="1"/>
      <c r="G961" s="1"/>
      <c r="H961" s="1"/>
      <c r="I961" s="1"/>
      <c r="J961" s="6"/>
      <c r="K961" s="1"/>
      <c r="L961" s="1"/>
      <c r="M961" s="5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5.75" customHeight="1">
      <c r="A962" s="1"/>
      <c r="B962" s="1"/>
      <c r="C962" s="3"/>
      <c r="D962" s="1"/>
      <c r="E962" s="1"/>
      <c r="F962" s="1"/>
      <c r="G962" s="1"/>
      <c r="H962" s="1"/>
      <c r="I962" s="1"/>
      <c r="J962" s="6"/>
      <c r="K962" s="1"/>
      <c r="L962" s="1"/>
      <c r="M962" s="5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5.75" customHeight="1">
      <c r="A963" s="1"/>
      <c r="B963" s="1"/>
      <c r="C963" s="3"/>
      <c r="D963" s="1"/>
      <c r="E963" s="1"/>
      <c r="F963" s="1"/>
      <c r="G963" s="1"/>
      <c r="H963" s="1"/>
      <c r="I963" s="1"/>
      <c r="J963" s="6"/>
      <c r="K963" s="1"/>
      <c r="L963" s="1"/>
      <c r="M963" s="5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5.75" customHeight="1">
      <c r="A964" s="1"/>
      <c r="B964" s="1"/>
      <c r="C964" s="3"/>
      <c r="D964" s="1"/>
      <c r="E964" s="1"/>
      <c r="F964" s="1"/>
      <c r="G964" s="1"/>
      <c r="H964" s="1"/>
      <c r="I964" s="1"/>
      <c r="J964" s="4"/>
      <c r="K964" s="1"/>
      <c r="L964" s="1"/>
      <c r="M964" s="7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5.75" customHeight="1">
      <c r="A965" s="1"/>
      <c r="B965" s="1"/>
      <c r="C965" s="3"/>
      <c r="D965" s="1"/>
      <c r="E965" s="1"/>
      <c r="F965" s="1"/>
      <c r="G965" s="1"/>
      <c r="H965" s="1"/>
      <c r="I965" s="1"/>
      <c r="J965" s="4"/>
      <c r="K965" s="1"/>
      <c r="L965" s="1"/>
      <c r="M965" s="5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5.75" customHeight="1">
      <c r="A966" s="1"/>
      <c r="B966" s="1"/>
      <c r="C966" s="3"/>
      <c r="D966" s="1"/>
      <c r="E966" s="1"/>
      <c r="F966" s="1"/>
      <c r="G966" s="1"/>
      <c r="H966" s="1"/>
      <c r="I966" s="1"/>
      <c r="J966" s="6"/>
      <c r="K966" s="1"/>
      <c r="L966" s="1"/>
      <c r="M966" s="5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5.75" customHeight="1">
      <c r="A967" s="1"/>
      <c r="B967" s="1"/>
      <c r="C967" s="3"/>
      <c r="D967" s="1"/>
      <c r="E967" s="1"/>
      <c r="F967" s="1"/>
      <c r="G967" s="1"/>
      <c r="H967" s="1"/>
      <c r="I967" s="1"/>
      <c r="J967" s="6"/>
      <c r="K967" s="1"/>
      <c r="L967" s="1"/>
      <c r="M967" s="5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5.75" customHeight="1">
      <c r="A968" s="1"/>
      <c r="B968" s="1"/>
      <c r="C968" s="3"/>
      <c r="D968" s="1"/>
      <c r="E968" s="1"/>
      <c r="F968" s="1"/>
      <c r="G968" s="1"/>
      <c r="H968" s="1"/>
      <c r="I968" s="1"/>
      <c r="J968" s="6"/>
      <c r="K968" s="1"/>
      <c r="L968" s="1"/>
      <c r="M968" s="5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5.75" customHeight="1">
      <c r="A969" s="1"/>
      <c r="B969" s="1"/>
      <c r="C969" s="3"/>
      <c r="D969" s="1"/>
      <c r="E969" s="1"/>
      <c r="F969" s="1"/>
      <c r="G969" s="1"/>
      <c r="H969" s="1"/>
      <c r="I969" s="1"/>
      <c r="J969" s="6"/>
      <c r="K969" s="1"/>
      <c r="L969" s="1"/>
      <c r="M969" s="5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5.75" customHeight="1">
      <c r="A970" s="1"/>
      <c r="B970" s="1"/>
      <c r="C970" s="3"/>
      <c r="D970" s="1"/>
      <c r="E970" s="1"/>
      <c r="F970" s="1"/>
      <c r="G970" s="1"/>
      <c r="H970" s="1"/>
      <c r="I970" s="1"/>
      <c r="J970" s="4"/>
      <c r="K970" s="1"/>
      <c r="L970" s="1"/>
      <c r="M970" s="5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5.75" customHeight="1">
      <c r="A971" s="1"/>
      <c r="B971" s="1"/>
      <c r="C971" s="3"/>
      <c r="D971" s="1"/>
      <c r="E971" s="1"/>
      <c r="F971" s="1"/>
      <c r="G971" s="1"/>
      <c r="H971" s="1"/>
      <c r="I971" s="1"/>
      <c r="J971" s="4"/>
      <c r="K971" s="1"/>
      <c r="L971" s="1"/>
      <c r="M971" s="5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5.75" customHeight="1">
      <c r="A972" s="1"/>
      <c r="B972" s="1"/>
      <c r="C972" s="3"/>
      <c r="D972" s="1"/>
      <c r="E972" s="1"/>
      <c r="F972" s="1"/>
      <c r="G972" s="1"/>
      <c r="H972" s="1"/>
      <c r="I972" s="1"/>
      <c r="J972" s="4"/>
      <c r="K972" s="1"/>
      <c r="L972" s="1"/>
      <c r="M972" s="5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5.75" customHeight="1">
      <c r="A973" s="1"/>
      <c r="B973" s="1"/>
      <c r="C973" s="3"/>
      <c r="D973" s="1"/>
      <c r="E973" s="1"/>
      <c r="F973" s="1"/>
      <c r="G973" s="1"/>
      <c r="H973" s="1"/>
      <c r="I973" s="1"/>
      <c r="J973" s="4"/>
      <c r="K973" s="1"/>
      <c r="L973" s="1"/>
      <c r="M973" s="5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5.75" customHeight="1">
      <c r="A974" s="1"/>
      <c r="B974" s="1"/>
      <c r="C974" s="3"/>
      <c r="D974" s="1"/>
      <c r="E974" s="1"/>
      <c r="F974" s="1"/>
      <c r="G974" s="1"/>
      <c r="H974" s="1"/>
      <c r="I974" s="1"/>
      <c r="J974" s="4"/>
      <c r="K974" s="1"/>
      <c r="L974" s="1"/>
      <c r="M974" s="5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5.75" customHeight="1">
      <c r="A975" s="1"/>
      <c r="B975" s="1"/>
      <c r="C975" s="3"/>
      <c r="D975" s="1"/>
      <c r="E975" s="1"/>
      <c r="F975" s="1"/>
      <c r="G975" s="1"/>
      <c r="H975" s="1"/>
      <c r="I975" s="1"/>
      <c r="J975" s="4"/>
      <c r="K975" s="1"/>
      <c r="L975" s="1"/>
      <c r="M975" s="5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5.75" customHeight="1">
      <c r="A976" s="1"/>
      <c r="B976" s="1"/>
      <c r="C976" s="3"/>
      <c r="D976" s="1"/>
      <c r="E976" s="1"/>
      <c r="F976" s="1"/>
      <c r="G976" s="1"/>
      <c r="H976" s="1"/>
      <c r="I976" s="1"/>
      <c r="J976" s="6"/>
      <c r="K976" s="1"/>
      <c r="L976" s="1"/>
      <c r="M976" s="5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5.75" customHeight="1">
      <c r="A977" s="1"/>
      <c r="B977" s="1"/>
      <c r="C977" s="3"/>
      <c r="D977" s="1"/>
      <c r="E977" s="1"/>
      <c r="F977" s="1"/>
      <c r="G977" s="1"/>
      <c r="H977" s="1"/>
      <c r="I977" s="1"/>
      <c r="J977" s="6"/>
      <c r="K977" s="1"/>
      <c r="L977" s="1"/>
      <c r="M977" s="5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5.75" customHeight="1">
      <c r="A978" s="1"/>
      <c r="B978" s="1"/>
      <c r="C978" s="3"/>
      <c r="D978" s="1"/>
      <c r="E978" s="1"/>
      <c r="F978" s="1"/>
      <c r="G978" s="1"/>
      <c r="H978" s="1"/>
      <c r="I978" s="1"/>
      <c r="J978" s="4"/>
      <c r="K978" s="1"/>
      <c r="L978" s="1"/>
      <c r="M978" s="5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5.75" customHeight="1">
      <c r="A979" s="1"/>
      <c r="B979" s="1"/>
      <c r="C979" s="3"/>
      <c r="D979" s="1"/>
      <c r="E979" s="1"/>
      <c r="F979" s="1"/>
      <c r="G979" s="1"/>
      <c r="H979" s="1"/>
      <c r="I979" s="1"/>
      <c r="J979" s="4"/>
      <c r="K979" s="1"/>
      <c r="L979" s="1"/>
      <c r="M979" s="7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5.75" customHeight="1">
      <c r="A980" s="1"/>
      <c r="B980" s="1"/>
      <c r="C980" s="3"/>
      <c r="D980" s="1"/>
      <c r="E980" s="1"/>
      <c r="F980" s="1"/>
      <c r="G980" s="1"/>
      <c r="H980" s="1"/>
      <c r="I980" s="1"/>
      <c r="J980" s="6"/>
      <c r="K980" s="1"/>
      <c r="L980" s="1"/>
      <c r="M980" s="7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5.75" customHeight="1">
      <c r="A981" s="1"/>
      <c r="B981" s="1"/>
      <c r="C981" s="3"/>
      <c r="D981" s="1"/>
      <c r="E981" s="1"/>
      <c r="F981" s="1"/>
      <c r="G981" s="1"/>
      <c r="H981" s="1"/>
      <c r="I981" s="1"/>
      <c r="J981" s="6"/>
      <c r="K981" s="1"/>
      <c r="L981" s="1"/>
      <c r="M981" s="5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5.75" customHeight="1">
      <c r="A982" s="1"/>
      <c r="B982" s="1"/>
      <c r="C982" s="3"/>
      <c r="D982" s="1"/>
      <c r="E982" s="1"/>
      <c r="F982" s="1"/>
      <c r="G982" s="1"/>
      <c r="H982" s="1"/>
      <c r="I982" s="1"/>
      <c r="J982" s="6"/>
      <c r="K982" s="1"/>
      <c r="L982" s="1"/>
      <c r="M982" s="5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5.75" customHeight="1">
      <c r="A983" s="1"/>
      <c r="B983" s="1"/>
      <c r="C983" s="3"/>
      <c r="D983" s="1"/>
      <c r="E983" s="1"/>
      <c r="F983" s="1"/>
      <c r="G983" s="1"/>
      <c r="H983" s="1"/>
      <c r="I983" s="1"/>
      <c r="J983" s="6"/>
      <c r="K983" s="1"/>
      <c r="L983" s="1"/>
      <c r="M983" s="5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5.75" customHeight="1">
      <c r="A984" s="1"/>
      <c r="B984" s="1"/>
      <c r="C984" s="3"/>
      <c r="D984" s="1"/>
      <c r="E984" s="1"/>
      <c r="F984" s="1"/>
      <c r="G984" s="1"/>
      <c r="H984" s="1"/>
      <c r="I984" s="1"/>
      <c r="J984" s="6"/>
      <c r="K984" s="1"/>
      <c r="L984" s="1"/>
      <c r="M984" s="5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5.75" customHeight="1">
      <c r="A985" s="1"/>
      <c r="B985" s="1"/>
      <c r="C985" s="3"/>
      <c r="D985" s="1"/>
      <c r="E985" s="1"/>
      <c r="F985" s="1"/>
      <c r="G985" s="1"/>
      <c r="H985" s="1"/>
      <c r="I985" s="1"/>
      <c r="J985" s="6"/>
      <c r="K985" s="1"/>
      <c r="L985" s="1"/>
      <c r="M985" s="5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5.75" customHeight="1">
      <c r="A986" s="1"/>
      <c r="B986" s="1"/>
      <c r="C986" s="3"/>
      <c r="D986" s="1"/>
      <c r="E986" s="1"/>
      <c r="F986" s="1"/>
      <c r="G986" s="1"/>
      <c r="H986" s="1"/>
      <c r="I986" s="1"/>
      <c r="J986" s="6"/>
      <c r="K986" s="1"/>
      <c r="L986" s="1"/>
      <c r="M986" s="5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5.75" customHeight="1">
      <c r="A987" s="1"/>
      <c r="B987" s="1"/>
      <c r="C987" s="3"/>
      <c r="D987" s="1"/>
      <c r="E987" s="1"/>
      <c r="F987" s="1"/>
      <c r="G987" s="1"/>
      <c r="H987" s="1"/>
      <c r="I987" s="1"/>
      <c r="J987" s="6"/>
      <c r="K987" s="1"/>
      <c r="L987" s="1"/>
      <c r="M987" s="5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5.75" customHeight="1">
      <c r="A988" s="1"/>
      <c r="B988" s="1"/>
      <c r="C988" s="3"/>
      <c r="D988" s="1"/>
      <c r="E988" s="1"/>
      <c r="F988" s="1"/>
      <c r="G988" s="1"/>
      <c r="H988" s="1"/>
      <c r="I988" s="1"/>
      <c r="J988" s="6"/>
      <c r="K988" s="1"/>
      <c r="L988" s="1"/>
      <c r="M988" s="5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ht="15.75" customHeight="1">
      <c r="A989" s="1"/>
      <c r="B989" s="1"/>
      <c r="C989" s="3"/>
      <c r="D989" s="1"/>
      <c r="E989" s="1"/>
      <c r="F989" s="1"/>
      <c r="G989" s="1"/>
      <c r="H989" s="1"/>
      <c r="I989" s="1"/>
      <c r="J989" s="6"/>
      <c r="K989" s="1"/>
      <c r="L989" s="1"/>
      <c r="M989" s="5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ht="15.75" customHeight="1">
      <c r="A990" s="1"/>
      <c r="B990" s="1"/>
      <c r="C990" s="3"/>
      <c r="D990" s="1"/>
      <c r="E990" s="1"/>
      <c r="F990" s="1"/>
      <c r="G990" s="1"/>
      <c r="H990" s="1"/>
      <c r="I990" s="1"/>
      <c r="J990" s="6"/>
      <c r="K990" s="1"/>
      <c r="L990" s="1"/>
      <c r="M990" s="7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ht="15.75" customHeight="1">
      <c r="A991" s="1"/>
      <c r="B991" s="1"/>
      <c r="C991" s="3"/>
      <c r="D991" s="1"/>
      <c r="E991" s="1"/>
      <c r="F991" s="1"/>
      <c r="G991" s="1"/>
      <c r="H991" s="1"/>
      <c r="I991" s="1"/>
      <c r="J991" s="6"/>
      <c r="K991" s="1"/>
      <c r="L991" s="1"/>
      <c r="M991" s="5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ht="15.75" customHeight="1">
      <c r="A992" s="1"/>
      <c r="B992" s="1"/>
      <c r="C992" s="3"/>
      <c r="D992" s="1"/>
      <c r="E992" s="1"/>
      <c r="F992" s="1"/>
      <c r="G992" s="1"/>
      <c r="H992" s="1"/>
      <c r="I992" s="1"/>
      <c r="J992" s="6"/>
      <c r="K992" s="1"/>
      <c r="L992" s="1"/>
      <c r="M992" s="5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ht="15.75" customHeight="1">
      <c r="A993" s="1"/>
      <c r="B993" s="1"/>
      <c r="C993" s="3"/>
      <c r="D993" s="1"/>
      <c r="E993" s="1"/>
      <c r="F993" s="1"/>
      <c r="G993" s="1"/>
      <c r="H993" s="1"/>
      <c r="I993" s="1"/>
      <c r="J993" s="6"/>
      <c r="K993" s="1"/>
      <c r="L993" s="1"/>
      <c r="M993" s="5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ht="15.75" customHeight="1">
      <c r="A994" s="1"/>
      <c r="B994" s="1"/>
      <c r="C994" s="3"/>
      <c r="D994" s="1"/>
      <c r="E994" s="1"/>
      <c r="F994" s="1"/>
      <c r="G994" s="1"/>
      <c r="H994" s="1"/>
      <c r="I994" s="1"/>
      <c r="J994" s="6"/>
      <c r="K994" s="1"/>
      <c r="L994" s="1"/>
      <c r="M994" s="5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ht="15.75" customHeight="1">
      <c r="A995" s="1"/>
      <c r="B995" s="1"/>
      <c r="C995" s="3"/>
      <c r="D995" s="1"/>
      <c r="E995" s="1"/>
      <c r="F995" s="1"/>
      <c r="G995" s="1"/>
      <c r="H995" s="1"/>
      <c r="I995" s="1"/>
      <c r="J995" s="6"/>
      <c r="K995" s="1"/>
      <c r="L995" s="1"/>
      <c r="M995" s="5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ht="15.75" customHeight="1">
      <c r="A996" s="1"/>
      <c r="B996" s="1"/>
      <c r="C996" s="3"/>
      <c r="D996" s="1"/>
      <c r="E996" s="1"/>
      <c r="F996" s="1"/>
      <c r="G996" s="1"/>
      <c r="H996" s="1"/>
      <c r="I996" s="1"/>
      <c r="J996" s="6"/>
      <c r="K996" s="1"/>
      <c r="L996" s="1"/>
      <c r="M996" s="5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ht="15.75" customHeight="1">
      <c r="A997" s="1"/>
      <c r="B997" s="1"/>
      <c r="C997" s="3"/>
      <c r="D997" s="1"/>
      <c r="E997" s="1"/>
      <c r="F997" s="1"/>
      <c r="G997" s="1"/>
      <c r="H997" s="1"/>
      <c r="I997" s="1"/>
      <c r="J997" s="4"/>
      <c r="K997" s="1"/>
      <c r="L997" s="1"/>
      <c r="M997" s="5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ht="15.75" customHeight="1">
      <c r="A998" s="1"/>
      <c r="B998" s="1"/>
      <c r="C998" s="3"/>
      <c r="D998" s="1"/>
      <c r="E998" s="1"/>
      <c r="F998" s="1"/>
      <c r="G998" s="1"/>
      <c r="H998" s="1"/>
      <c r="I998" s="1"/>
      <c r="J998" s="4"/>
      <c r="K998" s="1"/>
      <c r="L998" s="1"/>
      <c r="M998" s="5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ht="15.75" customHeight="1">
      <c r="A999" s="1"/>
      <c r="B999" s="1"/>
      <c r="C999" s="3"/>
      <c r="D999" s="1"/>
      <c r="E999" s="1"/>
      <c r="F999" s="1"/>
      <c r="G999" s="1"/>
      <c r="H999" s="1"/>
      <c r="I999" s="1"/>
      <c r="J999" s="4"/>
      <c r="K999" s="1"/>
      <c r="L999" s="1"/>
      <c r="M999" s="5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ht="15.75" customHeight="1">
      <c r="A1000" s="1"/>
      <c r="B1000" s="1"/>
      <c r="C1000" s="3"/>
      <c r="D1000" s="1"/>
      <c r="E1000" s="1"/>
      <c r="F1000" s="1"/>
      <c r="G1000" s="1"/>
      <c r="H1000" s="1"/>
      <c r="I1000" s="1"/>
      <c r="J1000" s="6"/>
      <c r="K1000" s="1"/>
      <c r="L1000" s="1"/>
      <c r="M1000" s="5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ht="15.75" customHeight="1">
      <c r="A1001" s="1"/>
      <c r="B1001" s="1"/>
      <c r="C1001" s="3"/>
      <c r="D1001" s="1"/>
      <c r="E1001" s="1"/>
      <c r="F1001" s="1"/>
      <c r="G1001" s="1"/>
      <c r="H1001" s="1"/>
      <c r="I1001" s="1"/>
      <c r="J1001" s="6"/>
      <c r="K1001" s="1"/>
      <c r="L1001" s="1"/>
      <c r="M1001" s="5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ht="15.75" customHeight="1">
      <c r="A1002" s="1"/>
      <c r="B1002" s="1"/>
      <c r="C1002" s="3"/>
      <c r="D1002" s="1"/>
      <c r="E1002" s="1"/>
      <c r="F1002" s="1"/>
      <c r="G1002" s="1"/>
      <c r="H1002" s="1"/>
      <c r="I1002" s="1"/>
      <c r="J1002" s="6"/>
      <c r="K1002" s="1"/>
      <c r="L1002" s="1"/>
      <c r="M1002" s="5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ht="15.75" customHeight="1">
      <c r="A1003" s="1"/>
      <c r="B1003" s="1"/>
      <c r="C1003" s="3"/>
      <c r="D1003" s="1"/>
      <c r="E1003" s="1"/>
      <c r="F1003" s="1"/>
      <c r="G1003" s="1"/>
      <c r="H1003" s="1"/>
      <c r="I1003" s="1"/>
      <c r="J1003" s="4"/>
      <c r="K1003" s="1"/>
      <c r="L1003" s="1"/>
      <c r="M1003" s="5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 ht="15.75" customHeight="1">
      <c r="A1004" s="1"/>
      <c r="B1004" s="1"/>
      <c r="C1004" s="3"/>
      <c r="D1004" s="1"/>
      <c r="E1004" s="1"/>
      <c r="F1004" s="1"/>
      <c r="G1004" s="1"/>
      <c r="H1004" s="1"/>
      <c r="I1004" s="1"/>
      <c r="J1004" s="6"/>
      <c r="K1004" s="1"/>
      <c r="L1004" s="1"/>
      <c r="M1004" s="5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  <row r="1005" ht="15.75" customHeight="1">
      <c r="A1005" s="1"/>
      <c r="B1005" s="1"/>
      <c r="C1005" s="3"/>
      <c r="D1005" s="1"/>
      <c r="E1005" s="1"/>
      <c r="F1005" s="1"/>
      <c r="G1005" s="1"/>
      <c r="H1005" s="1"/>
      <c r="I1005" s="1"/>
      <c r="J1005" s="6"/>
      <c r="K1005" s="1"/>
      <c r="L1005" s="1"/>
      <c r="M1005" s="5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</row>
    <row r="1006" ht="15.75" customHeight="1">
      <c r="A1006" s="1"/>
      <c r="B1006" s="1"/>
      <c r="C1006" s="3"/>
      <c r="D1006" s="1"/>
      <c r="E1006" s="1"/>
      <c r="F1006" s="1"/>
      <c r="G1006" s="1"/>
      <c r="H1006" s="1"/>
      <c r="I1006" s="1"/>
      <c r="J1006" s="6"/>
      <c r="K1006" s="1"/>
      <c r="L1006" s="1"/>
      <c r="M1006" s="7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</row>
    <row r="1007" ht="15.75" customHeight="1">
      <c r="A1007" s="1"/>
      <c r="B1007" s="1"/>
      <c r="C1007" s="3"/>
      <c r="D1007" s="1"/>
      <c r="E1007" s="1"/>
      <c r="F1007" s="1"/>
      <c r="G1007" s="1"/>
      <c r="H1007" s="1"/>
      <c r="I1007" s="1"/>
      <c r="J1007" s="6"/>
      <c r="K1007" s="1"/>
      <c r="L1007" s="1"/>
      <c r="M1007" s="5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</row>
    <row r="1008" ht="15.75" customHeight="1">
      <c r="A1008" s="1"/>
      <c r="B1008" s="1"/>
      <c r="C1008" s="3"/>
      <c r="D1008" s="1"/>
      <c r="E1008" s="1"/>
      <c r="F1008" s="1"/>
      <c r="G1008" s="1"/>
      <c r="H1008" s="1"/>
      <c r="I1008" s="1"/>
      <c r="J1008" s="6"/>
      <c r="K1008" s="1"/>
      <c r="L1008" s="1"/>
      <c r="M1008" s="5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</row>
    <row r="1009" ht="15.75" customHeight="1">
      <c r="A1009" s="1"/>
      <c r="B1009" s="1"/>
      <c r="C1009" s="3"/>
      <c r="D1009" s="1"/>
      <c r="E1009" s="1"/>
      <c r="F1009" s="1"/>
      <c r="G1009" s="1"/>
      <c r="H1009" s="1"/>
      <c r="I1009" s="1"/>
      <c r="J1009" s="6"/>
      <c r="K1009" s="1"/>
      <c r="L1009" s="1"/>
      <c r="M1009" s="5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</row>
    <row r="1010" ht="15.75" customHeight="1">
      <c r="A1010" s="1"/>
      <c r="B1010" s="1"/>
      <c r="C1010" s="3"/>
      <c r="D1010" s="1"/>
      <c r="E1010" s="1"/>
      <c r="F1010" s="1"/>
      <c r="G1010" s="1"/>
      <c r="H1010" s="1"/>
      <c r="I1010" s="1"/>
      <c r="J1010" s="6"/>
      <c r="K1010" s="1"/>
      <c r="L1010" s="1"/>
      <c r="M1010" s="5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</row>
    <row r="1011" ht="15.75" customHeight="1">
      <c r="A1011" s="1"/>
      <c r="B1011" s="1"/>
      <c r="C1011" s="3"/>
      <c r="D1011" s="1"/>
      <c r="E1011" s="1"/>
      <c r="F1011" s="1"/>
      <c r="G1011" s="1"/>
      <c r="H1011" s="1"/>
      <c r="I1011" s="1"/>
      <c r="J1011" s="6"/>
      <c r="K1011" s="1"/>
      <c r="L1011" s="1"/>
      <c r="M1011" s="7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</row>
    <row r="1012" ht="15.75" customHeight="1">
      <c r="A1012" s="1"/>
      <c r="B1012" s="1"/>
      <c r="C1012" s="3"/>
      <c r="D1012" s="1"/>
      <c r="E1012" s="1"/>
      <c r="F1012" s="1"/>
      <c r="G1012" s="1"/>
      <c r="H1012" s="1"/>
      <c r="I1012" s="1"/>
      <c r="J1012" s="6"/>
      <c r="K1012" s="1"/>
      <c r="L1012" s="1"/>
      <c r="M1012" s="5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</row>
    <row r="1013" ht="15.75" customHeight="1">
      <c r="A1013" s="1"/>
      <c r="B1013" s="1"/>
      <c r="C1013" s="3"/>
      <c r="D1013" s="1"/>
      <c r="E1013" s="1"/>
      <c r="F1013" s="1"/>
      <c r="G1013" s="1"/>
      <c r="H1013" s="1"/>
      <c r="I1013" s="1"/>
      <c r="J1013" s="6"/>
      <c r="K1013" s="1"/>
      <c r="L1013" s="1"/>
      <c r="M1013" s="5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</row>
    <row r="1014" ht="15.75" customHeight="1">
      <c r="A1014" s="1"/>
      <c r="B1014" s="1"/>
      <c r="C1014" s="3"/>
      <c r="D1014" s="1"/>
      <c r="E1014" s="1"/>
      <c r="F1014" s="1"/>
      <c r="G1014" s="1"/>
      <c r="H1014" s="1"/>
      <c r="I1014" s="1"/>
      <c r="J1014" s="6"/>
      <c r="K1014" s="1"/>
      <c r="L1014" s="1"/>
      <c r="M1014" s="5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</row>
    <row r="1015" ht="15.75" customHeight="1">
      <c r="A1015" s="1"/>
      <c r="B1015" s="1"/>
      <c r="C1015" s="8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</row>
    <row r="1016" ht="15.75" customHeight="1">
      <c r="A1016" s="1"/>
      <c r="B1016" s="1"/>
      <c r="C1016" s="8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</row>
    <row r="1017" ht="15.75" customHeight="1">
      <c r="A1017" s="1"/>
      <c r="B1017" s="1"/>
      <c r="C1017" s="8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</row>
    <row r="1018" ht="15.75" customHeight="1">
      <c r="A1018" s="1"/>
      <c r="B1018" s="1"/>
      <c r="C1018" s="8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</row>
    <row r="1019" ht="15.75" customHeight="1">
      <c r="A1019" s="1"/>
      <c r="B1019" s="1"/>
      <c r="C1019" s="8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</row>
    <row r="1020" ht="15.75" customHeight="1">
      <c r="A1020" s="1"/>
      <c r="B1020" s="1"/>
      <c r="C1020" s="8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</row>
    <row r="1021" ht="15.75" customHeight="1">
      <c r="A1021" s="1"/>
      <c r="B1021" s="1"/>
      <c r="C1021" s="8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</row>
    <row r="1022" ht="15.75" customHeight="1">
      <c r="A1022" s="1"/>
      <c r="B1022" s="1"/>
      <c r="C1022" s="8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</row>
    <row r="1023" ht="15.75" customHeight="1">
      <c r="A1023" s="1"/>
      <c r="B1023" s="1"/>
      <c r="C1023" s="8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</row>
    <row r="1024" ht="15.75" customHeight="1">
      <c r="A1024" s="1"/>
      <c r="B1024" s="1"/>
      <c r="C1024" s="8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</row>
    <row r="1025" ht="15.75" customHeight="1">
      <c r="A1025" s="1"/>
      <c r="B1025" s="1"/>
      <c r="C1025" s="8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</row>
    <row r="1026" ht="15.75" customHeight="1">
      <c r="A1026" s="1"/>
      <c r="B1026" s="1"/>
      <c r="C1026" s="8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</row>
    <row r="1027" ht="15.75" customHeight="1">
      <c r="A1027" s="1"/>
      <c r="B1027" s="1"/>
      <c r="C1027" s="8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</row>
    <row r="1028" ht="15.75" customHeight="1">
      <c r="A1028" s="1"/>
      <c r="B1028" s="1"/>
      <c r="C1028" s="8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</row>
    <row r="1029" ht="15.75" customHeight="1">
      <c r="A1029" s="1"/>
      <c r="B1029" s="1"/>
      <c r="C1029" s="8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</row>
    <row r="1030" ht="15.75" customHeight="1">
      <c r="A1030" s="1"/>
      <c r="B1030" s="1"/>
      <c r="C1030" s="8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</row>
    <row r="1031" ht="15.75" customHeight="1">
      <c r="A1031" s="1"/>
      <c r="B1031" s="1"/>
      <c r="C1031" s="8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</row>
    <row r="1032" ht="15.75" customHeight="1">
      <c r="A1032" s="1"/>
      <c r="B1032" s="1"/>
      <c r="C1032" s="8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</row>
    <row r="1033" ht="15.75" customHeight="1">
      <c r="A1033" s="1"/>
      <c r="B1033" s="1"/>
      <c r="C1033" s="8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</row>
    <row r="1034" ht="15.75" customHeight="1">
      <c r="A1034" s="1"/>
      <c r="B1034" s="1"/>
      <c r="C1034" s="8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</row>
    <row r="1035" ht="15.75" customHeight="1">
      <c r="A1035" s="1"/>
      <c r="B1035" s="1"/>
      <c r="C1035" s="8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</row>
    <row r="1036" ht="15.75" customHeight="1">
      <c r="A1036" s="1"/>
      <c r="B1036" s="1"/>
      <c r="C1036" s="8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</row>
    <row r="1037" ht="15.75" customHeight="1">
      <c r="A1037" s="1"/>
      <c r="B1037" s="1"/>
      <c r="C1037" s="8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</row>
    <row r="1038" ht="15.75" customHeight="1">
      <c r="A1038" s="1"/>
      <c r="B1038" s="1"/>
      <c r="C1038" s="8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</row>
    <row r="1039" ht="15.75" customHeight="1">
      <c r="A1039" s="1"/>
      <c r="B1039" s="1"/>
      <c r="C1039" s="8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</row>
    <row r="1040" ht="15.75" customHeight="1">
      <c r="A1040" s="1"/>
      <c r="B1040" s="1"/>
      <c r="C1040" s="8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</row>
    <row r="1041" ht="15.75" customHeight="1">
      <c r="A1041" s="1"/>
      <c r="B1041" s="1"/>
      <c r="C1041" s="8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</row>
    <row r="1042" ht="15.75" customHeight="1">
      <c r="A1042" s="1"/>
      <c r="B1042" s="1"/>
      <c r="C1042" s="8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</row>
    <row r="1043" ht="15.75" customHeight="1">
      <c r="A1043" s="1"/>
      <c r="B1043" s="1"/>
      <c r="C1043" s="8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</row>
    <row r="1044" ht="15.75" customHeight="1">
      <c r="A1044" s="1"/>
      <c r="B1044" s="1"/>
      <c r="C1044" s="8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</row>
    <row r="1045" ht="15.75" customHeight="1">
      <c r="A1045" s="1"/>
      <c r="B1045" s="1"/>
      <c r="C1045" s="8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</row>
    <row r="1046" ht="15.75" customHeight="1">
      <c r="A1046" s="1"/>
      <c r="B1046" s="1"/>
      <c r="C1046" s="8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</row>
    <row r="1047" ht="15.75" customHeight="1">
      <c r="A1047" s="1"/>
      <c r="B1047" s="1"/>
      <c r="C1047" s="8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</row>
    <row r="1048" ht="15.75" customHeight="1">
      <c r="A1048" s="1"/>
      <c r="B1048" s="1"/>
      <c r="C1048" s="8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</row>
    <row r="1049" ht="15.75" customHeight="1">
      <c r="A1049" s="1"/>
      <c r="B1049" s="1"/>
      <c r="C1049" s="8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</row>
    <row r="1050" ht="15.75" customHeight="1">
      <c r="A1050" s="1"/>
      <c r="B1050" s="1"/>
      <c r="C1050" s="8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</row>
    <row r="1051" ht="15.75" customHeight="1">
      <c r="A1051" s="1"/>
      <c r="B1051" s="1"/>
      <c r="C1051" s="8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</row>
    <row r="1052" ht="15.75" customHeight="1">
      <c r="A1052" s="1"/>
      <c r="B1052" s="1"/>
      <c r="C1052" s="8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</row>
    <row r="1053" ht="15.75" customHeight="1">
      <c r="A1053" s="1"/>
      <c r="B1053" s="1"/>
      <c r="C1053" s="8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</row>
    <row r="1054" ht="15.75" customHeight="1">
      <c r="A1054" s="1"/>
      <c r="B1054" s="1"/>
      <c r="C1054" s="8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</row>
    <row r="1055" ht="15.75" customHeight="1">
      <c r="A1055" s="1"/>
      <c r="B1055" s="1"/>
      <c r="C1055" s="8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</row>
    <row r="1056" ht="15.75" customHeight="1">
      <c r="A1056" s="1"/>
      <c r="B1056" s="1"/>
      <c r="C1056" s="8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</row>
    <row r="1057" ht="15.75" customHeight="1">
      <c r="A1057" s="1"/>
      <c r="B1057" s="1"/>
      <c r="C1057" s="8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</row>
    <row r="1058" ht="15.75" customHeight="1">
      <c r="A1058" s="1"/>
      <c r="B1058" s="1"/>
      <c r="C1058" s="8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</row>
    <row r="1059" ht="15.75" customHeight="1">
      <c r="A1059" s="1"/>
      <c r="B1059" s="1"/>
      <c r="C1059" s="8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</row>
    <row r="1060" ht="15.75" customHeight="1">
      <c r="A1060" s="1"/>
      <c r="B1060" s="1"/>
      <c r="C1060" s="8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</row>
    <row r="1061" ht="15.75" customHeight="1">
      <c r="A1061" s="1"/>
      <c r="B1061" s="1"/>
      <c r="C1061" s="8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</row>
    <row r="1062" ht="15.75" customHeight="1">
      <c r="A1062" s="1"/>
      <c r="B1062" s="1"/>
      <c r="C1062" s="8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</row>
    <row r="1063" ht="15.75" customHeight="1">
      <c r="A1063" s="1"/>
      <c r="B1063" s="1"/>
      <c r="C1063" s="8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</row>
    <row r="1064" ht="15.75" customHeight="1">
      <c r="A1064" s="1"/>
      <c r="B1064" s="1"/>
      <c r="C1064" s="8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</row>
    <row r="1065" ht="15.75" customHeight="1">
      <c r="A1065" s="1"/>
      <c r="B1065" s="1"/>
      <c r="C1065" s="8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</row>
    <row r="1066" ht="15.75" customHeight="1">
      <c r="A1066" s="1"/>
      <c r="B1066" s="1"/>
      <c r="C1066" s="8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</row>
    <row r="1067" ht="15.75" customHeight="1">
      <c r="A1067" s="1"/>
      <c r="B1067" s="1"/>
      <c r="C1067" s="8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</row>
    <row r="1068" ht="15.75" customHeight="1">
      <c r="A1068" s="1"/>
      <c r="B1068" s="1"/>
      <c r="C1068" s="8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</row>
    <row r="1069" ht="15.75" customHeight="1">
      <c r="A1069" s="1"/>
      <c r="B1069" s="1"/>
      <c r="C1069" s="8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</row>
    <row r="1070" ht="15.75" customHeight="1">
      <c r="A1070" s="1"/>
      <c r="B1070" s="1"/>
      <c r="C1070" s="8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</row>
    <row r="1071" ht="15.75" customHeight="1">
      <c r="A1071" s="1"/>
      <c r="B1071" s="1"/>
      <c r="C1071" s="8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</row>
    <row r="1072" ht="15.75" customHeight="1">
      <c r="A1072" s="1"/>
      <c r="B1072" s="1"/>
      <c r="C1072" s="8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</row>
    <row r="1073" ht="15.75" customHeight="1">
      <c r="A1073" s="1"/>
      <c r="B1073" s="1"/>
      <c r="C1073" s="8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</row>
    <row r="1074" ht="15.75" customHeight="1">
      <c r="A1074" s="1"/>
      <c r="B1074" s="1"/>
      <c r="C1074" s="8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</row>
    <row r="1075" ht="15.75" customHeight="1">
      <c r="A1075" s="1"/>
      <c r="B1075" s="1"/>
      <c r="C1075" s="8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</row>
    <row r="1076" ht="15.75" customHeight="1">
      <c r="A1076" s="1"/>
      <c r="B1076" s="1"/>
      <c r="C1076" s="8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</row>
    <row r="1077" ht="15.75" customHeight="1">
      <c r="A1077" s="1"/>
      <c r="B1077" s="1"/>
      <c r="C1077" s="8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</row>
    <row r="1078" ht="15.75" customHeight="1">
      <c r="A1078" s="1"/>
      <c r="B1078" s="1"/>
      <c r="C1078" s="8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</row>
    <row r="1079" ht="15.75" customHeight="1">
      <c r="A1079" s="1"/>
      <c r="B1079" s="1"/>
      <c r="C1079" s="8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</row>
    <row r="1080" ht="15.75" customHeight="1">
      <c r="A1080" s="1"/>
      <c r="B1080" s="1"/>
      <c r="C1080" s="8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</row>
    <row r="1081" ht="15.75" customHeight="1">
      <c r="A1081" s="1"/>
      <c r="B1081" s="1"/>
      <c r="C1081" s="8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</row>
    <row r="1082" ht="15.75" customHeight="1">
      <c r="A1082" s="1"/>
      <c r="B1082" s="1"/>
      <c r="C1082" s="8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</row>
    <row r="1083" ht="15.75" customHeight="1">
      <c r="A1083" s="1"/>
      <c r="B1083" s="1"/>
      <c r="C1083" s="8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</row>
    <row r="1084" ht="15.75" customHeight="1">
      <c r="A1084" s="1"/>
      <c r="B1084" s="1"/>
      <c r="C1084" s="8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</row>
    <row r="1085" ht="15.75" customHeight="1">
      <c r="A1085" s="1"/>
      <c r="B1085" s="1"/>
      <c r="C1085" s="8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</row>
    <row r="1086" ht="15.75" customHeight="1">
      <c r="A1086" s="1"/>
      <c r="B1086" s="1"/>
      <c r="C1086" s="8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</row>
    <row r="1087" ht="15.75" customHeight="1">
      <c r="A1087" s="1"/>
      <c r="B1087" s="1"/>
      <c r="C1087" s="8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</row>
    <row r="1088" ht="15.75" customHeight="1">
      <c r="A1088" s="1"/>
      <c r="B1088" s="1"/>
      <c r="C1088" s="8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</row>
    <row r="1089" ht="15.75" customHeight="1">
      <c r="A1089" s="1"/>
      <c r="B1089" s="1"/>
      <c r="C1089" s="8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</row>
    <row r="1090" ht="15.75" customHeight="1">
      <c r="A1090" s="1"/>
      <c r="B1090" s="1"/>
      <c r="C1090" s="8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</row>
    <row r="1091" ht="15.75" customHeight="1">
      <c r="A1091" s="1"/>
      <c r="B1091" s="1"/>
      <c r="C1091" s="8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</row>
    <row r="1092" ht="15.75" customHeight="1">
      <c r="A1092" s="1"/>
      <c r="B1092" s="1"/>
      <c r="C1092" s="8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</row>
    <row r="1093" ht="15.75" customHeight="1">
      <c r="A1093" s="1"/>
      <c r="B1093" s="1"/>
      <c r="C1093" s="8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</row>
    <row r="1094" ht="15.75" customHeight="1">
      <c r="A1094" s="1"/>
      <c r="B1094" s="1"/>
      <c r="C1094" s="8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</row>
    <row r="1095" ht="15.75" customHeight="1">
      <c r="A1095" s="1"/>
      <c r="B1095" s="1"/>
      <c r="C1095" s="8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</row>
    <row r="1096" ht="15.75" customHeight="1">
      <c r="A1096" s="1"/>
      <c r="B1096" s="1"/>
      <c r="C1096" s="8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</row>
    <row r="1097" ht="15.75" customHeight="1">
      <c r="A1097" s="1"/>
      <c r="B1097" s="1"/>
      <c r="C1097" s="8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</row>
    <row r="1098" ht="15.75" customHeight="1">
      <c r="A1098" s="1"/>
      <c r="B1098" s="1"/>
      <c r="C1098" s="8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</row>
    <row r="1099" ht="15.75" customHeight="1">
      <c r="A1099" s="1"/>
      <c r="B1099" s="1"/>
      <c r="C1099" s="8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</row>
  </sheetData>
  <autoFilter ref="$A$1:$AC$1098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24.43"/>
    <col customWidth="1" min="3" max="3" width="9.29"/>
    <col customWidth="1" min="4" max="4" width="42.57"/>
    <col customWidth="1" min="5" max="5" width="15.86"/>
    <col customWidth="1" min="6" max="6" width="16.0"/>
    <col customWidth="1" min="7" max="7" width="13.29"/>
    <col customWidth="1" min="8" max="8" width="46.71"/>
    <col customWidth="1" min="9" max="9" width="6.43"/>
    <col customWidth="1" min="10" max="10" width="11.71"/>
    <col customWidth="1" min="11" max="11" width="6.57"/>
    <col customWidth="1" min="12" max="12" width="10.57"/>
    <col customWidth="1" min="13" max="13" width="7.14"/>
    <col customWidth="1" min="14" max="14" width="9.57"/>
    <col customWidth="1" min="15" max="15" width="4.57"/>
    <col customWidth="1" min="16" max="16" width="9.86"/>
    <col customWidth="1" hidden="1" min="18" max="24" width="14.43"/>
  </cols>
  <sheetData>
    <row r="1">
      <c r="A1" s="84"/>
      <c r="B1" s="84"/>
      <c r="C1" s="84"/>
      <c r="D1" s="84"/>
      <c r="E1" s="84"/>
      <c r="F1" s="84"/>
      <c r="G1" s="84"/>
      <c r="H1" s="84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>
      <c r="A2" s="86"/>
      <c r="B2" s="86" t="s">
        <v>447</v>
      </c>
      <c r="R2" s="85"/>
      <c r="S2" s="85"/>
      <c r="T2" s="85"/>
      <c r="U2" s="85"/>
      <c r="V2" s="85"/>
      <c r="W2" s="85"/>
      <c r="X2" s="85"/>
    </row>
    <row r="3">
      <c r="A3" s="84"/>
      <c r="B3" s="84"/>
      <c r="C3" s="84"/>
      <c r="D3" s="84"/>
      <c r="E3" s="84"/>
      <c r="F3" s="84"/>
      <c r="G3" s="84"/>
      <c r="H3" s="84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>
      <c r="A4" s="101"/>
      <c r="B4" s="102" t="s">
        <v>17</v>
      </c>
      <c r="D4" s="103" t="s">
        <v>418</v>
      </c>
      <c r="E4" s="104" t="s">
        <v>419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6"/>
      <c r="S4" s="46"/>
      <c r="T4" s="46"/>
      <c r="U4" s="46"/>
      <c r="V4" s="46"/>
      <c r="W4" s="46"/>
      <c r="X4" s="46"/>
    </row>
    <row r="5">
      <c r="A5" s="101"/>
      <c r="B5" s="53"/>
      <c r="D5" s="54"/>
      <c r="E5" s="104" t="s">
        <v>420</v>
      </c>
      <c r="F5" s="51"/>
      <c r="G5" s="51"/>
      <c r="H5" s="52"/>
      <c r="I5" s="104" t="s">
        <v>421</v>
      </c>
      <c r="J5" s="52"/>
      <c r="K5" s="104" t="s">
        <v>422</v>
      </c>
      <c r="L5" s="51"/>
      <c r="M5" s="51"/>
      <c r="N5" s="51"/>
      <c r="O5" s="51"/>
      <c r="P5" s="52"/>
      <c r="Q5" s="105" t="s">
        <v>423</v>
      </c>
      <c r="R5" s="85"/>
      <c r="S5" s="85"/>
      <c r="T5" s="85"/>
      <c r="U5" s="85"/>
      <c r="V5" s="85"/>
      <c r="W5" s="85"/>
      <c r="X5" s="85"/>
    </row>
    <row r="6">
      <c r="A6" s="101"/>
      <c r="B6" s="53"/>
      <c r="D6" s="54"/>
      <c r="E6" s="106" t="s">
        <v>424</v>
      </c>
      <c r="F6" s="106" t="s">
        <v>425</v>
      </c>
      <c r="G6" s="106" t="s">
        <v>426</v>
      </c>
      <c r="H6" s="107" t="s">
        <v>427</v>
      </c>
      <c r="I6" s="104" t="s">
        <v>426</v>
      </c>
      <c r="J6" s="52"/>
      <c r="K6" s="104" t="s">
        <v>428</v>
      </c>
      <c r="L6" s="52"/>
      <c r="M6" s="104" t="s">
        <v>429</v>
      </c>
      <c r="N6" s="52"/>
      <c r="O6" s="108" t="s">
        <v>427</v>
      </c>
      <c r="P6" s="52"/>
      <c r="Q6" s="52"/>
      <c r="R6" s="85"/>
      <c r="S6" s="85"/>
      <c r="T6" s="85"/>
      <c r="U6" s="85"/>
      <c r="V6" s="85"/>
      <c r="W6" s="85"/>
      <c r="X6" s="85"/>
    </row>
    <row r="7">
      <c r="A7" s="101"/>
      <c r="B7" s="59"/>
      <c r="C7" s="51"/>
      <c r="D7" s="52"/>
      <c r="E7" s="56" t="s">
        <v>430</v>
      </c>
      <c r="F7" s="56" t="s">
        <v>430</v>
      </c>
      <c r="G7" s="56" t="s">
        <v>430</v>
      </c>
      <c r="H7" s="57" t="s">
        <v>430</v>
      </c>
      <c r="I7" s="56" t="s">
        <v>431</v>
      </c>
      <c r="J7" s="56" t="s">
        <v>432</v>
      </c>
      <c r="K7" s="56" t="s">
        <v>431</v>
      </c>
      <c r="L7" s="56" t="s">
        <v>432</v>
      </c>
      <c r="M7" s="56" t="s">
        <v>431</v>
      </c>
      <c r="N7" s="56" t="s">
        <v>432</v>
      </c>
      <c r="O7" s="57" t="s">
        <v>431</v>
      </c>
      <c r="P7" s="57" t="s">
        <v>432</v>
      </c>
      <c r="Q7" s="60" t="s">
        <v>433</v>
      </c>
      <c r="R7" s="85"/>
      <c r="S7" s="85"/>
      <c r="T7" s="85"/>
      <c r="U7" s="85"/>
      <c r="V7" s="85"/>
      <c r="W7" s="85"/>
      <c r="X7" s="85"/>
    </row>
    <row r="8">
      <c r="A8" s="68"/>
      <c r="B8" s="61" t="s">
        <v>448</v>
      </c>
      <c r="C8" s="54"/>
      <c r="D8" s="62" t="s">
        <v>435</v>
      </c>
      <c r="E8" s="63">
        <v>15.0</v>
      </c>
      <c r="F8" s="63">
        <v>30.0</v>
      </c>
      <c r="G8" s="63">
        <v>40.0</v>
      </c>
      <c r="H8" s="65">
        <v>85.0</v>
      </c>
      <c r="I8" s="64"/>
      <c r="J8" s="64"/>
      <c r="K8" s="63">
        <v>40.0</v>
      </c>
      <c r="L8" s="63">
        <v>40.0</v>
      </c>
      <c r="M8" s="63">
        <v>40.0</v>
      </c>
      <c r="N8" s="63">
        <v>40.0</v>
      </c>
      <c r="O8" s="65">
        <v>80.0</v>
      </c>
      <c r="P8" s="65">
        <v>80.0</v>
      </c>
      <c r="Q8" s="66">
        <v>245.0</v>
      </c>
      <c r="R8" s="85"/>
      <c r="S8" s="85"/>
      <c r="T8" s="85"/>
      <c r="U8" s="85"/>
      <c r="V8" s="85"/>
      <c r="W8" s="85"/>
      <c r="X8" s="85"/>
    </row>
    <row r="9">
      <c r="A9" s="68"/>
      <c r="B9" s="53"/>
      <c r="C9" s="54"/>
      <c r="D9" s="62" t="s">
        <v>436</v>
      </c>
      <c r="E9" s="63">
        <v>15.0</v>
      </c>
      <c r="F9" s="63">
        <v>30.0</v>
      </c>
      <c r="G9" s="63">
        <v>40.0</v>
      </c>
      <c r="H9" s="65">
        <v>85.0</v>
      </c>
      <c r="I9" s="63">
        <v>0.0</v>
      </c>
      <c r="J9" s="63">
        <v>0.0</v>
      </c>
      <c r="K9" s="63">
        <v>30.0</v>
      </c>
      <c r="L9" s="63">
        <v>25.0</v>
      </c>
      <c r="M9" s="63">
        <v>30.0</v>
      </c>
      <c r="N9" s="63">
        <v>35.0</v>
      </c>
      <c r="O9" s="65">
        <v>60.0</v>
      </c>
      <c r="P9" s="65">
        <v>60.0</v>
      </c>
      <c r="Q9" s="69">
        <v>205.0</v>
      </c>
      <c r="R9" s="85"/>
      <c r="S9" s="85"/>
      <c r="T9" s="85"/>
      <c r="U9" s="85"/>
      <c r="V9" s="85"/>
      <c r="W9" s="85"/>
      <c r="X9" s="85"/>
    </row>
    <row r="10">
      <c r="A10" s="68"/>
      <c r="B10" s="59"/>
      <c r="C10" s="52"/>
      <c r="D10" s="70" t="s">
        <v>437</v>
      </c>
      <c r="E10" s="71">
        <v>0.0</v>
      </c>
      <c r="F10" s="71">
        <v>0.0</v>
      </c>
      <c r="G10" s="71">
        <v>0.0</v>
      </c>
      <c r="H10" s="71">
        <v>0.0</v>
      </c>
      <c r="I10" s="71">
        <v>0.0</v>
      </c>
      <c r="J10" s="71">
        <v>0.0</v>
      </c>
      <c r="K10" s="71">
        <v>10.0</v>
      </c>
      <c r="L10" s="71">
        <v>15.0</v>
      </c>
      <c r="M10" s="71">
        <v>10.0</v>
      </c>
      <c r="N10" s="71">
        <v>5.0</v>
      </c>
      <c r="O10" s="71">
        <v>20.0</v>
      </c>
      <c r="P10" s="71">
        <v>20.0</v>
      </c>
      <c r="Q10" s="71">
        <v>40.0</v>
      </c>
      <c r="R10" s="85"/>
      <c r="S10" s="85"/>
      <c r="T10" s="85"/>
      <c r="U10" s="85"/>
      <c r="V10" s="85"/>
      <c r="W10" s="85"/>
      <c r="X10" s="85"/>
    </row>
    <row r="11">
      <c r="A11" s="68"/>
      <c r="B11" s="61" t="s">
        <v>449</v>
      </c>
      <c r="C11" s="54"/>
      <c r="D11" s="62" t="s">
        <v>435</v>
      </c>
      <c r="E11" s="64"/>
      <c r="F11" s="64"/>
      <c r="G11" s="64"/>
      <c r="H11" s="65">
        <v>0.0</v>
      </c>
      <c r="I11" s="63">
        <v>19.0</v>
      </c>
      <c r="J11" s="63">
        <v>19.0</v>
      </c>
      <c r="K11" s="63">
        <v>24.0</v>
      </c>
      <c r="L11" s="63">
        <v>19.0</v>
      </c>
      <c r="M11" s="63">
        <v>19.0</v>
      </c>
      <c r="N11" s="63">
        <v>28.0</v>
      </c>
      <c r="O11" s="65">
        <v>62.0</v>
      </c>
      <c r="P11" s="65">
        <v>66.0</v>
      </c>
      <c r="Q11" s="66">
        <v>128.0</v>
      </c>
      <c r="R11" s="85"/>
      <c r="S11" s="85"/>
      <c r="T11" s="85"/>
      <c r="U11" s="85"/>
      <c r="V11" s="85"/>
      <c r="W11" s="85"/>
      <c r="X11" s="85"/>
    </row>
    <row r="12">
      <c r="A12" s="68"/>
      <c r="B12" s="53"/>
      <c r="C12" s="54"/>
      <c r="D12" s="62" t="s">
        <v>436</v>
      </c>
      <c r="E12" s="63">
        <v>0.0</v>
      </c>
      <c r="F12" s="63">
        <v>0.0</v>
      </c>
      <c r="G12" s="63">
        <v>0.0</v>
      </c>
      <c r="H12" s="65">
        <v>0.0</v>
      </c>
      <c r="I12" s="63">
        <v>19.0</v>
      </c>
      <c r="J12" s="63">
        <v>19.0</v>
      </c>
      <c r="K12" s="63">
        <v>28.0</v>
      </c>
      <c r="L12" s="63">
        <v>19.0</v>
      </c>
      <c r="M12" s="63">
        <v>19.0</v>
      </c>
      <c r="N12" s="63">
        <v>28.0</v>
      </c>
      <c r="O12" s="65">
        <v>66.0</v>
      </c>
      <c r="P12" s="65">
        <v>66.0</v>
      </c>
      <c r="Q12" s="69">
        <v>132.0</v>
      </c>
      <c r="R12" s="85"/>
      <c r="S12" s="85"/>
      <c r="T12" s="85"/>
      <c r="U12" s="85"/>
      <c r="V12" s="85"/>
      <c r="W12" s="85"/>
      <c r="X12" s="85"/>
    </row>
    <row r="13">
      <c r="A13" s="68"/>
      <c r="B13" s="59"/>
      <c r="C13" s="52"/>
      <c r="D13" s="70" t="s">
        <v>437</v>
      </c>
      <c r="E13" s="71">
        <v>0.0</v>
      </c>
      <c r="F13" s="71">
        <v>0.0</v>
      </c>
      <c r="G13" s="71">
        <v>0.0</v>
      </c>
      <c r="H13" s="71">
        <v>0.0</v>
      </c>
      <c r="I13" s="71">
        <v>0.0</v>
      </c>
      <c r="J13" s="71">
        <v>0.0</v>
      </c>
      <c r="K13" s="71">
        <v>-4.0</v>
      </c>
      <c r="L13" s="71">
        <v>0.0</v>
      </c>
      <c r="M13" s="71">
        <v>0.0</v>
      </c>
      <c r="N13" s="71">
        <v>0.0</v>
      </c>
      <c r="O13" s="71">
        <v>-4.0</v>
      </c>
      <c r="P13" s="71">
        <v>0.0</v>
      </c>
      <c r="Q13" s="71">
        <v>-4.0</v>
      </c>
      <c r="R13" s="85"/>
      <c r="S13" s="85"/>
      <c r="T13" s="85"/>
      <c r="U13" s="85"/>
      <c r="V13" s="85"/>
      <c r="W13" s="85"/>
      <c r="X13" s="85"/>
    </row>
    <row r="14">
      <c r="A14" s="68"/>
      <c r="B14" s="61" t="s">
        <v>450</v>
      </c>
      <c r="C14" s="54"/>
      <c r="D14" s="62" t="s">
        <v>435</v>
      </c>
      <c r="E14" s="63">
        <v>15.0</v>
      </c>
      <c r="F14" s="63">
        <v>30.0</v>
      </c>
      <c r="G14" s="63">
        <v>40.0</v>
      </c>
      <c r="H14" s="65">
        <v>85.0</v>
      </c>
      <c r="I14" s="64"/>
      <c r="J14" s="64"/>
      <c r="K14" s="64"/>
      <c r="L14" s="64"/>
      <c r="M14" s="64"/>
      <c r="N14" s="64"/>
      <c r="O14" s="65">
        <v>0.0</v>
      </c>
      <c r="P14" s="65">
        <v>0.0</v>
      </c>
      <c r="Q14" s="66">
        <v>85.0</v>
      </c>
      <c r="R14" s="85"/>
      <c r="S14" s="85"/>
      <c r="T14" s="85"/>
      <c r="U14" s="85"/>
      <c r="V14" s="85"/>
      <c r="W14" s="85"/>
      <c r="X14" s="85"/>
    </row>
    <row r="15">
      <c r="A15" s="68"/>
      <c r="B15" s="53"/>
      <c r="C15" s="54"/>
      <c r="D15" s="62" t="s">
        <v>436</v>
      </c>
      <c r="E15" s="63">
        <v>15.0</v>
      </c>
      <c r="F15" s="63">
        <v>31.0</v>
      </c>
      <c r="G15" s="63">
        <v>40.0</v>
      </c>
      <c r="H15" s="65">
        <v>79.0</v>
      </c>
      <c r="I15" s="63">
        <v>0.0</v>
      </c>
      <c r="J15" s="63">
        <v>0.0</v>
      </c>
      <c r="K15" s="63">
        <v>0.0</v>
      </c>
      <c r="L15" s="63">
        <v>0.0</v>
      </c>
      <c r="M15" s="63">
        <v>0.0</v>
      </c>
      <c r="N15" s="63">
        <v>0.0</v>
      </c>
      <c r="O15" s="65">
        <v>0.0</v>
      </c>
      <c r="P15" s="65">
        <v>0.0</v>
      </c>
      <c r="Q15" s="69">
        <v>79.0</v>
      </c>
      <c r="R15" s="85"/>
      <c r="S15" s="85"/>
      <c r="T15" s="85"/>
      <c r="U15" s="85"/>
      <c r="V15" s="85"/>
      <c r="W15" s="85"/>
      <c r="X15" s="85"/>
    </row>
    <row r="16">
      <c r="A16" s="68"/>
      <c r="B16" s="59"/>
      <c r="C16" s="52"/>
      <c r="D16" s="70" t="s">
        <v>437</v>
      </c>
      <c r="E16" s="71">
        <v>0.0</v>
      </c>
      <c r="F16" s="71">
        <v>-1.0</v>
      </c>
      <c r="G16" s="71">
        <v>0.0</v>
      </c>
      <c r="H16" s="71">
        <v>6.0</v>
      </c>
      <c r="I16" s="71">
        <v>0.0</v>
      </c>
      <c r="J16" s="71">
        <v>0.0</v>
      </c>
      <c r="K16" s="71">
        <v>0.0</v>
      </c>
      <c r="L16" s="71">
        <v>0.0</v>
      </c>
      <c r="M16" s="71">
        <v>0.0</v>
      </c>
      <c r="N16" s="71">
        <v>0.0</v>
      </c>
      <c r="O16" s="71">
        <v>0.0</v>
      </c>
      <c r="P16" s="71">
        <v>0.0</v>
      </c>
      <c r="Q16" s="71">
        <v>6.0</v>
      </c>
      <c r="R16" s="85"/>
      <c r="S16" s="85"/>
      <c r="T16" s="85"/>
      <c r="U16" s="85"/>
      <c r="V16" s="85"/>
      <c r="W16" s="85"/>
      <c r="X16" s="85"/>
    </row>
    <row r="17">
      <c r="A17" s="68"/>
      <c r="B17" s="61" t="s">
        <v>451</v>
      </c>
      <c r="C17" s="54"/>
      <c r="D17" s="62" t="s">
        <v>435</v>
      </c>
      <c r="E17" s="64"/>
      <c r="F17" s="64"/>
      <c r="G17" s="64"/>
      <c r="H17" s="65">
        <v>0.0</v>
      </c>
      <c r="I17" s="63">
        <v>40.0</v>
      </c>
      <c r="J17" s="63">
        <v>40.0</v>
      </c>
      <c r="K17" s="63">
        <v>40.0</v>
      </c>
      <c r="L17" s="63">
        <v>60.0</v>
      </c>
      <c r="M17" s="63">
        <v>60.0</v>
      </c>
      <c r="N17" s="63">
        <v>40.0</v>
      </c>
      <c r="O17" s="65">
        <v>140.0</v>
      </c>
      <c r="P17" s="65">
        <v>140.0</v>
      </c>
      <c r="Q17" s="66">
        <v>280.0</v>
      </c>
      <c r="R17" s="109"/>
      <c r="S17" s="109"/>
      <c r="T17" s="109"/>
      <c r="U17" s="109"/>
      <c r="V17" s="109"/>
      <c r="W17" s="109"/>
      <c r="X17" s="109"/>
    </row>
    <row r="18">
      <c r="A18" s="68"/>
      <c r="B18" s="53"/>
      <c r="C18" s="54"/>
      <c r="D18" s="62" t="s">
        <v>436</v>
      </c>
      <c r="E18" s="63">
        <v>0.0</v>
      </c>
      <c r="F18" s="63">
        <v>0.0</v>
      </c>
      <c r="G18" s="63">
        <v>0.0</v>
      </c>
      <c r="H18" s="65">
        <v>0.0</v>
      </c>
      <c r="I18" s="63">
        <v>15.0</v>
      </c>
      <c r="J18" s="63">
        <v>25.0</v>
      </c>
      <c r="K18" s="63">
        <v>33.0</v>
      </c>
      <c r="L18" s="63">
        <v>51.0</v>
      </c>
      <c r="M18" s="63">
        <v>47.0</v>
      </c>
      <c r="N18" s="63">
        <v>41.0</v>
      </c>
      <c r="O18" s="65">
        <v>95.0</v>
      </c>
      <c r="P18" s="65">
        <v>117.0</v>
      </c>
      <c r="Q18" s="69">
        <v>212.0</v>
      </c>
      <c r="R18" s="109"/>
      <c r="S18" s="109"/>
      <c r="T18" s="109"/>
      <c r="U18" s="109"/>
      <c r="V18" s="109"/>
      <c r="W18" s="109"/>
      <c r="X18" s="109"/>
    </row>
    <row r="19">
      <c r="A19" s="68"/>
      <c r="B19" s="59"/>
      <c r="C19" s="52"/>
      <c r="D19" s="70" t="s">
        <v>437</v>
      </c>
      <c r="E19" s="71">
        <v>0.0</v>
      </c>
      <c r="F19" s="71">
        <v>0.0</v>
      </c>
      <c r="G19" s="71">
        <v>0.0</v>
      </c>
      <c r="H19" s="71">
        <v>0.0</v>
      </c>
      <c r="I19" s="71">
        <v>25.0</v>
      </c>
      <c r="J19" s="71">
        <v>15.0</v>
      </c>
      <c r="K19" s="71">
        <v>7.0</v>
      </c>
      <c r="L19" s="71">
        <v>9.0</v>
      </c>
      <c r="M19" s="71">
        <v>13.0</v>
      </c>
      <c r="N19" s="71">
        <v>-1.0</v>
      </c>
      <c r="O19" s="71">
        <v>45.0</v>
      </c>
      <c r="P19" s="71">
        <v>23.0</v>
      </c>
      <c r="Q19" s="71">
        <v>68.0</v>
      </c>
      <c r="R19" s="109"/>
      <c r="S19" s="109"/>
      <c r="T19" s="109"/>
      <c r="U19" s="109"/>
      <c r="V19" s="109"/>
      <c r="W19" s="109"/>
      <c r="X19" s="109"/>
    </row>
    <row r="20">
      <c r="A20" s="68"/>
      <c r="B20" s="61" t="s">
        <v>304</v>
      </c>
      <c r="C20" s="54"/>
      <c r="D20" s="110" t="s">
        <v>435</v>
      </c>
      <c r="E20" s="63">
        <v>20.0</v>
      </c>
      <c r="F20" s="63">
        <v>15.0</v>
      </c>
      <c r="G20" s="64"/>
      <c r="H20" s="65">
        <v>35.0</v>
      </c>
      <c r="I20" s="64"/>
      <c r="J20" s="64"/>
      <c r="K20" s="64"/>
      <c r="L20" s="64"/>
      <c r="M20" s="64"/>
      <c r="N20" s="64"/>
      <c r="O20" s="89">
        <v>0.0</v>
      </c>
      <c r="P20" s="89">
        <v>0.0</v>
      </c>
      <c r="Q20" s="90">
        <v>35.0</v>
      </c>
      <c r="R20" s="109"/>
      <c r="S20" s="109"/>
      <c r="T20" s="109"/>
      <c r="U20" s="109"/>
      <c r="V20" s="109"/>
      <c r="W20" s="109"/>
      <c r="X20" s="109"/>
    </row>
    <row r="21" ht="15.75" customHeight="1">
      <c r="A21" s="68"/>
      <c r="B21" s="53"/>
      <c r="C21" s="54"/>
      <c r="D21" s="110" t="s">
        <v>436</v>
      </c>
      <c r="E21" s="63">
        <v>20.0</v>
      </c>
      <c r="F21" s="63">
        <v>15.0</v>
      </c>
      <c r="G21" s="63">
        <v>0.0</v>
      </c>
      <c r="H21" s="65">
        <v>35.0</v>
      </c>
      <c r="I21" s="63">
        <v>0.0</v>
      </c>
      <c r="J21" s="63">
        <v>0.0</v>
      </c>
      <c r="K21" s="63">
        <v>0.0</v>
      </c>
      <c r="L21" s="63">
        <v>0.0</v>
      </c>
      <c r="M21" s="63">
        <v>0.0</v>
      </c>
      <c r="N21" s="63">
        <v>0.0</v>
      </c>
      <c r="O21" s="89">
        <v>0.0</v>
      </c>
      <c r="P21" s="89">
        <v>0.0</v>
      </c>
      <c r="Q21" s="91">
        <v>35.0</v>
      </c>
      <c r="R21" s="109"/>
      <c r="S21" s="109"/>
      <c r="T21" s="109"/>
      <c r="U21" s="109"/>
      <c r="V21" s="109"/>
      <c r="W21" s="109"/>
      <c r="X21" s="109"/>
    </row>
    <row r="22" ht="15.75" customHeight="1">
      <c r="A22" s="68"/>
      <c r="B22" s="59"/>
      <c r="C22" s="52"/>
      <c r="D22" s="111" t="s">
        <v>437</v>
      </c>
      <c r="E22" s="93">
        <v>0.0</v>
      </c>
      <c r="F22" s="93">
        <v>0.0</v>
      </c>
      <c r="G22" s="93">
        <v>0.0</v>
      </c>
      <c r="H22" s="93">
        <v>0.0</v>
      </c>
      <c r="I22" s="93">
        <v>0.0</v>
      </c>
      <c r="J22" s="93">
        <v>0.0</v>
      </c>
      <c r="K22" s="93">
        <v>0.0</v>
      </c>
      <c r="L22" s="93">
        <v>0.0</v>
      </c>
      <c r="M22" s="93">
        <v>0.0</v>
      </c>
      <c r="N22" s="93">
        <v>0.0</v>
      </c>
      <c r="O22" s="93">
        <v>0.0</v>
      </c>
      <c r="P22" s="93">
        <v>0.0</v>
      </c>
      <c r="Q22" s="93">
        <v>0.0</v>
      </c>
      <c r="R22" s="109"/>
      <c r="S22" s="109"/>
      <c r="T22" s="109"/>
      <c r="U22" s="109"/>
      <c r="V22" s="109"/>
      <c r="W22" s="109"/>
      <c r="X22" s="109"/>
    </row>
    <row r="23" ht="15.75" customHeight="1">
      <c r="A23" s="84"/>
      <c r="B23" s="84"/>
      <c r="C23" s="84"/>
      <c r="D23" s="84"/>
      <c r="E23" s="84"/>
      <c r="F23" s="84"/>
      <c r="G23" s="84"/>
      <c r="H23" s="84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</row>
    <row r="24" ht="15.75" customHeight="1">
      <c r="A24" s="84"/>
      <c r="B24" s="84"/>
      <c r="C24" s="84"/>
      <c r="D24" s="84"/>
      <c r="E24" s="84"/>
      <c r="F24" s="84"/>
      <c r="G24" s="84"/>
      <c r="H24" s="84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</row>
    <row r="25">
      <c r="A25" s="100"/>
      <c r="B25" s="73" t="s">
        <v>411</v>
      </c>
      <c r="C25" s="74" t="s">
        <v>7</v>
      </c>
      <c r="D25" s="74" t="s">
        <v>412</v>
      </c>
      <c r="E25" s="74" t="s">
        <v>413</v>
      </c>
      <c r="F25" s="74" t="s">
        <v>11</v>
      </c>
      <c r="G25" s="75" t="s">
        <v>414</v>
      </c>
      <c r="H25" s="75" t="s">
        <v>415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94"/>
    </row>
    <row r="26" ht="15.75" customHeight="1">
      <c r="A26" s="78"/>
      <c r="B26" s="78" t="str">
        <f>IFERROR(__xludf.DUMMYFUNCTION("QUERY(dados_02!$A$2:$H$675, ""SELECT Col1, Col2, Col3, Col4, Col5, Col6, Col7  where Col8 = 'REGIONAL 6' "")"),"09/03/2026 17:29:00")</f>
        <v>09/03/2026 17:29:00</v>
      </c>
      <c r="C26" s="79" t="str">
        <f>IFERROR(__xludf.DUMMYFUNCTION("""COMPUTED_VALUE"""),"1")</f>
        <v>1</v>
      </c>
      <c r="D26" s="80" t="str">
        <f>IFERROR(__xludf.DUMMYFUNCTION("""COMPUTED_VALUE"""),"M. D. C. M. C")</f>
        <v>M. D. C. M. C</v>
      </c>
      <c r="E26" s="81" t="str">
        <f>IFERROR(__xludf.DUMMYFUNCTION("""COMPUTED_VALUE"""),"21/05/2024")</f>
        <v>21/05/2024</v>
      </c>
      <c r="F26" s="80" t="str">
        <f>IFERROR(__xludf.DUMMYFUNCTION("""COMPUTED_VALUE"""),"003******58")</f>
        <v>003******58</v>
      </c>
      <c r="G26" s="80" t="str">
        <f>IFERROR(__xludf.DUMMYFUNCTION("""COMPUTED_VALUE"""),"INFANTIL 1")</f>
        <v>INFANTIL 1</v>
      </c>
      <c r="H26" s="95" t="str">
        <f>IFERROR(__xludf.DUMMYFUNCTION("""COMPUTED_VALUE"""),"CEMEI LIGIA ARAUJO DE OLIVEIRA")</f>
        <v>CEMEI LIGIA ARAUJO DE OLIVEIRA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96"/>
    </row>
    <row r="27" ht="15.75" customHeight="1">
      <c r="A27" s="78"/>
      <c r="B27" s="78" t="str">
        <f>IFERROR(__xludf.DUMMYFUNCTION("""COMPUTED_VALUE"""),"23/03/2026 19:01:28")</f>
        <v>23/03/2026 19:01:28</v>
      </c>
      <c r="C27" s="79" t="str">
        <f>IFERROR(__xludf.DUMMYFUNCTION("""COMPUTED_VALUE"""),"2")</f>
        <v>2</v>
      </c>
      <c r="D27" s="80" t="str">
        <f>IFERROR(__xludf.DUMMYFUNCTION("""COMPUTED_VALUE"""),"L. S. S")</f>
        <v>L. S. S</v>
      </c>
      <c r="E27" s="81" t="str">
        <f>IFERROR(__xludf.DUMMYFUNCTION("""COMPUTED_VALUE"""),"15/05/2024")</f>
        <v>15/05/2024</v>
      </c>
      <c r="F27" s="80" t="str">
        <f>IFERROR(__xludf.DUMMYFUNCTION("""COMPUTED_VALUE"""),"003******82")</f>
        <v>003******82</v>
      </c>
      <c r="G27" s="80" t="str">
        <f>IFERROR(__xludf.DUMMYFUNCTION("""COMPUTED_VALUE"""),"INFANTIL 1")</f>
        <v>INFANTIL 1</v>
      </c>
      <c r="H27" s="95" t="str">
        <f>IFERROR(__xludf.DUMMYFUNCTION("""COMPUTED_VALUE"""),"CEMEI LIGIA ARAUJO DE OLIVEIRA")</f>
        <v>CEMEI LIGIA ARAUJO DE OLIVEIRA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96"/>
    </row>
    <row r="28" ht="15.75" customHeight="1">
      <c r="A28" s="78"/>
      <c r="B28" s="78" t="str">
        <f>IFERROR(__xludf.DUMMYFUNCTION("""COMPUTED_VALUE"""),"28/01/2026 08:07:40")</f>
        <v>28/01/2026 08:07:40</v>
      </c>
      <c r="C28" s="79" t="str">
        <f>IFERROR(__xludf.DUMMYFUNCTION("""COMPUTED_VALUE"""),"1")</f>
        <v>1</v>
      </c>
      <c r="D28" s="80" t="str">
        <f>IFERROR(__xludf.DUMMYFUNCTION("""COMPUTED_VALUE"""),"Í. M. E. D. S")</f>
        <v>Í. M. E. D. S</v>
      </c>
      <c r="E28" s="81" t="str">
        <f>IFERROR(__xludf.DUMMYFUNCTION("""COMPUTED_VALUE"""),"19/08/2023")</f>
        <v>19/08/2023</v>
      </c>
      <c r="F28" s="80" t="str">
        <f>IFERROR(__xludf.DUMMYFUNCTION("""COMPUTED_VALUE"""),"001******67")</f>
        <v>001******67</v>
      </c>
      <c r="G28" s="80" t="str">
        <f>IFERROR(__xludf.DUMMYFUNCTION("""COMPUTED_VALUE"""),"INFANTIL 2")</f>
        <v>INFANTIL 2</v>
      </c>
      <c r="H28" s="95" t="str">
        <f>IFERROR(__xludf.DUMMYFUNCTION("""COMPUTED_VALUE"""),"CEMEI LIGIA ARAUJO DE OLIVEIRA")</f>
        <v>CEMEI LIGIA ARAUJO DE OLIVEIRA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96"/>
    </row>
    <row r="29" ht="15.75" customHeight="1">
      <c r="A29" s="78"/>
      <c r="B29" s="78" t="str">
        <f>IFERROR(__xludf.DUMMYFUNCTION("""COMPUTED_VALUE"""),"29/01/2026 10:35:38")</f>
        <v>29/01/2026 10:35:38</v>
      </c>
      <c r="C29" s="79" t="str">
        <f>IFERROR(__xludf.DUMMYFUNCTION("""COMPUTED_VALUE"""),"2")</f>
        <v>2</v>
      </c>
      <c r="D29" s="80" t="str">
        <f>IFERROR(__xludf.DUMMYFUNCTION("""COMPUTED_VALUE"""),"O. H. L. L")</f>
        <v>O. H. L. L</v>
      </c>
      <c r="E29" s="82" t="str">
        <f>IFERROR(__xludf.DUMMYFUNCTION("""COMPUTED_VALUE"""),"27/05/2023")</f>
        <v>27/05/2023</v>
      </c>
      <c r="F29" s="80" t="str">
        <f>IFERROR(__xludf.DUMMYFUNCTION("""COMPUTED_VALUE"""),"185******18")</f>
        <v>185******18</v>
      </c>
      <c r="G29" s="80" t="str">
        <f>IFERROR(__xludf.DUMMYFUNCTION("""COMPUTED_VALUE"""),"INFANTIL 2")</f>
        <v>INFANTIL 2</v>
      </c>
      <c r="H29" s="95" t="str">
        <f>IFERROR(__xludf.DUMMYFUNCTION("""COMPUTED_VALUE"""),"CEMEI LIGIA ARAUJO DE OLIVEIRA")</f>
        <v>CEMEI LIGIA ARAUJO DE OLIVEIRA</v>
      </c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96"/>
    </row>
    <row r="30" ht="15.75" customHeight="1">
      <c r="A30" s="78"/>
      <c r="B30" s="78" t="str">
        <f>IFERROR(__xludf.DUMMYFUNCTION("""COMPUTED_VALUE"""),"11/03/2026 10:19:05")</f>
        <v>11/03/2026 10:19:05</v>
      </c>
      <c r="C30" s="79" t="str">
        <f>IFERROR(__xludf.DUMMYFUNCTION("""COMPUTED_VALUE"""),"3")</f>
        <v>3</v>
      </c>
      <c r="D30" s="80" t="str">
        <f>IFERROR(__xludf.DUMMYFUNCTION("""COMPUTED_VALUE"""),"A. G. D. S. S")</f>
        <v>A. G. D. S. S</v>
      </c>
      <c r="E30" s="81" t="str">
        <f>IFERROR(__xludf.DUMMYFUNCTION("""COMPUTED_VALUE"""),"30/12/2023")</f>
        <v>30/12/2023</v>
      </c>
      <c r="F30" s="80" t="str">
        <f>IFERROR(__xludf.DUMMYFUNCTION("""COMPUTED_VALUE"""),"001******00")</f>
        <v>001******00</v>
      </c>
      <c r="G30" s="80" t="str">
        <f>IFERROR(__xludf.DUMMYFUNCTION("""COMPUTED_VALUE"""),"INFANTIL 2")</f>
        <v>INFANTIL 2</v>
      </c>
      <c r="H30" s="95" t="str">
        <f>IFERROR(__xludf.DUMMYFUNCTION("""COMPUTED_VALUE"""),"CEMEI LIGIA ARAUJO DE OLIVEIRA")</f>
        <v>CEMEI LIGIA ARAUJO DE OLIVEIRA</v>
      </c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96"/>
    </row>
    <row r="31" ht="15.75" customHeight="1">
      <c r="A31" s="78"/>
      <c r="B31" s="78" t="str">
        <f>IFERROR(__xludf.DUMMYFUNCTION("""COMPUTED_VALUE"""),"20/04/2026 12:53:45")</f>
        <v>20/04/2026 12:53:45</v>
      </c>
      <c r="C31" s="79" t="str">
        <f>IFERROR(__xludf.DUMMYFUNCTION("""COMPUTED_VALUE"""),"4")</f>
        <v>4</v>
      </c>
      <c r="D31" s="80" t="str">
        <f>IFERROR(__xludf.DUMMYFUNCTION("""COMPUTED_VALUE"""),"I. M. D. D. S")</f>
        <v>I. M. D. D. S</v>
      </c>
      <c r="E31" s="82" t="str">
        <f>IFERROR(__xludf.DUMMYFUNCTION("""COMPUTED_VALUE"""),"02/05/2023")</f>
        <v>02/05/2023</v>
      </c>
      <c r="F31" s="80" t="str">
        <f>IFERROR(__xludf.DUMMYFUNCTION("""COMPUTED_VALUE"""),"166******37")</f>
        <v>166******37</v>
      </c>
      <c r="G31" s="80" t="str">
        <f>IFERROR(__xludf.DUMMYFUNCTION("""COMPUTED_VALUE"""),"INFANTIL 2")</f>
        <v>INFANTIL 2</v>
      </c>
      <c r="H31" s="95" t="str">
        <f>IFERROR(__xludf.DUMMYFUNCTION("""COMPUTED_VALUE"""),"CEMEI LIGIA ARAUJO DE OLIVEIRA")</f>
        <v>CEMEI LIGIA ARAUJO DE OLIVEIRA</v>
      </c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96"/>
    </row>
    <row r="32" ht="15.75" customHeight="1">
      <c r="A32" s="78"/>
      <c r="B32" s="78" t="str">
        <f>IFERROR(__xludf.DUMMYFUNCTION("""COMPUTED_VALUE"""),"08/05/2026 07:30:21")</f>
        <v>08/05/2026 07:30:21</v>
      </c>
      <c r="C32" s="79" t="str">
        <f>IFERROR(__xludf.DUMMYFUNCTION("""COMPUTED_VALUE"""),"5")</f>
        <v>5</v>
      </c>
      <c r="D32" s="80" t="str">
        <f>IFERROR(__xludf.DUMMYFUNCTION("""COMPUTED_VALUE"""),"H. G. M. D. S")</f>
        <v>H. G. M. D. S</v>
      </c>
      <c r="E32" s="82" t="str">
        <f>IFERROR(__xludf.DUMMYFUNCTION("""COMPUTED_VALUE"""),"20/05/2023")</f>
        <v>20/05/2023</v>
      </c>
      <c r="F32" s="80" t="str">
        <f>IFERROR(__xludf.DUMMYFUNCTION("""COMPUTED_VALUE"""),"185******29")</f>
        <v>185******29</v>
      </c>
      <c r="G32" s="80" t="str">
        <f>IFERROR(__xludf.DUMMYFUNCTION("""COMPUTED_VALUE"""),"INFANTIL 2")</f>
        <v>INFANTIL 2</v>
      </c>
      <c r="H32" s="95" t="str">
        <f>IFERROR(__xludf.DUMMYFUNCTION("""COMPUTED_VALUE"""),"CEMEI LIGIA ARAUJO DE OLIVEIRA")</f>
        <v>CEMEI LIGIA ARAUJO DE OLIVEIRA</v>
      </c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96"/>
    </row>
    <row r="33" ht="15.75" customHeight="1">
      <c r="A33" s="78"/>
      <c r="B33" s="78" t="str">
        <f>IFERROR(__xludf.DUMMYFUNCTION("""COMPUTED_VALUE"""),"10/06/2026 09:35:26")</f>
        <v>10/06/2026 09:35:26</v>
      </c>
      <c r="C33" s="79" t="str">
        <f>IFERROR(__xludf.DUMMYFUNCTION("""COMPUTED_VALUE"""),"6")</f>
        <v>6</v>
      </c>
      <c r="D33" s="80" t="str">
        <f>IFERROR(__xludf.DUMMYFUNCTION("""COMPUTED_VALUE"""),"H. L. P. D. S")</f>
        <v>H. L. P. D. S</v>
      </c>
      <c r="E33" s="81" t="str">
        <f>IFERROR(__xludf.DUMMYFUNCTION("""COMPUTED_VALUE"""),"22/06/2023")</f>
        <v>22/06/2023</v>
      </c>
      <c r="F33" s="80" t="str">
        <f>IFERROR(__xludf.DUMMYFUNCTION("""COMPUTED_VALUE"""),"035******53")</f>
        <v>035******53</v>
      </c>
      <c r="G33" s="80" t="str">
        <f>IFERROR(__xludf.DUMMYFUNCTION("""COMPUTED_VALUE"""),"INFANTIL 2")</f>
        <v>INFANTIL 2</v>
      </c>
      <c r="H33" s="95" t="str">
        <f>IFERROR(__xludf.DUMMYFUNCTION("""COMPUTED_VALUE"""),"CEMEI LIGIA ARAUJO DE OLIVEIRA")</f>
        <v>CEMEI LIGIA ARAUJO DE OLIVEIRA</v>
      </c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96"/>
    </row>
    <row r="34" ht="15.75" customHeight="1">
      <c r="A34" s="78"/>
      <c r="B34" s="78" t="str">
        <f>IFERROR(__xludf.DUMMYFUNCTION("""COMPUTED_VALUE"""),"03/02/2026 14:12:28")</f>
        <v>03/02/2026 14:12:28</v>
      </c>
      <c r="C34" s="79" t="str">
        <f>IFERROR(__xludf.DUMMYFUNCTION("""COMPUTED_VALUE"""),"1")</f>
        <v>1</v>
      </c>
      <c r="D34" s="80" t="str">
        <f>IFERROR(__xludf.DUMMYFUNCTION("""COMPUTED_VALUE"""),"A. F. D. S")</f>
        <v>A. F. D. S</v>
      </c>
      <c r="E34" s="81" t="str">
        <f>IFERROR(__xludf.DUMMYFUNCTION("""COMPUTED_VALUE"""),"22/11/2022")</f>
        <v>22/11/2022</v>
      </c>
      <c r="F34" s="80" t="str">
        <f>IFERROR(__xludf.DUMMYFUNCTION("""COMPUTED_VALUE"""),"183******05")</f>
        <v>183******05</v>
      </c>
      <c r="G34" s="80" t="str">
        <f>IFERROR(__xludf.DUMMYFUNCTION("""COMPUTED_VALUE"""),"INFANTIL 3")</f>
        <v>INFANTIL 3</v>
      </c>
      <c r="H34" s="95" t="str">
        <f>IFERROR(__xludf.DUMMYFUNCTION("""COMPUTED_VALUE"""),"CEMEI LIGIA ARAUJO DE OLIVEIRA")</f>
        <v>CEMEI LIGIA ARAUJO DE OLIVEIRA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96"/>
    </row>
    <row r="35" ht="15.75" customHeight="1">
      <c r="A35" s="78"/>
      <c r="B35" s="78" t="str">
        <f>IFERROR(__xludf.DUMMYFUNCTION("""COMPUTED_VALUE"""),"03/02/2026 14:18:57")</f>
        <v>03/02/2026 14:18:57</v>
      </c>
      <c r="C35" s="79" t="str">
        <f>IFERROR(__xludf.DUMMYFUNCTION("""COMPUTED_VALUE"""),"2")</f>
        <v>2</v>
      </c>
      <c r="D35" s="80" t="str">
        <f>IFERROR(__xludf.DUMMYFUNCTION("""COMPUTED_VALUE"""),"A. F. D. S")</f>
        <v>A. F. D. S</v>
      </c>
      <c r="E35" s="81" t="str">
        <f>IFERROR(__xludf.DUMMYFUNCTION("""COMPUTED_VALUE"""),"22/11/2022")</f>
        <v>22/11/2022</v>
      </c>
      <c r="F35" s="80" t="str">
        <f>IFERROR(__xludf.DUMMYFUNCTION("""COMPUTED_VALUE"""),"183******11")</f>
        <v>183******11</v>
      </c>
      <c r="G35" s="80" t="str">
        <f>IFERROR(__xludf.DUMMYFUNCTION("""COMPUTED_VALUE"""),"INFANTIL 3")</f>
        <v>INFANTIL 3</v>
      </c>
      <c r="H35" s="95" t="str">
        <f>IFERROR(__xludf.DUMMYFUNCTION("""COMPUTED_VALUE"""),"CEMEI LIGIA ARAUJO DE OLIVEIRA")</f>
        <v>CEMEI LIGIA ARAUJO DE OLIVEIRA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96"/>
    </row>
    <row r="36" ht="15.75" customHeight="1">
      <c r="A36" s="77"/>
      <c r="B36" s="77" t="str">
        <f>IFERROR(__xludf.DUMMYFUNCTION("""COMPUTED_VALUE"""),"23/02/2026 20:39:24")</f>
        <v>23/02/2026 20:39:24</v>
      </c>
      <c r="C36" s="83" t="str">
        <f>IFERROR(__xludf.DUMMYFUNCTION("""COMPUTED_VALUE"""),"3")</f>
        <v>3</v>
      </c>
      <c r="D36" s="77" t="str">
        <f>IFERROR(__xludf.DUMMYFUNCTION("""COMPUTED_VALUE"""),"A. E. P. D. S")</f>
        <v>A. E. P. D. S</v>
      </c>
      <c r="E36" s="77" t="str">
        <f>IFERROR(__xludf.DUMMYFUNCTION("""COMPUTED_VALUE"""),"31/08/2022")</f>
        <v>31/08/2022</v>
      </c>
      <c r="F36" s="77" t="str">
        <f>IFERROR(__xludf.DUMMYFUNCTION("""COMPUTED_VALUE"""),"182******05")</f>
        <v>182******05</v>
      </c>
      <c r="G36" s="77" t="str">
        <f>IFERROR(__xludf.DUMMYFUNCTION("""COMPUTED_VALUE"""),"INFANTIL 3")</f>
        <v>INFANTIL 3</v>
      </c>
      <c r="H36" s="97" t="str">
        <f>IFERROR(__xludf.DUMMYFUNCTION("""COMPUTED_VALUE"""),"CEMEI LIGIA ARAUJO DE OLIVEIRA")</f>
        <v>CEMEI LIGIA ARAUJO DE OLIVEIRA</v>
      </c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96"/>
    </row>
    <row r="37" ht="15.75" customHeight="1">
      <c r="A37" s="77"/>
      <c r="B37" s="77" t="str">
        <f>IFERROR(__xludf.DUMMYFUNCTION("""COMPUTED_VALUE"""),"24/02/2026 14:04:38")</f>
        <v>24/02/2026 14:04:38</v>
      </c>
      <c r="C37" s="83" t="str">
        <f>IFERROR(__xludf.DUMMYFUNCTION("""COMPUTED_VALUE"""),"1")</f>
        <v>1</v>
      </c>
      <c r="D37" s="77" t="str">
        <f>IFERROR(__xludf.DUMMYFUNCTION("""COMPUTED_VALUE"""),"J. M. F. D. S")</f>
        <v>J. M. F. D. S</v>
      </c>
      <c r="E37" s="77" t="str">
        <f>IFERROR(__xludf.DUMMYFUNCTION("""COMPUTED_VALUE"""),"01/11/2022")</f>
        <v>01/11/2022</v>
      </c>
      <c r="F37" s="77" t="str">
        <f>IFERROR(__xludf.DUMMYFUNCTION("""COMPUTED_VALUE"""),"185******30")</f>
        <v>185******30</v>
      </c>
      <c r="G37" s="77" t="str">
        <f>IFERROR(__xludf.DUMMYFUNCTION("""COMPUTED_VALUE"""),"INFANTIL 3")</f>
        <v>INFANTIL 3</v>
      </c>
      <c r="H37" s="97" t="str">
        <f>IFERROR(__xludf.DUMMYFUNCTION("""COMPUTED_VALUE"""),"CEMEI PROFESSORA MARLUCIA EVANGELISTA DE SOUZA")</f>
        <v>CEMEI PROFESSORA MARLUCIA EVANGELISTA DE SOUZA</v>
      </c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96"/>
    </row>
    <row r="38" ht="15.75" customHeight="1">
      <c r="A38" s="77"/>
      <c r="B38" s="77" t="str">
        <f>IFERROR(__xludf.DUMMYFUNCTION("""COMPUTED_VALUE"""),"26/03/2026 11:14:13")</f>
        <v>26/03/2026 11:14:13</v>
      </c>
      <c r="C38" s="83" t="str">
        <f>IFERROR(__xludf.DUMMYFUNCTION("""COMPUTED_VALUE"""),"2")</f>
        <v>2</v>
      </c>
      <c r="D38" s="77" t="str">
        <f>IFERROR(__xludf.DUMMYFUNCTION("""COMPUTED_VALUE"""),"E. G. M. D. N")</f>
        <v>E. G. M. D. N</v>
      </c>
      <c r="E38" s="77" t="str">
        <f>IFERROR(__xludf.DUMMYFUNCTION("""COMPUTED_VALUE"""),"19/11/2022")</f>
        <v>19/11/2022</v>
      </c>
      <c r="F38" s="77" t="str">
        <f>IFERROR(__xludf.DUMMYFUNCTION("""COMPUTED_VALUE"""),"183******10")</f>
        <v>183******10</v>
      </c>
      <c r="G38" s="77" t="str">
        <f>IFERROR(__xludf.DUMMYFUNCTION("""COMPUTED_VALUE"""),"INFANTIL 3")</f>
        <v>INFANTIL 3</v>
      </c>
      <c r="H38" s="97" t="str">
        <f>IFERROR(__xludf.DUMMYFUNCTION("""COMPUTED_VALUE"""),"CEMEI PROFESSORA MARLUCIA EVANGELISTA DE SOUZA")</f>
        <v>CEMEI PROFESSORA MARLUCIA EVANGELISTA DE SOUZA</v>
      </c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96"/>
    </row>
    <row r="39" ht="15.75" customHeight="1">
      <c r="A39" s="77"/>
      <c r="B39" s="77" t="str">
        <f>IFERROR(__xludf.DUMMYFUNCTION("""COMPUTED_VALUE"""),"27/03/2026 08:54:52")</f>
        <v>27/03/2026 08:54:52</v>
      </c>
      <c r="C39" s="83" t="str">
        <f>IFERROR(__xludf.DUMMYFUNCTION("""COMPUTED_VALUE"""),"3")</f>
        <v>3</v>
      </c>
      <c r="D39" s="77" t="str">
        <f>IFERROR(__xludf.DUMMYFUNCTION("""COMPUTED_VALUE"""),"M. H. D. S. L")</f>
        <v>M. H. D. S. L</v>
      </c>
      <c r="E39" s="77" t="str">
        <f>IFERROR(__xludf.DUMMYFUNCTION("""COMPUTED_VALUE"""),"11/05/2022")</f>
        <v>11/05/2022</v>
      </c>
      <c r="F39" s="77" t="str">
        <f>IFERROR(__xludf.DUMMYFUNCTION("""COMPUTED_VALUE"""),"183******63")</f>
        <v>183******63</v>
      </c>
      <c r="G39" s="77" t="str">
        <f>IFERROR(__xludf.DUMMYFUNCTION("""COMPUTED_VALUE"""),"INFANTIL 3")</f>
        <v>INFANTIL 3</v>
      </c>
      <c r="H39" s="97" t="str">
        <f>IFERROR(__xludf.DUMMYFUNCTION("""COMPUTED_VALUE"""),"CEMEI PROFESSORA MARLUCIA EVANGELISTA DE SOUZA")</f>
        <v>CEMEI PROFESSORA MARLUCIA EVANGELISTA DE SOUZA</v>
      </c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96"/>
    </row>
    <row r="40" ht="15.75" customHeight="1">
      <c r="A40" s="77"/>
      <c r="B40" s="77" t="str">
        <f>IFERROR(__xludf.DUMMYFUNCTION("""COMPUTED_VALUE"""),"09/06/2026 13:23:26")</f>
        <v>09/06/2026 13:23:26</v>
      </c>
      <c r="C40" s="83" t="str">
        <f>IFERROR(__xludf.DUMMYFUNCTION("""COMPUTED_VALUE"""),"4")</f>
        <v>4</v>
      </c>
      <c r="D40" s="77" t="str">
        <f>IFERROR(__xludf.DUMMYFUNCTION("""COMPUTED_VALUE"""),"M. C. L. d. S")</f>
        <v>M. C. L. d. S</v>
      </c>
      <c r="E40" s="77" t="str">
        <f>IFERROR(__xludf.DUMMYFUNCTION("""COMPUTED_VALUE"""),"04/01/2023")</f>
        <v>04/01/2023</v>
      </c>
      <c r="F40" s="77" t="str">
        <f>IFERROR(__xludf.DUMMYFUNCTION("""COMPUTED_VALUE"""),"184******58")</f>
        <v>184******58</v>
      </c>
      <c r="G40" s="77" t="str">
        <f>IFERROR(__xludf.DUMMYFUNCTION("""COMPUTED_VALUE"""),"INFANTIL 3")</f>
        <v>INFANTIL 3</v>
      </c>
      <c r="H40" s="97" t="str">
        <f>IFERROR(__xludf.DUMMYFUNCTION("""COMPUTED_VALUE"""),"CEMEI PROFESSORA MARLUCIA EVANGELISTA DE SOUZA")</f>
        <v>CEMEI PROFESSORA MARLUCIA EVANGELISTA DE SOUZA</v>
      </c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96"/>
    </row>
    <row r="41" ht="15.75" customHeight="1">
      <c r="A41" s="77"/>
      <c r="B41" s="77" t="str">
        <f>IFERROR(__xludf.DUMMYFUNCTION("""COMPUTED_VALUE"""),"31/03/2026 08:33:16")</f>
        <v>31/03/2026 08:33:16</v>
      </c>
      <c r="C41" s="83" t="str">
        <f>IFERROR(__xludf.DUMMYFUNCTION("""COMPUTED_VALUE"""),"1")</f>
        <v>1</v>
      </c>
      <c r="D41" s="77" t="str">
        <f>IFERROR(__xludf.DUMMYFUNCTION("""COMPUTED_VALUE"""),"A. G. B. D. N")</f>
        <v>A. G. B. D. N</v>
      </c>
      <c r="E41" s="77" t="str">
        <f>IFERROR(__xludf.DUMMYFUNCTION("""COMPUTED_VALUE"""),"03/02/2023")</f>
        <v>03/02/2023</v>
      </c>
      <c r="F41" s="77" t="str">
        <f>IFERROR(__xludf.DUMMYFUNCTION("""COMPUTED_VALUE"""),"184******02")</f>
        <v>184******02</v>
      </c>
      <c r="G41" s="77" t="str">
        <f>IFERROR(__xludf.DUMMYFUNCTION("""COMPUTED_VALUE"""),"INFANTIL 3")</f>
        <v>INFANTIL 3</v>
      </c>
      <c r="H41" s="97" t="str">
        <f>IFERROR(__xludf.DUMMYFUNCTION("""COMPUTED_VALUE"""),"CEMEI PROFESSORA MARLUCIA EVANGELISTA DE SOUZA")</f>
        <v>CEMEI PROFESSORA MARLUCIA EVANGELISTA DE SOUZA</v>
      </c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96"/>
    </row>
    <row r="42" ht="15.75" customHeight="1">
      <c r="A42" s="77"/>
      <c r="B42" s="77" t="str">
        <f>IFERROR(__xludf.DUMMYFUNCTION("""COMPUTED_VALUE"""),"17/03/2026 11:53:45")</f>
        <v>17/03/2026 11:53:45</v>
      </c>
      <c r="C42" s="83" t="str">
        <f>IFERROR(__xludf.DUMMYFUNCTION("""COMPUTED_VALUE"""),"1")</f>
        <v>1</v>
      </c>
      <c r="D42" s="77" t="str">
        <f>IFERROR(__xludf.DUMMYFUNCTION("""COMPUTED_VALUE"""),"S. B. D. S")</f>
        <v>S. B. D. S</v>
      </c>
      <c r="E42" s="77" t="str">
        <f>IFERROR(__xludf.DUMMYFUNCTION("""COMPUTED_VALUE"""),"09/04/2025")</f>
        <v>09/04/2025</v>
      </c>
      <c r="F42" s="77" t="str">
        <f>IFERROR(__xludf.DUMMYFUNCTION("""COMPUTED_VALUE"""),"005******50")</f>
        <v>005******50</v>
      </c>
      <c r="G42" s="77" t="str">
        <f>IFERROR(__xludf.DUMMYFUNCTION("""COMPUTED_VALUE"""),"INFANTIL 1")</f>
        <v>INFANTIL 1</v>
      </c>
      <c r="H42" s="77" t="str">
        <f>IFERROR(__xludf.DUMMYFUNCTION("""COMPUTED_VALUE"""),"CEMEI PROFESSORA RAKELLY NOGUEIRA DO NASCIMENTO")</f>
        <v>CEMEI PROFESSORA RAKELLY NOGUEIRA DO NASCIMENTO</v>
      </c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96"/>
    </row>
    <row r="43" ht="15.75" customHeight="1">
      <c r="A43" s="77"/>
      <c r="B43" s="77" t="str">
        <f>IFERROR(__xludf.DUMMYFUNCTION("""COMPUTED_VALUE"""),"22/05/2026 09:50:12")</f>
        <v>22/05/2026 09:50:12</v>
      </c>
      <c r="C43" s="83" t="str">
        <f>IFERROR(__xludf.DUMMYFUNCTION("""COMPUTED_VALUE"""),"2")</f>
        <v>2</v>
      </c>
      <c r="D43" s="77" t="str">
        <f>IFERROR(__xludf.DUMMYFUNCTION("""COMPUTED_VALUE"""),"T. V. G. d. S")</f>
        <v>T. V. G. d. S</v>
      </c>
      <c r="E43" s="77" t="str">
        <f>IFERROR(__xludf.DUMMYFUNCTION("""COMPUTED_VALUE"""),"28/06/2025")</f>
        <v>28/06/2025</v>
      </c>
      <c r="F43" s="77" t="str">
        <f>IFERROR(__xludf.DUMMYFUNCTION("""COMPUTED_VALUE"""),"006******61")</f>
        <v>006******61</v>
      </c>
      <c r="G43" s="77" t="str">
        <f>IFERROR(__xludf.DUMMYFUNCTION("""COMPUTED_VALUE"""),"INFANTIL 1")</f>
        <v>INFANTIL 1</v>
      </c>
      <c r="H43" s="77" t="str">
        <f>IFERROR(__xludf.DUMMYFUNCTION("""COMPUTED_VALUE"""),"CEMEI PROFESSORA RAKELLY NOGUEIRA DO NASCIMENTO")</f>
        <v>CEMEI PROFESSORA RAKELLY NOGUEIRA DO NASCIMENTO</v>
      </c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96"/>
    </row>
    <row r="44" ht="15.75" customHeight="1">
      <c r="A44" s="77"/>
      <c r="B44" s="77" t="str">
        <f>IFERROR(__xludf.DUMMYFUNCTION("""COMPUTED_VALUE"""),"24/03/2026 08:53:08")</f>
        <v>24/03/2026 08:53:08</v>
      </c>
      <c r="C44" s="83" t="str">
        <f>IFERROR(__xludf.DUMMYFUNCTION("""COMPUTED_VALUE"""),"1")</f>
        <v>1</v>
      </c>
      <c r="D44" s="77" t="str">
        <f>IFERROR(__xludf.DUMMYFUNCTION("""COMPUTED_VALUE"""),"A. R. S. V. D. S")</f>
        <v>A. R. S. V. D. S</v>
      </c>
      <c r="E44" s="77" t="str">
        <f>IFERROR(__xludf.DUMMYFUNCTION("""COMPUTED_VALUE"""),"04/09/2023")</f>
        <v>04/09/2023</v>
      </c>
      <c r="F44" s="77" t="str">
        <f>IFERROR(__xludf.DUMMYFUNCTION("""COMPUTED_VALUE"""),"003******33")</f>
        <v>003******33</v>
      </c>
      <c r="G44" s="77" t="str">
        <f>IFERROR(__xludf.DUMMYFUNCTION("""COMPUTED_VALUE"""),"INFANTIL 2")</f>
        <v>INFANTIL 2</v>
      </c>
      <c r="H44" s="77" t="str">
        <f>IFERROR(__xludf.DUMMYFUNCTION("""COMPUTED_VALUE"""),"CEMEI PROFESSORA RAKELLY NOGUEIRA DO NASCIMENTO")</f>
        <v>CEMEI PROFESSORA RAKELLY NOGUEIRA DO NASCIMENTO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96"/>
    </row>
    <row r="45" ht="15.75" customHeight="1">
      <c r="A45" s="77"/>
      <c r="B45" s="77" t="str">
        <f>IFERROR(__xludf.DUMMYFUNCTION("""COMPUTED_VALUE"""),"13/05/2026 07:38:50")</f>
        <v>13/05/2026 07:38:50</v>
      </c>
      <c r="C45" s="83" t="str">
        <f>IFERROR(__xludf.DUMMYFUNCTION("""COMPUTED_VALUE"""),"2")</f>
        <v>2</v>
      </c>
      <c r="D45" s="77" t="str">
        <f>IFERROR(__xludf.DUMMYFUNCTION("""COMPUTED_VALUE"""),"A. G. R. D. O")</f>
        <v>A. G. R. D. O</v>
      </c>
      <c r="E45" s="77" t="str">
        <f>IFERROR(__xludf.DUMMYFUNCTION("""COMPUTED_VALUE"""),"07/07/2023")</f>
        <v>07/07/2023</v>
      </c>
      <c r="F45" s="77" t="str">
        <f>IFERROR(__xludf.DUMMYFUNCTION("""COMPUTED_VALUE"""),"185******25")</f>
        <v>185******25</v>
      </c>
      <c r="G45" s="77" t="str">
        <f>IFERROR(__xludf.DUMMYFUNCTION("""COMPUTED_VALUE"""),"INFANTIL 2")</f>
        <v>INFANTIL 2</v>
      </c>
      <c r="H45" s="77" t="str">
        <f>IFERROR(__xludf.DUMMYFUNCTION("""COMPUTED_VALUE"""),"CEMEI PROFESSORA RAKELLY NOGUEIRA DO NASCIMENTO")</f>
        <v>CEMEI PROFESSORA RAKELLY NOGUEIRA DO NASCIMENTO</v>
      </c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96"/>
    </row>
    <row r="46" ht="15.75" customHeight="1">
      <c r="A46" s="77"/>
      <c r="B46" s="77" t="str">
        <f>IFERROR(__xludf.DUMMYFUNCTION("""COMPUTED_VALUE"""),"08/04/2026 10:22:51")</f>
        <v>08/04/2026 10:22:51</v>
      </c>
      <c r="C46" s="83" t="str">
        <f>IFERROR(__xludf.DUMMYFUNCTION("""COMPUTED_VALUE"""),"1")</f>
        <v>1</v>
      </c>
      <c r="D46" s="77" t="str">
        <f>IFERROR(__xludf.DUMMYFUNCTION("""COMPUTED_VALUE"""),"A. A. R. D. S")</f>
        <v>A. A. R. D. S</v>
      </c>
      <c r="E46" s="77" t="str">
        <f>IFERROR(__xludf.DUMMYFUNCTION("""COMPUTED_VALUE"""),"29/07/2025")</f>
        <v>29/07/2025</v>
      </c>
      <c r="F46" s="77" t="str">
        <f>IFERROR(__xludf.DUMMYFUNCTION("""COMPUTED_VALUE"""),"006******82")</f>
        <v>006******82</v>
      </c>
      <c r="G46" s="77" t="str">
        <f>IFERROR(__xludf.DUMMYFUNCTION("""COMPUTED_VALUE"""),"INFANTIL 1")</f>
        <v>INFANTIL 1</v>
      </c>
      <c r="H46" s="77" t="str">
        <f>IFERROR(__xludf.DUMMYFUNCTION("""COMPUTED_VALUE"""),"CRECHE MERCIA DE ALBUQUERQUE")</f>
        <v>CRECHE MERCIA DE ALBUQUERQUE</v>
      </c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96"/>
    </row>
    <row r="47" ht="15.75" customHeight="1">
      <c r="A47" s="77"/>
      <c r="B47" s="77" t="str">
        <f>IFERROR(__xludf.DUMMYFUNCTION("""COMPUTED_VALUE"""),"11/04/2026 18:35:35")</f>
        <v>11/04/2026 18:35:35</v>
      </c>
      <c r="C47" s="83" t="str">
        <f>IFERROR(__xludf.DUMMYFUNCTION("""COMPUTED_VALUE"""),"2")</f>
        <v>2</v>
      </c>
      <c r="D47" s="77" t="str">
        <f>IFERROR(__xludf.DUMMYFUNCTION("""COMPUTED_VALUE"""),"E. G. O. D. S")</f>
        <v>E. G. O. D. S</v>
      </c>
      <c r="E47" s="77" t="str">
        <f>IFERROR(__xludf.DUMMYFUNCTION("""COMPUTED_VALUE"""),"24/08/2025")</f>
        <v>24/08/2025</v>
      </c>
      <c r="F47" s="77" t="str">
        <f>IFERROR(__xludf.DUMMYFUNCTION("""COMPUTED_VALUE"""),"713******82")</f>
        <v>713******82</v>
      </c>
      <c r="G47" s="77" t="str">
        <f>IFERROR(__xludf.DUMMYFUNCTION("""COMPUTED_VALUE"""),"INFANTIL 1")</f>
        <v>INFANTIL 1</v>
      </c>
      <c r="H47" s="77" t="str">
        <f>IFERROR(__xludf.DUMMYFUNCTION("""COMPUTED_VALUE"""),"CRECHE MERCIA DE ALBUQUERQUE")</f>
        <v>CRECHE MERCIA DE ALBUQUERQUE</v>
      </c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96"/>
    </row>
    <row r="48" ht="15.75" customHeight="1">
      <c r="A48" s="77"/>
      <c r="B48" s="77" t="str">
        <f>IFERROR(__xludf.DUMMYFUNCTION("""COMPUTED_VALUE"""),"04/05/2026 08:16:27")</f>
        <v>04/05/2026 08:16:27</v>
      </c>
      <c r="C48" s="83" t="str">
        <f>IFERROR(__xludf.DUMMYFUNCTION("""COMPUTED_VALUE"""),"3")</f>
        <v>3</v>
      </c>
      <c r="D48" s="77" t="str">
        <f>IFERROR(__xludf.DUMMYFUNCTION("""COMPUTED_VALUE"""),"K. C. T. L. B")</f>
        <v>K. C. T. L. B</v>
      </c>
      <c r="E48" s="77" t="str">
        <f>IFERROR(__xludf.DUMMYFUNCTION("""COMPUTED_VALUE"""),"24/08/2024")</f>
        <v>24/08/2024</v>
      </c>
      <c r="F48" s="77" t="str">
        <f>IFERROR(__xludf.DUMMYFUNCTION("""COMPUTED_VALUE"""),"003******44")</f>
        <v>003******44</v>
      </c>
      <c r="G48" s="77" t="str">
        <f>IFERROR(__xludf.DUMMYFUNCTION("""COMPUTED_VALUE"""),"INFANTIL 1")</f>
        <v>INFANTIL 1</v>
      </c>
      <c r="H48" s="77" t="str">
        <f>IFERROR(__xludf.DUMMYFUNCTION("""COMPUTED_VALUE"""),"CRECHE MERCIA DE ALBUQUERQUE")</f>
        <v>CRECHE MERCIA DE ALBUQUERQUE</v>
      </c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96"/>
    </row>
    <row r="49" ht="15.75" customHeight="1">
      <c r="A49" s="77"/>
      <c r="B49" s="77" t="str">
        <f>IFERROR(__xludf.DUMMYFUNCTION("""COMPUTED_VALUE"""),"21/05/2026 14:53:13")</f>
        <v>21/05/2026 14:53:13</v>
      </c>
      <c r="C49" s="83" t="str">
        <f>IFERROR(__xludf.DUMMYFUNCTION("""COMPUTED_VALUE"""),"4")</f>
        <v>4</v>
      </c>
      <c r="D49" s="77" t="str">
        <f>IFERROR(__xludf.DUMMYFUNCTION("""COMPUTED_VALUE"""),"E. P. d. M. F")</f>
        <v>E. P. d. M. F</v>
      </c>
      <c r="E49" s="77" t="str">
        <f>IFERROR(__xludf.DUMMYFUNCTION("""COMPUTED_VALUE"""),"30/12/2025")</f>
        <v>30/12/2025</v>
      </c>
      <c r="F49" s="77" t="str">
        <f>IFERROR(__xludf.DUMMYFUNCTION("""COMPUTED_VALUE"""),"034******72")</f>
        <v>034******72</v>
      </c>
      <c r="G49" s="77" t="str">
        <f>IFERROR(__xludf.DUMMYFUNCTION("""COMPUTED_VALUE"""),"INFANTIL 1")</f>
        <v>INFANTIL 1</v>
      </c>
      <c r="H49" s="77" t="str">
        <f>IFERROR(__xludf.DUMMYFUNCTION("""COMPUTED_VALUE"""),"CRECHE MERCIA DE ALBUQUERQUE")</f>
        <v>CRECHE MERCIA DE ALBUQUERQUE</v>
      </c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96"/>
    </row>
    <row r="50" ht="15.75" customHeight="1">
      <c r="A50" s="77"/>
      <c r="B50" s="77" t="str">
        <f>IFERROR(__xludf.DUMMYFUNCTION("""COMPUTED_VALUE"""),"08/06/2026 13:47:18")</f>
        <v>08/06/2026 13:47:18</v>
      </c>
      <c r="C50" s="83" t="str">
        <f>IFERROR(__xludf.DUMMYFUNCTION("""COMPUTED_VALUE"""),"5")</f>
        <v>5</v>
      </c>
      <c r="D50" s="77" t="str">
        <f>IFERROR(__xludf.DUMMYFUNCTION("""COMPUTED_VALUE"""),"L. M. B. B")</f>
        <v>L. M. B. B</v>
      </c>
      <c r="E50" s="77" t="str">
        <f>IFERROR(__xludf.DUMMYFUNCTION("""COMPUTED_VALUE"""),"11/02/2025")</f>
        <v>11/02/2025</v>
      </c>
      <c r="F50" s="77" t="str">
        <f>IFERROR(__xludf.DUMMYFUNCTION("""COMPUTED_VALUE"""),"005******01")</f>
        <v>005******01</v>
      </c>
      <c r="G50" s="77" t="str">
        <f>IFERROR(__xludf.DUMMYFUNCTION("""COMPUTED_VALUE"""),"INFANTIL 1")</f>
        <v>INFANTIL 1</v>
      </c>
      <c r="H50" s="77" t="str">
        <f>IFERROR(__xludf.DUMMYFUNCTION("""COMPUTED_VALUE"""),"CRECHE MERCIA DE ALBUQUERQUE")</f>
        <v>CRECHE MERCIA DE ALBUQUERQUE</v>
      </c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96"/>
    </row>
    <row r="51" ht="15.75" customHeight="1">
      <c r="A51" s="77"/>
      <c r="B51" s="77" t="str">
        <f>IFERROR(__xludf.DUMMYFUNCTION("""COMPUTED_VALUE"""),"30/01/2026 10:49:18")</f>
        <v>30/01/2026 10:49:18</v>
      </c>
      <c r="C51" s="83" t="str">
        <f>IFERROR(__xludf.DUMMYFUNCTION("""COMPUTED_VALUE"""),"1")</f>
        <v>1</v>
      </c>
      <c r="D51" s="77" t="str">
        <f>IFERROR(__xludf.DUMMYFUNCTION("""COMPUTED_VALUE"""),"E. C")</f>
        <v>E. C</v>
      </c>
      <c r="E51" s="77" t="str">
        <f>IFERROR(__xludf.DUMMYFUNCTION("""COMPUTED_VALUE"""),"25/09/2023")</f>
        <v>25/09/2023</v>
      </c>
      <c r="F51" s="77" t="str">
        <f>IFERROR(__xludf.DUMMYFUNCTION("""COMPUTED_VALUE"""),"002******62")</f>
        <v>002******62</v>
      </c>
      <c r="G51" s="77" t="str">
        <f>IFERROR(__xludf.DUMMYFUNCTION("""COMPUTED_VALUE"""),"INFANTIL 2")</f>
        <v>INFANTIL 2</v>
      </c>
      <c r="H51" s="77" t="str">
        <f>IFERROR(__xludf.DUMMYFUNCTION("""COMPUTED_VALUE"""),"CRECHE MERCIA DE ALBUQUERQUE")</f>
        <v>CRECHE MERCIA DE ALBUQUERQUE</v>
      </c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96"/>
    </row>
    <row r="52" ht="15.75" customHeight="1">
      <c r="A52" s="77"/>
      <c r="B52" s="77" t="str">
        <f>IFERROR(__xludf.DUMMYFUNCTION("""COMPUTED_VALUE"""),"02/03/2026 15:50:23")</f>
        <v>02/03/2026 15:50:23</v>
      </c>
      <c r="C52" s="83" t="str">
        <f>IFERROR(__xludf.DUMMYFUNCTION("""COMPUTED_VALUE"""),"2")</f>
        <v>2</v>
      </c>
      <c r="D52" s="77" t="str">
        <f>IFERROR(__xludf.DUMMYFUNCTION("""COMPUTED_VALUE"""),"J. H. D. S. F")</f>
        <v>J. H. D. S. F</v>
      </c>
      <c r="E52" s="77" t="str">
        <f>IFERROR(__xludf.DUMMYFUNCTION("""COMPUTED_VALUE"""),"25/07/2023")</f>
        <v>25/07/2023</v>
      </c>
      <c r="F52" s="77" t="str">
        <f>IFERROR(__xludf.DUMMYFUNCTION("""COMPUTED_VALUE"""),"186******29")</f>
        <v>186******29</v>
      </c>
      <c r="G52" s="77" t="str">
        <f>IFERROR(__xludf.DUMMYFUNCTION("""COMPUTED_VALUE"""),"INFANTIL 2")</f>
        <v>INFANTIL 2</v>
      </c>
      <c r="H52" s="77" t="str">
        <f>IFERROR(__xludf.DUMMYFUNCTION("""COMPUTED_VALUE"""),"CRECHE MERCIA DE ALBUQUERQUE")</f>
        <v>CRECHE MERCIA DE ALBUQUERQUE</v>
      </c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96"/>
    </row>
    <row r="53" ht="15.75" customHeight="1">
      <c r="A53" s="77"/>
      <c r="B53" s="77" t="str">
        <f>IFERROR(__xludf.DUMMYFUNCTION("""COMPUTED_VALUE"""),"11/03/2026 07:47:14")</f>
        <v>11/03/2026 07:47:14</v>
      </c>
      <c r="C53" s="83" t="str">
        <f>IFERROR(__xludf.DUMMYFUNCTION("""COMPUTED_VALUE"""),"3")</f>
        <v>3</v>
      </c>
      <c r="D53" s="77" t="str">
        <f>IFERROR(__xludf.DUMMYFUNCTION("""COMPUTED_VALUE"""),"T. D. B. D. S")</f>
        <v>T. D. B. D. S</v>
      </c>
      <c r="E53" s="77" t="str">
        <f>IFERROR(__xludf.DUMMYFUNCTION("""COMPUTED_VALUE"""),"22/09/2023")</f>
        <v>22/09/2023</v>
      </c>
      <c r="F53" s="77" t="str">
        <f>IFERROR(__xludf.DUMMYFUNCTION("""COMPUTED_VALUE"""),"000******40")</f>
        <v>000******40</v>
      </c>
      <c r="G53" s="77" t="str">
        <f>IFERROR(__xludf.DUMMYFUNCTION("""COMPUTED_VALUE"""),"INFANTIL 2")</f>
        <v>INFANTIL 2</v>
      </c>
      <c r="H53" s="77" t="str">
        <f>IFERROR(__xludf.DUMMYFUNCTION("""COMPUTED_VALUE"""),"CRECHE MERCIA DE ALBUQUERQUE")</f>
        <v>CRECHE MERCIA DE ALBUQUERQUE</v>
      </c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96"/>
    </row>
    <row r="54" ht="15.75" customHeight="1">
      <c r="A54" s="77"/>
      <c r="B54" s="77" t="str">
        <f>IFERROR(__xludf.DUMMYFUNCTION("""COMPUTED_VALUE"""),"25/03/2026 13:04:37")</f>
        <v>25/03/2026 13:04:37</v>
      </c>
      <c r="C54" s="83" t="str">
        <f>IFERROR(__xludf.DUMMYFUNCTION("""COMPUTED_VALUE"""),"4")</f>
        <v>4</v>
      </c>
      <c r="D54" s="77" t="str">
        <f>IFERROR(__xludf.DUMMYFUNCTION("""COMPUTED_VALUE"""),"B. L. S. D. S")</f>
        <v>B. L. S. D. S</v>
      </c>
      <c r="E54" s="77" t="str">
        <f>IFERROR(__xludf.DUMMYFUNCTION("""COMPUTED_VALUE"""),"14/10/2023")</f>
        <v>14/10/2023</v>
      </c>
      <c r="F54" s="77" t="str">
        <f>IFERROR(__xludf.DUMMYFUNCTION("""COMPUTED_VALUE"""),"000******08")</f>
        <v>000******08</v>
      </c>
      <c r="G54" s="77" t="str">
        <f>IFERROR(__xludf.DUMMYFUNCTION("""COMPUTED_VALUE"""),"INFANTIL 2")</f>
        <v>INFANTIL 2</v>
      </c>
      <c r="H54" s="77" t="str">
        <f>IFERROR(__xludf.DUMMYFUNCTION("""COMPUTED_VALUE"""),"CRECHE MERCIA DE ALBUQUERQUE")</f>
        <v>CRECHE MERCIA DE ALBUQUERQUE</v>
      </c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96"/>
    </row>
    <row r="55" ht="15.75" customHeight="1">
      <c r="A55" s="77"/>
      <c r="B55" s="77"/>
      <c r="C55" s="83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96"/>
    </row>
    <row r="56" ht="15.75" customHeight="1">
      <c r="A56" s="77"/>
      <c r="B56" s="77"/>
      <c r="C56" s="83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96"/>
    </row>
    <row r="57" ht="15.75" customHeight="1">
      <c r="A57" s="77"/>
      <c r="B57" s="77"/>
      <c r="C57" s="83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96"/>
    </row>
    <row r="58" ht="15.75" customHeight="1">
      <c r="A58" s="77"/>
      <c r="B58" s="77"/>
      <c r="C58" s="83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96"/>
    </row>
  </sheetData>
  <mergeCells count="17">
    <mergeCell ref="I5:J5"/>
    <mergeCell ref="I6:J6"/>
    <mergeCell ref="K6:L6"/>
    <mergeCell ref="M6:N6"/>
    <mergeCell ref="B4:C7"/>
    <mergeCell ref="B8:C10"/>
    <mergeCell ref="B11:C13"/>
    <mergeCell ref="B14:C16"/>
    <mergeCell ref="B17:C19"/>
    <mergeCell ref="B20:C22"/>
    <mergeCell ref="B2:Q2"/>
    <mergeCell ref="D4:D7"/>
    <mergeCell ref="E4:Q4"/>
    <mergeCell ref="E5:H5"/>
    <mergeCell ref="K5:P5"/>
    <mergeCell ref="Q5:Q6"/>
    <mergeCell ref="O6:P6"/>
  </mergeCells>
  <conditionalFormatting sqref="E8:N18 E20:N21">
    <cfRule type="containsBlanks" dxfId="7" priority="1">
      <formula>LEN(TRIM(E8))=0</formula>
    </cfRule>
  </conditionalFormatting>
  <printOptions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24.43"/>
    <col customWidth="1" min="3" max="3" width="8.86"/>
    <col customWidth="1" min="4" max="4" width="42.57"/>
    <col customWidth="1" min="5" max="5" width="15.86"/>
    <col customWidth="1" min="6" max="6" width="16.0"/>
    <col customWidth="1" min="7" max="7" width="13.29"/>
    <col customWidth="1" min="8" max="8" width="46.71"/>
    <col customWidth="1" min="9" max="9" width="6.43"/>
    <col customWidth="1" min="10" max="10" width="11.71"/>
    <col customWidth="1" min="11" max="11" width="6.57"/>
    <col customWidth="1" min="12" max="12" width="10.57"/>
    <col customWidth="1" min="13" max="13" width="7.14"/>
    <col customWidth="1" min="14" max="14" width="9.57"/>
    <col customWidth="1" min="15" max="15" width="4.57"/>
    <col customWidth="1" min="16" max="16" width="9.86"/>
    <col customWidth="1" hidden="1" min="18" max="24" width="14.43"/>
  </cols>
  <sheetData>
    <row r="1">
      <c r="A1" s="45"/>
      <c r="B1" s="45"/>
      <c r="C1" s="45"/>
      <c r="D1" s="45"/>
      <c r="E1" s="45"/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>
      <c r="A2" s="98"/>
      <c r="B2" s="98" t="s">
        <v>452</v>
      </c>
      <c r="R2" s="46"/>
      <c r="S2" s="46"/>
      <c r="T2" s="46"/>
      <c r="U2" s="46"/>
      <c r="V2" s="46"/>
      <c r="W2" s="46"/>
      <c r="X2" s="46"/>
    </row>
    <row r="3">
      <c r="A3" s="45"/>
      <c r="B3" s="45"/>
      <c r="C3" s="45"/>
      <c r="D3" s="45"/>
      <c r="E3" s="45"/>
      <c r="F3" s="45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>
      <c r="A4" s="99"/>
      <c r="B4" s="48" t="s">
        <v>17</v>
      </c>
      <c r="D4" s="49" t="s">
        <v>418</v>
      </c>
      <c r="E4" s="50" t="s">
        <v>419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6"/>
      <c r="S4" s="46"/>
      <c r="T4" s="46"/>
      <c r="U4" s="46"/>
      <c r="V4" s="46"/>
      <c r="W4" s="46"/>
      <c r="X4" s="46"/>
    </row>
    <row r="5">
      <c r="A5" s="99"/>
      <c r="B5" s="53"/>
      <c r="D5" s="54"/>
      <c r="E5" s="50" t="s">
        <v>420</v>
      </c>
      <c r="F5" s="51"/>
      <c r="G5" s="51"/>
      <c r="H5" s="52"/>
      <c r="I5" s="50" t="s">
        <v>421</v>
      </c>
      <c r="J5" s="52"/>
      <c r="K5" s="50" t="s">
        <v>422</v>
      </c>
      <c r="L5" s="51"/>
      <c r="M5" s="51"/>
      <c r="N5" s="51"/>
      <c r="O5" s="51"/>
      <c r="P5" s="52"/>
      <c r="Q5" s="55" t="s">
        <v>423</v>
      </c>
      <c r="R5" s="46"/>
      <c r="S5" s="46"/>
      <c r="T5" s="46"/>
      <c r="U5" s="46"/>
      <c r="V5" s="46"/>
      <c r="W5" s="46"/>
      <c r="X5" s="46"/>
    </row>
    <row r="6">
      <c r="A6" s="99"/>
      <c r="B6" s="53"/>
      <c r="D6" s="54"/>
      <c r="E6" s="56" t="s">
        <v>424</v>
      </c>
      <c r="F6" s="56" t="s">
        <v>425</v>
      </c>
      <c r="G6" s="56" t="s">
        <v>426</v>
      </c>
      <c r="H6" s="57" t="s">
        <v>427</v>
      </c>
      <c r="I6" s="50" t="s">
        <v>426</v>
      </c>
      <c r="J6" s="52"/>
      <c r="K6" s="50" t="s">
        <v>428</v>
      </c>
      <c r="L6" s="52"/>
      <c r="M6" s="50" t="s">
        <v>429</v>
      </c>
      <c r="N6" s="52"/>
      <c r="O6" s="58" t="s">
        <v>427</v>
      </c>
      <c r="P6" s="52"/>
      <c r="Q6" s="52"/>
      <c r="R6" s="46"/>
      <c r="S6" s="46"/>
      <c r="T6" s="46"/>
      <c r="U6" s="46"/>
      <c r="V6" s="46"/>
      <c r="W6" s="46"/>
      <c r="X6" s="46"/>
    </row>
    <row r="7">
      <c r="A7" s="99"/>
      <c r="B7" s="59"/>
      <c r="C7" s="51"/>
      <c r="D7" s="52"/>
      <c r="E7" s="56" t="s">
        <v>430</v>
      </c>
      <c r="F7" s="56" t="s">
        <v>430</v>
      </c>
      <c r="G7" s="56" t="s">
        <v>430</v>
      </c>
      <c r="H7" s="57" t="s">
        <v>430</v>
      </c>
      <c r="I7" s="56" t="s">
        <v>431</v>
      </c>
      <c r="J7" s="56" t="s">
        <v>432</v>
      </c>
      <c r="K7" s="56" t="s">
        <v>431</v>
      </c>
      <c r="L7" s="56" t="s">
        <v>432</v>
      </c>
      <c r="M7" s="56" t="s">
        <v>431</v>
      </c>
      <c r="N7" s="56" t="s">
        <v>432</v>
      </c>
      <c r="O7" s="57" t="s">
        <v>431</v>
      </c>
      <c r="P7" s="57" t="s">
        <v>432</v>
      </c>
      <c r="Q7" s="60" t="s">
        <v>433</v>
      </c>
      <c r="R7" s="46"/>
      <c r="S7" s="46"/>
      <c r="T7" s="46"/>
      <c r="U7" s="46"/>
      <c r="V7" s="46"/>
      <c r="W7" s="46"/>
      <c r="X7" s="46"/>
    </row>
    <row r="8">
      <c r="A8" s="68"/>
      <c r="B8" s="61" t="s">
        <v>453</v>
      </c>
      <c r="C8" s="54"/>
      <c r="D8" s="62" t="s">
        <v>435</v>
      </c>
      <c r="E8" s="63">
        <v>15.0</v>
      </c>
      <c r="F8" s="63">
        <v>15.0</v>
      </c>
      <c r="G8" s="63">
        <v>20.0</v>
      </c>
      <c r="H8" s="65">
        <v>50.0</v>
      </c>
      <c r="I8" s="64"/>
      <c r="J8" s="64"/>
      <c r="K8" s="63">
        <v>20.0</v>
      </c>
      <c r="L8" s="64"/>
      <c r="M8" s="64"/>
      <c r="N8" s="63">
        <v>20.0</v>
      </c>
      <c r="O8" s="65">
        <v>20.0</v>
      </c>
      <c r="P8" s="65">
        <v>20.0</v>
      </c>
      <c r="Q8" s="66">
        <v>90.0</v>
      </c>
      <c r="R8" s="46"/>
      <c r="S8" s="46"/>
      <c r="T8" s="46"/>
      <c r="U8" s="46"/>
      <c r="V8" s="46"/>
      <c r="W8" s="46"/>
      <c r="X8" s="46"/>
    </row>
    <row r="9">
      <c r="A9" s="68"/>
      <c r="B9" s="53"/>
      <c r="C9" s="54"/>
      <c r="D9" s="62" t="s">
        <v>436</v>
      </c>
      <c r="E9" s="63">
        <v>15.0</v>
      </c>
      <c r="F9" s="63">
        <v>15.0</v>
      </c>
      <c r="G9" s="63">
        <v>20.0</v>
      </c>
      <c r="H9" s="65">
        <v>50.0</v>
      </c>
      <c r="I9" s="63">
        <v>0.0</v>
      </c>
      <c r="J9" s="63">
        <v>0.0</v>
      </c>
      <c r="K9" s="63">
        <v>20.0</v>
      </c>
      <c r="L9" s="63">
        <v>0.0</v>
      </c>
      <c r="M9" s="64"/>
      <c r="N9" s="63">
        <v>11.0</v>
      </c>
      <c r="O9" s="65">
        <v>20.0</v>
      </c>
      <c r="P9" s="65">
        <v>11.0</v>
      </c>
      <c r="Q9" s="69">
        <v>81.0</v>
      </c>
      <c r="R9" s="46"/>
      <c r="S9" s="46"/>
      <c r="T9" s="46"/>
      <c r="U9" s="46"/>
      <c r="V9" s="46"/>
      <c r="W9" s="46"/>
      <c r="X9" s="46"/>
    </row>
    <row r="10">
      <c r="A10" s="68"/>
      <c r="B10" s="59"/>
      <c r="C10" s="52"/>
      <c r="D10" s="70" t="s">
        <v>437</v>
      </c>
      <c r="E10" s="71">
        <v>0.0</v>
      </c>
      <c r="F10" s="71">
        <v>0.0</v>
      </c>
      <c r="G10" s="71">
        <v>0.0</v>
      </c>
      <c r="H10" s="71">
        <v>0.0</v>
      </c>
      <c r="I10" s="71">
        <v>0.0</v>
      </c>
      <c r="J10" s="71">
        <v>0.0</v>
      </c>
      <c r="K10" s="71">
        <v>0.0</v>
      </c>
      <c r="L10" s="71">
        <v>0.0</v>
      </c>
      <c r="M10" s="71">
        <v>0.0</v>
      </c>
      <c r="N10" s="71">
        <v>9.0</v>
      </c>
      <c r="O10" s="71">
        <v>0.0</v>
      </c>
      <c r="P10" s="71">
        <v>9.0</v>
      </c>
      <c r="Q10" s="71">
        <v>9.0</v>
      </c>
      <c r="R10" s="46"/>
      <c r="S10" s="46"/>
      <c r="T10" s="46"/>
      <c r="U10" s="46"/>
      <c r="V10" s="46"/>
      <c r="W10" s="46"/>
      <c r="X10" s="46"/>
    </row>
    <row r="11">
      <c r="A11" s="68"/>
      <c r="B11" s="61" t="s">
        <v>360</v>
      </c>
      <c r="C11" s="54"/>
      <c r="D11" s="62" t="s">
        <v>435</v>
      </c>
      <c r="E11" s="64"/>
      <c r="F11" s="64"/>
      <c r="G11" s="64"/>
      <c r="H11" s="65">
        <v>0.0</v>
      </c>
      <c r="I11" s="63">
        <v>20.0</v>
      </c>
      <c r="J11" s="64"/>
      <c r="K11" s="63">
        <v>20.0</v>
      </c>
      <c r="L11" s="64"/>
      <c r="M11" s="64"/>
      <c r="N11" s="63">
        <v>40.0</v>
      </c>
      <c r="O11" s="65">
        <v>40.0</v>
      </c>
      <c r="P11" s="65">
        <v>40.0</v>
      </c>
      <c r="Q11" s="66">
        <v>80.0</v>
      </c>
      <c r="R11" s="46"/>
      <c r="S11" s="46"/>
      <c r="T11" s="46"/>
      <c r="U11" s="46"/>
      <c r="V11" s="46"/>
      <c r="W11" s="46"/>
      <c r="X11" s="46"/>
    </row>
    <row r="12">
      <c r="A12" s="68"/>
      <c r="B12" s="53"/>
      <c r="C12" s="54"/>
      <c r="D12" s="62" t="s">
        <v>436</v>
      </c>
      <c r="E12" s="63">
        <v>0.0</v>
      </c>
      <c r="F12" s="63">
        <v>0.0</v>
      </c>
      <c r="G12" s="63">
        <v>0.0</v>
      </c>
      <c r="H12" s="65">
        <v>0.0</v>
      </c>
      <c r="I12" s="63">
        <v>20.0</v>
      </c>
      <c r="J12" s="63">
        <v>0.0</v>
      </c>
      <c r="K12" s="63">
        <v>20.0</v>
      </c>
      <c r="L12" s="63">
        <v>0.0</v>
      </c>
      <c r="M12" s="63">
        <v>0.0</v>
      </c>
      <c r="N12" s="63">
        <v>40.0</v>
      </c>
      <c r="O12" s="65">
        <v>40.0</v>
      </c>
      <c r="P12" s="65">
        <v>40.0</v>
      </c>
      <c r="Q12" s="69">
        <v>80.0</v>
      </c>
      <c r="R12" s="46"/>
      <c r="S12" s="46"/>
      <c r="T12" s="46"/>
      <c r="U12" s="46"/>
      <c r="V12" s="46"/>
      <c r="W12" s="46"/>
      <c r="X12" s="46"/>
    </row>
    <row r="13">
      <c r="A13" s="68"/>
      <c r="B13" s="59"/>
      <c r="C13" s="52"/>
      <c r="D13" s="70" t="s">
        <v>437</v>
      </c>
      <c r="E13" s="71">
        <v>0.0</v>
      </c>
      <c r="F13" s="71">
        <v>0.0</v>
      </c>
      <c r="G13" s="71">
        <v>0.0</v>
      </c>
      <c r="H13" s="71">
        <v>0.0</v>
      </c>
      <c r="I13" s="71">
        <v>0.0</v>
      </c>
      <c r="J13" s="71">
        <v>0.0</v>
      </c>
      <c r="K13" s="71">
        <v>0.0</v>
      </c>
      <c r="L13" s="71">
        <v>0.0</v>
      </c>
      <c r="M13" s="71">
        <v>0.0</v>
      </c>
      <c r="N13" s="71">
        <v>0.0</v>
      </c>
      <c r="O13" s="71">
        <v>0.0</v>
      </c>
      <c r="P13" s="71">
        <v>0.0</v>
      </c>
      <c r="Q13" s="71">
        <v>0.0</v>
      </c>
      <c r="R13" s="46"/>
      <c r="S13" s="46"/>
      <c r="T13" s="46"/>
      <c r="U13" s="46"/>
      <c r="V13" s="46"/>
      <c r="W13" s="46"/>
      <c r="X13" s="46"/>
    </row>
    <row r="14">
      <c r="A14" s="68"/>
      <c r="B14" s="61" t="s">
        <v>362</v>
      </c>
      <c r="C14" s="54"/>
      <c r="D14" s="62" t="s">
        <v>435</v>
      </c>
      <c r="E14" s="64"/>
      <c r="F14" s="64"/>
      <c r="G14" s="64"/>
      <c r="H14" s="65">
        <v>0.0</v>
      </c>
      <c r="I14" s="63">
        <v>20.0</v>
      </c>
      <c r="J14" s="63">
        <v>20.0</v>
      </c>
      <c r="K14" s="63">
        <v>20.0</v>
      </c>
      <c r="L14" s="63">
        <v>20.0</v>
      </c>
      <c r="M14" s="63">
        <v>20.0</v>
      </c>
      <c r="N14" s="63">
        <v>20.0</v>
      </c>
      <c r="O14" s="65">
        <v>60.0</v>
      </c>
      <c r="P14" s="65">
        <v>60.0</v>
      </c>
      <c r="Q14" s="66">
        <v>120.0</v>
      </c>
      <c r="R14" s="46"/>
      <c r="S14" s="46"/>
      <c r="T14" s="46"/>
      <c r="U14" s="46"/>
      <c r="V14" s="46"/>
      <c r="W14" s="46"/>
      <c r="X14" s="46"/>
    </row>
    <row r="15">
      <c r="A15" s="68"/>
      <c r="B15" s="53"/>
      <c r="C15" s="54"/>
      <c r="D15" s="62" t="s">
        <v>436</v>
      </c>
      <c r="E15" s="63">
        <v>0.0</v>
      </c>
      <c r="F15" s="63">
        <v>0.0</v>
      </c>
      <c r="G15" s="63">
        <v>0.0</v>
      </c>
      <c r="H15" s="65">
        <v>0.0</v>
      </c>
      <c r="I15" s="63">
        <v>14.0</v>
      </c>
      <c r="J15" s="63">
        <v>20.0</v>
      </c>
      <c r="K15" s="63">
        <v>20.0</v>
      </c>
      <c r="L15" s="63">
        <v>20.0</v>
      </c>
      <c r="M15" s="63">
        <v>21.0</v>
      </c>
      <c r="N15" s="63">
        <v>21.0</v>
      </c>
      <c r="O15" s="65">
        <v>55.0</v>
      </c>
      <c r="P15" s="65">
        <v>61.0</v>
      </c>
      <c r="Q15" s="69">
        <v>116.0</v>
      </c>
      <c r="R15" s="46"/>
      <c r="S15" s="46"/>
      <c r="T15" s="46"/>
      <c r="U15" s="46"/>
      <c r="V15" s="46"/>
      <c r="W15" s="46"/>
      <c r="X15" s="46"/>
    </row>
    <row r="16">
      <c r="A16" s="68"/>
      <c r="B16" s="59"/>
      <c r="C16" s="52"/>
      <c r="D16" s="70" t="s">
        <v>437</v>
      </c>
      <c r="E16" s="71">
        <v>0.0</v>
      </c>
      <c r="F16" s="71">
        <v>0.0</v>
      </c>
      <c r="G16" s="71">
        <v>0.0</v>
      </c>
      <c r="H16" s="71">
        <v>0.0</v>
      </c>
      <c r="I16" s="71">
        <v>6.0</v>
      </c>
      <c r="J16" s="71">
        <v>0.0</v>
      </c>
      <c r="K16" s="71">
        <v>0.0</v>
      </c>
      <c r="L16" s="71">
        <v>0.0</v>
      </c>
      <c r="M16" s="71">
        <v>-1.0</v>
      </c>
      <c r="N16" s="71">
        <v>-1.0</v>
      </c>
      <c r="O16" s="71">
        <v>5.0</v>
      </c>
      <c r="P16" s="71">
        <v>-1.0</v>
      </c>
      <c r="Q16" s="71">
        <v>4.0</v>
      </c>
      <c r="R16" s="46"/>
      <c r="S16" s="46"/>
      <c r="T16" s="46"/>
      <c r="U16" s="46"/>
      <c r="V16" s="46"/>
      <c r="W16" s="46"/>
      <c r="X16" s="46"/>
    </row>
    <row r="17">
      <c r="A17" s="68"/>
      <c r="B17" s="61" t="s">
        <v>454</v>
      </c>
      <c r="C17" s="54"/>
      <c r="D17" s="62" t="s">
        <v>435</v>
      </c>
      <c r="E17" s="63">
        <v>30.0</v>
      </c>
      <c r="F17" s="63">
        <v>40.0</v>
      </c>
      <c r="G17" s="63">
        <v>60.0</v>
      </c>
      <c r="H17" s="65">
        <v>130.0</v>
      </c>
      <c r="I17" s="64"/>
      <c r="J17" s="64"/>
      <c r="K17" s="63">
        <v>40.0</v>
      </c>
      <c r="L17" s="63">
        <v>40.0</v>
      </c>
      <c r="M17" s="63">
        <v>20.0</v>
      </c>
      <c r="N17" s="63">
        <v>20.0</v>
      </c>
      <c r="O17" s="65">
        <v>60.0</v>
      </c>
      <c r="P17" s="65">
        <v>60.0</v>
      </c>
      <c r="Q17" s="66">
        <v>250.0</v>
      </c>
      <c r="R17" s="46"/>
      <c r="S17" s="46"/>
      <c r="T17" s="46"/>
      <c r="U17" s="46"/>
      <c r="V17" s="46"/>
      <c r="W17" s="46"/>
      <c r="X17" s="46"/>
    </row>
    <row r="18">
      <c r="A18" s="68"/>
      <c r="B18" s="53"/>
      <c r="C18" s="54"/>
      <c r="D18" s="62" t="s">
        <v>436</v>
      </c>
      <c r="E18" s="63">
        <v>30.0</v>
      </c>
      <c r="F18" s="63">
        <v>40.0</v>
      </c>
      <c r="G18" s="63">
        <v>60.0</v>
      </c>
      <c r="H18" s="65">
        <v>129.0</v>
      </c>
      <c r="I18" s="63">
        <v>0.0</v>
      </c>
      <c r="J18" s="63">
        <v>0.0</v>
      </c>
      <c r="K18" s="63">
        <v>19.0</v>
      </c>
      <c r="L18" s="63">
        <v>40.0</v>
      </c>
      <c r="M18" s="63">
        <v>12.0</v>
      </c>
      <c r="N18" s="63">
        <v>19.0</v>
      </c>
      <c r="O18" s="65">
        <v>31.0</v>
      </c>
      <c r="P18" s="65">
        <v>59.0</v>
      </c>
      <c r="Q18" s="69">
        <v>219.0</v>
      </c>
      <c r="R18" s="46"/>
      <c r="S18" s="46"/>
      <c r="T18" s="46"/>
      <c r="U18" s="46"/>
      <c r="V18" s="46"/>
      <c r="W18" s="46"/>
      <c r="X18" s="46"/>
    </row>
    <row r="19">
      <c r="A19" s="68"/>
      <c r="B19" s="59"/>
      <c r="C19" s="52"/>
      <c r="D19" s="70" t="s">
        <v>437</v>
      </c>
      <c r="E19" s="71">
        <v>0.0</v>
      </c>
      <c r="F19" s="71">
        <v>0.0</v>
      </c>
      <c r="G19" s="71">
        <v>0.0</v>
      </c>
      <c r="H19" s="71">
        <v>1.0</v>
      </c>
      <c r="I19" s="71">
        <v>0.0</v>
      </c>
      <c r="J19" s="71">
        <v>0.0</v>
      </c>
      <c r="K19" s="71">
        <v>21.0</v>
      </c>
      <c r="L19" s="71">
        <v>0.0</v>
      </c>
      <c r="M19" s="71">
        <v>8.0</v>
      </c>
      <c r="N19" s="71">
        <v>1.0</v>
      </c>
      <c r="O19" s="71">
        <v>29.0</v>
      </c>
      <c r="P19" s="71">
        <v>1.0</v>
      </c>
      <c r="Q19" s="71">
        <v>31.0</v>
      </c>
      <c r="R19" s="46"/>
      <c r="S19" s="46"/>
      <c r="T19" s="46"/>
      <c r="U19" s="46"/>
      <c r="V19" s="46"/>
      <c r="W19" s="46"/>
      <c r="X19" s="46"/>
    </row>
    <row r="20">
      <c r="A20" s="68"/>
      <c r="B20" s="61" t="s">
        <v>455</v>
      </c>
      <c r="C20" s="54"/>
      <c r="D20" s="62" t="s">
        <v>435</v>
      </c>
      <c r="E20" s="63">
        <v>15.0</v>
      </c>
      <c r="F20" s="63">
        <v>30.0</v>
      </c>
      <c r="G20" s="63">
        <v>20.0</v>
      </c>
      <c r="H20" s="65">
        <v>65.0</v>
      </c>
      <c r="I20" s="64"/>
      <c r="J20" s="64"/>
      <c r="K20" s="64"/>
      <c r="L20" s="64"/>
      <c r="M20" s="64"/>
      <c r="N20" s="64"/>
      <c r="O20" s="65">
        <v>0.0</v>
      </c>
      <c r="P20" s="65">
        <v>0.0</v>
      </c>
      <c r="Q20" s="66">
        <v>65.0</v>
      </c>
      <c r="R20" s="46"/>
      <c r="S20" s="46"/>
      <c r="T20" s="46"/>
      <c r="U20" s="46"/>
      <c r="V20" s="46"/>
      <c r="W20" s="46"/>
      <c r="X20" s="46"/>
    </row>
    <row r="21" ht="15.75" customHeight="1">
      <c r="A21" s="68"/>
      <c r="B21" s="53"/>
      <c r="C21" s="54"/>
      <c r="D21" s="62" t="s">
        <v>436</v>
      </c>
      <c r="E21" s="63">
        <v>15.0</v>
      </c>
      <c r="F21" s="63">
        <v>30.0</v>
      </c>
      <c r="G21" s="63">
        <v>20.0</v>
      </c>
      <c r="H21" s="65">
        <v>46.0</v>
      </c>
      <c r="I21" s="63">
        <v>0.0</v>
      </c>
      <c r="J21" s="63">
        <v>0.0</v>
      </c>
      <c r="K21" s="63">
        <v>0.0</v>
      </c>
      <c r="L21" s="63">
        <v>0.0</v>
      </c>
      <c r="M21" s="63">
        <v>0.0</v>
      </c>
      <c r="N21" s="63">
        <v>0.0</v>
      </c>
      <c r="O21" s="65">
        <v>0.0</v>
      </c>
      <c r="P21" s="65">
        <v>0.0</v>
      </c>
      <c r="Q21" s="69">
        <v>46.0</v>
      </c>
      <c r="R21" s="46"/>
      <c r="S21" s="46"/>
      <c r="T21" s="46"/>
      <c r="U21" s="46"/>
      <c r="V21" s="46"/>
      <c r="W21" s="46"/>
      <c r="X21" s="46"/>
    </row>
    <row r="22" ht="15.75" customHeight="1">
      <c r="A22" s="68"/>
      <c r="B22" s="59"/>
      <c r="C22" s="52"/>
      <c r="D22" s="70" t="s">
        <v>437</v>
      </c>
      <c r="E22" s="93">
        <v>0.0</v>
      </c>
      <c r="F22" s="93">
        <v>0.0</v>
      </c>
      <c r="G22" s="93">
        <v>0.0</v>
      </c>
      <c r="H22" s="93">
        <v>19.0</v>
      </c>
      <c r="I22" s="93">
        <v>0.0</v>
      </c>
      <c r="J22" s="93">
        <v>0.0</v>
      </c>
      <c r="K22" s="93">
        <v>0.0</v>
      </c>
      <c r="L22" s="93">
        <v>0.0</v>
      </c>
      <c r="M22" s="93">
        <v>0.0</v>
      </c>
      <c r="N22" s="93">
        <v>0.0</v>
      </c>
      <c r="O22" s="71">
        <v>0.0</v>
      </c>
      <c r="P22" s="71">
        <v>0.0</v>
      </c>
      <c r="Q22" s="71">
        <v>19.0</v>
      </c>
      <c r="R22" s="46"/>
      <c r="S22" s="46"/>
      <c r="T22" s="46"/>
      <c r="U22" s="46"/>
      <c r="V22" s="46"/>
      <c r="W22" s="46"/>
      <c r="X22" s="46"/>
    </row>
    <row r="23" ht="15.75" customHeight="1">
      <c r="A23" s="45"/>
      <c r="B23" s="45"/>
      <c r="C23" s="45"/>
      <c r="D23" s="45"/>
      <c r="E23" s="45"/>
      <c r="F23" s="45"/>
      <c r="G23" s="45"/>
      <c r="H23" s="45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ht="15.75" customHeight="1">
      <c r="A24" s="45"/>
      <c r="B24" s="45"/>
      <c r="C24" s="45"/>
      <c r="D24" s="45"/>
      <c r="E24" s="45"/>
      <c r="F24" s="45"/>
      <c r="G24" s="45"/>
      <c r="H24" s="45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</row>
    <row r="25">
      <c r="A25" s="112"/>
      <c r="B25" s="113" t="s">
        <v>411</v>
      </c>
      <c r="C25" s="114" t="s">
        <v>7</v>
      </c>
      <c r="D25" s="114" t="s">
        <v>412</v>
      </c>
      <c r="E25" s="114" t="s">
        <v>413</v>
      </c>
      <c r="F25" s="114" t="s">
        <v>11</v>
      </c>
      <c r="G25" s="115" t="s">
        <v>414</v>
      </c>
      <c r="H25" s="115" t="s">
        <v>415</v>
      </c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7"/>
    </row>
    <row r="26" ht="15.75" customHeight="1">
      <c r="A26" s="78"/>
      <c r="B26" s="78" t="str">
        <f>IFERROR(__xludf.DUMMYFUNCTION("QUERY(dados_02!$A$2:$H$675, ""SELECT Col1, Col2, Col3, Col4, Col5, Col6, Col7  where Col8 = 'REGIONAL 7' "")"),"24/03/2026 13:31:53")</f>
        <v>24/03/2026 13:31:53</v>
      </c>
      <c r="C26" s="79" t="str">
        <f>IFERROR(__xludf.DUMMYFUNCTION("""COMPUTED_VALUE"""),"1")</f>
        <v>1</v>
      </c>
      <c r="D26" s="80" t="str">
        <f>IFERROR(__xludf.DUMMYFUNCTION("""COMPUTED_VALUE"""),"M. E. S. F. D. S")</f>
        <v>M. E. S. F. D. S</v>
      </c>
      <c r="E26" s="81" t="str">
        <f>IFERROR(__xludf.DUMMYFUNCTION("""COMPUTED_VALUE"""),"09/06/2024")</f>
        <v>09/06/2024</v>
      </c>
      <c r="F26" s="80" t="str">
        <f>IFERROR(__xludf.DUMMYFUNCTION("""COMPUTED_VALUE"""),"004******90")</f>
        <v>004******90</v>
      </c>
      <c r="G26" s="80" t="str">
        <f>IFERROR(__xludf.DUMMYFUNCTION("""COMPUTED_VALUE"""),"INFANTIL 1")</f>
        <v>INFANTIL 1</v>
      </c>
      <c r="H26" s="95" t="str">
        <f>IFERROR(__xludf.DUMMYFUNCTION("""COMPUTED_VALUE"""),"CEMEI DR. PAULO MENDES")</f>
        <v>CEMEI DR. PAULO MENDES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96"/>
    </row>
    <row r="27" ht="15.75" customHeight="1">
      <c r="A27" s="78"/>
      <c r="B27" s="78" t="str">
        <f>IFERROR(__xludf.DUMMYFUNCTION("""COMPUTED_VALUE"""),"27/03/2026 12:51:51")</f>
        <v>27/03/2026 12:51:51</v>
      </c>
      <c r="C27" s="79" t="str">
        <f>IFERROR(__xludf.DUMMYFUNCTION("""COMPUTED_VALUE"""),"2")</f>
        <v>2</v>
      </c>
      <c r="D27" s="80" t="str">
        <f>IFERROR(__xludf.DUMMYFUNCTION("""COMPUTED_VALUE"""),"O. B. D. S. L")</f>
        <v>O. B. D. S. L</v>
      </c>
      <c r="E27" s="81" t="str">
        <f>IFERROR(__xludf.DUMMYFUNCTION("""COMPUTED_VALUE"""),"13/11/2025")</f>
        <v>13/11/2025</v>
      </c>
      <c r="F27" s="80" t="str">
        <f>IFERROR(__xludf.DUMMYFUNCTION("""COMPUTED_VALUE"""),"022******00")</f>
        <v>022******00</v>
      </c>
      <c r="G27" s="80" t="str">
        <f>IFERROR(__xludf.DUMMYFUNCTION("""COMPUTED_VALUE"""),"INFANTIL 1")</f>
        <v>INFANTIL 1</v>
      </c>
      <c r="H27" s="95" t="str">
        <f>IFERROR(__xludf.DUMMYFUNCTION("""COMPUTED_VALUE"""),"CEMEI DR. PAULO MENDES")</f>
        <v>CEMEI DR. PAULO MENDES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96"/>
    </row>
    <row r="28" ht="15.75" customHeight="1">
      <c r="A28" s="78"/>
      <c r="B28" s="78" t="str">
        <f>IFERROR(__xludf.DUMMYFUNCTION("""COMPUTED_VALUE"""),"21/05/2026 11:32:39")</f>
        <v>21/05/2026 11:32:39</v>
      </c>
      <c r="C28" s="79" t="str">
        <f>IFERROR(__xludf.DUMMYFUNCTION("""COMPUTED_VALUE"""),"3")</f>
        <v>3</v>
      </c>
      <c r="D28" s="80" t="str">
        <f>IFERROR(__xludf.DUMMYFUNCTION("""COMPUTED_VALUE"""),"K. H. D. A. S")</f>
        <v>K. H. D. A. S</v>
      </c>
      <c r="E28" s="81" t="str">
        <f>IFERROR(__xludf.DUMMYFUNCTION("""COMPUTED_VALUE"""),"01/04/2024")</f>
        <v>01/04/2024</v>
      </c>
      <c r="F28" s="80" t="str">
        <f>IFERROR(__xludf.DUMMYFUNCTION("""COMPUTED_VALUE"""),"002******69")</f>
        <v>002******69</v>
      </c>
      <c r="G28" s="80" t="str">
        <f>IFERROR(__xludf.DUMMYFUNCTION("""COMPUTED_VALUE"""),"INFANTIL 1")</f>
        <v>INFANTIL 1</v>
      </c>
      <c r="H28" s="95" t="str">
        <f>IFERROR(__xludf.DUMMYFUNCTION("""COMPUTED_VALUE"""),"CEMEI DR. PAULO MENDES")</f>
        <v>CEMEI DR. PAULO MENDES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96"/>
    </row>
    <row r="29" ht="15.75" customHeight="1">
      <c r="A29" s="78"/>
      <c r="B29" s="78" t="str">
        <f>IFERROR(__xludf.DUMMYFUNCTION("""COMPUTED_VALUE"""),"22/05/2026 09:22:30")</f>
        <v>22/05/2026 09:22:30</v>
      </c>
      <c r="C29" s="79" t="str">
        <f>IFERROR(__xludf.DUMMYFUNCTION("""COMPUTED_VALUE"""),"4")</f>
        <v>4</v>
      </c>
      <c r="D29" s="80" t="str">
        <f>IFERROR(__xludf.DUMMYFUNCTION("""COMPUTED_VALUE"""),"A. E. M. d. S")</f>
        <v>A. E. M. d. S</v>
      </c>
      <c r="E29" s="81" t="str">
        <f>IFERROR(__xludf.DUMMYFUNCTION("""COMPUTED_VALUE"""),"27/07/2024")</f>
        <v>27/07/2024</v>
      </c>
      <c r="F29" s="80" t="str">
        <f>IFERROR(__xludf.DUMMYFUNCTION("""COMPUTED_VALUE"""),"003******46")</f>
        <v>003******46</v>
      </c>
      <c r="G29" s="80" t="str">
        <f>IFERROR(__xludf.DUMMYFUNCTION("""COMPUTED_VALUE"""),"INFANTIL 1")</f>
        <v>INFANTIL 1</v>
      </c>
      <c r="H29" s="95" t="str">
        <f>IFERROR(__xludf.DUMMYFUNCTION("""COMPUTED_VALUE"""),"CEMEI DR. PAULO MENDES")</f>
        <v>CEMEI DR. PAULO MENDES</v>
      </c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96"/>
    </row>
    <row r="30" ht="15.75" customHeight="1">
      <c r="A30" s="78"/>
      <c r="B30" s="78" t="str">
        <f>IFERROR(__xludf.DUMMYFUNCTION("""COMPUTED_VALUE"""),"23/06/2026 09:32:02")</f>
        <v>23/06/2026 09:32:02</v>
      </c>
      <c r="C30" s="79" t="str">
        <f>IFERROR(__xludf.DUMMYFUNCTION("""COMPUTED_VALUE"""),"5")</f>
        <v>5</v>
      </c>
      <c r="D30" s="80" t="str">
        <f>IFERROR(__xludf.DUMMYFUNCTION("""COMPUTED_VALUE"""),"M. L. T. D. M")</f>
        <v>M. L. T. D. M</v>
      </c>
      <c r="E30" s="81" t="str">
        <f>IFERROR(__xludf.DUMMYFUNCTION("""COMPUTED_VALUE"""),"25/11/2024")</f>
        <v>25/11/2024</v>
      </c>
      <c r="F30" s="80" t="str">
        <f>IFERROR(__xludf.DUMMYFUNCTION("""COMPUTED_VALUE"""),"004******93")</f>
        <v>004******93</v>
      </c>
      <c r="G30" s="80" t="str">
        <f>IFERROR(__xludf.DUMMYFUNCTION("""COMPUTED_VALUE"""),"INFANTIL 1")</f>
        <v>INFANTIL 1</v>
      </c>
      <c r="H30" s="95" t="str">
        <f>IFERROR(__xludf.DUMMYFUNCTION("""COMPUTED_VALUE"""),"CEMEI DR. PAULO MENDES")</f>
        <v>CEMEI DR. PAULO MENDES</v>
      </c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96"/>
    </row>
    <row r="31" ht="15.75" customHeight="1">
      <c r="A31" s="78"/>
      <c r="B31" s="78" t="str">
        <f>IFERROR(__xludf.DUMMYFUNCTION("""COMPUTED_VALUE"""),"23/06/2026 09:36:48")</f>
        <v>23/06/2026 09:36:48</v>
      </c>
      <c r="C31" s="79" t="str">
        <f>IFERROR(__xludf.DUMMYFUNCTION("""COMPUTED_VALUE"""),"6")</f>
        <v>6</v>
      </c>
      <c r="D31" s="80" t="str">
        <f>IFERROR(__xludf.DUMMYFUNCTION("""COMPUTED_VALUE"""),"F. L. T. D. M")</f>
        <v>F. L. T. D. M</v>
      </c>
      <c r="E31" s="81" t="str">
        <f>IFERROR(__xludf.DUMMYFUNCTION("""COMPUTED_VALUE"""),"25/11/2024")</f>
        <v>25/11/2024</v>
      </c>
      <c r="F31" s="80" t="str">
        <f>IFERROR(__xludf.DUMMYFUNCTION("""COMPUTED_VALUE"""),"004******05")</f>
        <v>004******05</v>
      </c>
      <c r="G31" s="80" t="str">
        <f>IFERROR(__xludf.DUMMYFUNCTION("""COMPUTED_VALUE"""),"INFANTIL 1")</f>
        <v>INFANTIL 1</v>
      </c>
      <c r="H31" s="95" t="str">
        <f>IFERROR(__xludf.DUMMYFUNCTION("""COMPUTED_VALUE"""),"CEMEI DR. PAULO MENDES")</f>
        <v>CEMEI DR. PAULO MENDES</v>
      </c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96"/>
    </row>
    <row r="32" ht="15.75" customHeight="1">
      <c r="A32" s="78"/>
      <c r="B32" s="78" t="str">
        <f>IFERROR(__xludf.DUMMYFUNCTION("""COMPUTED_VALUE"""),"10/06/2026 11:22:14")</f>
        <v>10/06/2026 11:22:14</v>
      </c>
      <c r="C32" s="79" t="str">
        <f>IFERROR(__xludf.DUMMYFUNCTION("""COMPUTED_VALUE"""),"1")</f>
        <v>1</v>
      </c>
      <c r="D32" s="80" t="str">
        <f>IFERROR(__xludf.DUMMYFUNCTION("""COMPUTED_VALUE"""),"B. G. S. D. S")</f>
        <v>B. G. S. D. S</v>
      </c>
      <c r="E32" s="81" t="str">
        <f>IFERROR(__xludf.DUMMYFUNCTION("""COMPUTED_VALUE"""),"10/11/2023")</f>
        <v>10/11/2023</v>
      </c>
      <c r="F32" s="80" t="str">
        <f>IFERROR(__xludf.DUMMYFUNCTION("""COMPUTED_VALUE"""),"001******18")</f>
        <v>001******18</v>
      </c>
      <c r="G32" s="80" t="str">
        <f>IFERROR(__xludf.DUMMYFUNCTION("""COMPUTED_VALUE"""),"INFANTIL 2")</f>
        <v>INFANTIL 2</v>
      </c>
      <c r="H32" s="95" t="str">
        <f>IFERROR(__xludf.DUMMYFUNCTION("""COMPUTED_VALUE"""),"CEMEI DR. PAULO MENDES")</f>
        <v>CEMEI DR. PAULO MENDES</v>
      </c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96"/>
    </row>
    <row r="33" ht="15.75" customHeight="1">
      <c r="A33" s="78"/>
      <c r="B33" s="78" t="str">
        <f>IFERROR(__xludf.DUMMYFUNCTION("""COMPUTED_VALUE"""),"05/03/2026 14:41:21")</f>
        <v>05/03/2026 14:41:21</v>
      </c>
      <c r="C33" s="79" t="str">
        <f>IFERROR(__xludf.DUMMYFUNCTION("""COMPUTED_VALUE"""),"1")</f>
        <v>1</v>
      </c>
      <c r="D33" s="80" t="str">
        <f>IFERROR(__xludf.DUMMYFUNCTION("""COMPUTED_VALUE"""),"I. L. G. D. S")</f>
        <v>I. L. G. D. S</v>
      </c>
      <c r="E33" s="81" t="str">
        <f>IFERROR(__xludf.DUMMYFUNCTION("""COMPUTED_VALUE"""),"04/03/2023")</f>
        <v>04/03/2023</v>
      </c>
      <c r="F33" s="80" t="str">
        <f>IFERROR(__xludf.DUMMYFUNCTION("""COMPUTED_VALUE"""),"184******23")</f>
        <v>184******23</v>
      </c>
      <c r="G33" s="80" t="str">
        <f>IFERROR(__xludf.DUMMYFUNCTION("""COMPUTED_VALUE"""),"INFANTIL 3")</f>
        <v>INFANTIL 3</v>
      </c>
      <c r="H33" s="95" t="str">
        <f>IFERROR(__xludf.DUMMYFUNCTION("""COMPUTED_VALUE"""),"CEMEI DR. PAULO MENDES")</f>
        <v>CEMEI DR. PAULO MENDES</v>
      </c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96"/>
    </row>
    <row r="34" ht="15.75" customHeight="1">
      <c r="A34" s="78"/>
      <c r="B34" s="78" t="str">
        <f>IFERROR(__xludf.DUMMYFUNCTION("""COMPUTED_VALUE"""),"15/05/2026 11:07:04")</f>
        <v>15/05/2026 11:07:04</v>
      </c>
      <c r="C34" s="79" t="str">
        <f>IFERROR(__xludf.DUMMYFUNCTION("""COMPUTED_VALUE"""),"2")</f>
        <v>2</v>
      </c>
      <c r="D34" s="80" t="str">
        <f>IFERROR(__xludf.DUMMYFUNCTION("""COMPUTED_VALUE"""),"A. M. D. B")</f>
        <v>A. M. D. B</v>
      </c>
      <c r="E34" s="81" t="str">
        <f>IFERROR(__xludf.DUMMYFUNCTION("""COMPUTED_VALUE"""),"04/08/2022")</f>
        <v>04/08/2022</v>
      </c>
      <c r="F34" s="80" t="str">
        <f>IFERROR(__xludf.DUMMYFUNCTION("""COMPUTED_VALUE"""),"182******30")</f>
        <v>182******30</v>
      </c>
      <c r="G34" s="80" t="str">
        <f>IFERROR(__xludf.DUMMYFUNCTION("""COMPUTED_VALUE"""),"INFANTIL 3")</f>
        <v>INFANTIL 3</v>
      </c>
      <c r="H34" s="95" t="str">
        <f>IFERROR(__xludf.DUMMYFUNCTION("""COMPUTED_VALUE"""),"CEMEI DR. PAULO MENDES")</f>
        <v>CEMEI DR. PAULO MENDES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96"/>
    </row>
    <row r="35" ht="15.75" customHeight="1">
      <c r="A35" s="78"/>
      <c r="B35" s="78" t="str">
        <f>IFERROR(__xludf.DUMMYFUNCTION("""COMPUTED_VALUE"""),"18/05/2026 09:15:19")</f>
        <v>18/05/2026 09:15:19</v>
      </c>
      <c r="C35" s="79" t="str">
        <f>IFERROR(__xludf.DUMMYFUNCTION("""COMPUTED_VALUE"""),"3")</f>
        <v>3</v>
      </c>
      <c r="D35" s="80" t="str">
        <f>IFERROR(__xludf.DUMMYFUNCTION("""COMPUTED_VALUE"""),"H. V. S. D")</f>
        <v>H. V. S. D</v>
      </c>
      <c r="E35" s="81" t="str">
        <f>IFERROR(__xludf.DUMMYFUNCTION("""COMPUTED_VALUE"""),"11/01/2023")</f>
        <v>11/01/2023</v>
      </c>
      <c r="F35" s="80" t="str">
        <f>IFERROR(__xludf.DUMMYFUNCTION("""COMPUTED_VALUE"""),"184******20")</f>
        <v>184******20</v>
      </c>
      <c r="G35" s="80" t="str">
        <f>IFERROR(__xludf.DUMMYFUNCTION("""COMPUTED_VALUE"""),"INFANTIL 3")</f>
        <v>INFANTIL 3</v>
      </c>
      <c r="H35" s="95" t="str">
        <f>IFERROR(__xludf.DUMMYFUNCTION("""COMPUTED_VALUE"""),"CEMEI DR. PAULO MENDES")</f>
        <v>CEMEI DR. PAULO MENDES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96"/>
    </row>
    <row r="36" ht="15.75" customHeight="1">
      <c r="A36" s="78"/>
      <c r="B36" s="78" t="str">
        <f>IFERROR(__xludf.DUMMYFUNCTION("""COMPUTED_VALUE"""),"06/02/2026 09:17:41")</f>
        <v>06/02/2026 09:17:41</v>
      </c>
      <c r="C36" s="79" t="str">
        <f>IFERROR(__xludf.DUMMYFUNCTION("""COMPUTED_VALUE"""),"1")</f>
        <v>1</v>
      </c>
      <c r="D36" s="80" t="str">
        <f>IFERROR(__xludf.DUMMYFUNCTION("""COMPUTED_VALUE"""),"J. V. C. C")</f>
        <v>J. V. C. C</v>
      </c>
      <c r="E36" s="81" t="str">
        <f>IFERROR(__xludf.DUMMYFUNCTION("""COMPUTED_VALUE"""),"26/03/2023")</f>
        <v>26/03/2023</v>
      </c>
      <c r="F36" s="80" t="str">
        <f>IFERROR(__xludf.DUMMYFUNCTION("""COMPUTED_VALUE"""),"184******42")</f>
        <v>184******42</v>
      </c>
      <c r="G36" s="80" t="str">
        <f>IFERROR(__xludf.DUMMYFUNCTION("""COMPUTED_VALUE"""),"INFANTIL 3")</f>
        <v>INFANTIL 3</v>
      </c>
      <c r="H36" s="95" t="str">
        <f>IFERROR(__xludf.DUMMYFUNCTION("""COMPUTED_VALUE"""),"CEMEI ELIEL EUSTAQUIO DA SILVA")</f>
        <v>CEMEI ELIEL EUSTAQUIO DA SILVA</v>
      </c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96"/>
    </row>
    <row r="37" ht="15.75" customHeight="1">
      <c r="A37" s="77"/>
      <c r="B37" s="77" t="str">
        <f>IFERROR(__xludf.DUMMYFUNCTION("""COMPUTED_VALUE"""),"04/05/2026 08:16:17")</f>
        <v>04/05/2026 08:16:17</v>
      </c>
      <c r="C37" s="83" t="str">
        <f>IFERROR(__xludf.DUMMYFUNCTION("""COMPUTED_VALUE"""),"2")</f>
        <v>2</v>
      </c>
      <c r="D37" s="77" t="str">
        <f>IFERROR(__xludf.DUMMYFUNCTION("""COMPUTED_VALUE"""),"A. A. D. P. S")</f>
        <v>A. A. D. P. S</v>
      </c>
      <c r="E37" s="77" t="str">
        <f>IFERROR(__xludf.DUMMYFUNCTION("""COMPUTED_VALUE"""),"24/12/2022")</f>
        <v>24/12/2022</v>
      </c>
      <c r="F37" s="77" t="str">
        <f>IFERROR(__xludf.DUMMYFUNCTION("""COMPUTED_VALUE"""),"183******09")</f>
        <v>183******09</v>
      </c>
      <c r="G37" s="77" t="str">
        <f>IFERROR(__xludf.DUMMYFUNCTION("""COMPUTED_VALUE"""),"INFANTIL 3")</f>
        <v>INFANTIL 3</v>
      </c>
      <c r="H37" s="97" t="str">
        <f>IFERROR(__xludf.DUMMYFUNCTION("""COMPUTED_VALUE"""),"CEMEI ELIEL EUSTAQUIO DA SILVA")</f>
        <v>CEMEI ELIEL EUSTAQUIO DA SILVA</v>
      </c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96"/>
    </row>
    <row r="38" ht="15.75" customHeight="1">
      <c r="A38" s="77"/>
      <c r="B38" s="77" t="str">
        <f>IFERROR(__xludf.DUMMYFUNCTION("""COMPUTED_VALUE"""),"22/06/2026 14:09:23")</f>
        <v>22/06/2026 14:09:23</v>
      </c>
      <c r="C38" s="83" t="str">
        <f>IFERROR(__xludf.DUMMYFUNCTION("""COMPUTED_VALUE"""),"3")</f>
        <v>3</v>
      </c>
      <c r="D38" s="77" t="str">
        <f>IFERROR(__xludf.DUMMYFUNCTION("""COMPUTED_VALUE"""),"I. V. d. S")</f>
        <v>I. V. d. S</v>
      </c>
      <c r="E38" s="77" t="str">
        <f>IFERROR(__xludf.DUMMYFUNCTION("""COMPUTED_VALUE"""),"07/04/2022")</f>
        <v>07/04/2022</v>
      </c>
      <c r="F38" s="77" t="str">
        <f>IFERROR(__xludf.DUMMYFUNCTION("""COMPUTED_VALUE"""),"181******03")</f>
        <v>181******03</v>
      </c>
      <c r="G38" s="77" t="str">
        <f>IFERROR(__xludf.DUMMYFUNCTION("""COMPUTED_VALUE"""),"INFANTIL 3")</f>
        <v>INFANTIL 3</v>
      </c>
      <c r="H38" s="97" t="str">
        <f>IFERROR(__xludf.DUMMYFUNCTION("""COMPUTED_VALUE"""),"CEMEI ELIEL EUSTAQUIO DA SILVA")</f>
        <v>CEMEI ELIEL EUSTAQUIO DA SILVA</v>
      </c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96"/>
    </row>
    <row r="39" ht="15.75" customHeight="1">
      <c r="A39" s="77"/>
      <c r="B39" s="77" t="str">
        <f>IFERROR(__xludf.DUMMYFUNCTION("""COMPUTED_VALUE"""),"02/02/2026 09:13:57")</f>
        <v>02/02/2026 09:13:57</v>
      </c>
      <c r="C39" s="83" t="str">
        <f>IFERROR(__xludf.DUMMYFUNCTION("""COMPUTED_VALUE"""),"1")</f>
        <v>1</v>
      </c>
      <c r="D39" s="77" t="str">
        <f>IFERROR(__xludf.DUMMYFUNCTION("""COMPUTED_VALUE"""),"Í. P. S. R")</f>
        <v>Í. P. S. R</v>
      </c>
      <c r="E39" s="77" t="str">
        <f>IFERROR(__xludf.DUMMYFUNCTION("""COMPUTED_VALUE"""),"17/01/2026")</f>
        <v>17/01/2026</v>
      </c>
      <c r="F39" s="77" t="str">
        <f>IFERROR(__xludf.DUMMYFUNCTION("""COMPUTED_VALUE"""),"041******53")</f>
        <v>041******53</v>
      </c>
      <c r="G39" s="77" t="str">
        <f>IFERROR(__xludf.DUMMYFUNCTION("""COMPUTED_VALUE"""),"INFANTIL 1")</f>
        <v>INFANTIL 1</v>
      </c>
      <c r="H39" s="97" t="str">
        <f>IFERROR(__xludf.DUMMYFUNCTION("""COMPUTED_VALUE"""),"CEMEI PROFESSORA CIBELE DE ANDRADE MENDES DE AZEVEDO")</f>
        <v>CEMEI PROFESSORA CIBELE DE ANDRADE MENDES DE AZEVEDO</v>
      </c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96"/>
    </row>
    <row r="40" ht="15.75" customHeight="1">
      <c r="A40" s="77"/>
      <c r="B40" s="77" t="str">
        <f>IFERROR(__xludf.DUMMYFUNCTION("""COMPUTED_VALUE"""),"04/02/2026 08:52:54")</f>
        <v>04/02/2026 08:52:54</v>
      </c>
      <c r="C40" s="83" t="str">
        <f>IFERROR(__xludf.DUMMYFUNCTION("""COMPUTED_VALUE"""),"2")</f>
        <v>2</v>
      </c>
      <c r="D40" s="77" t="str">
        <f>IFERROR(__xludf.DUMMYFUNCTION("""COMPUTED_VALUE"""),"R. J. D. S")</f>
        <v>R. J. D. S</v>
      </c>
      <c r="E40" s="77" t="str">
        <f>IFERROR(__xludf.DUMMYFUNCTION("""COMPUTED_VALUE"""),"18/04/2024")</f>
        <v>18/04/2024</v>
      </c>
      <c r="F40" s="77" t="str">
        <f>IFERROR(__xludf.DUMMYFUNCTION("""COMPUTED_VALUE"""),"003******54")</f>
        <v>003******54</v>
      </c>
      <c r="G40" s="77" t="str">
        <f>IFERROR(__xludf.DUMMYFUNCTION("""COMPUTED_VALUE"""),"INFANTIL 1")</f>
        <v>INFANTIL 1</v>
      </c>
      <c r="H40" s="97" t="str">
        <f>IFERROR(__xludf.DUMMYFUNCTION("""COMPUTED_VALUE"""),"CEMEI PROFESSORA CIBELE DE ANDRADE MENDES DE AZEVEDO")</f>
        <v>CEMEI PROFESSORA CIBELE DE ANDRADE MENDES DE AZEVEDO</v>
      </c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96"/>
    </row>
    <row r="41" ht="15.75" customHeight="1">
      <c r="A41" s="77"/>
      <c r="B41" s="77" t="str">
        <f>IFERROR(__xludf.DUMMYFUNCTION("""COMPUTED_VALUE"""),"05/02/2026 12:22:17")</f>
        <v>05/02/2026 12:22:17</v>
      </c>
      <c r="C41" s="83" t="str">
        <f>IFERROR(__xludf.DUMMYFUNCTION("""COMPUTED_VALUE"""),"3")</f>
        <v>3</v>
      </c>
      <c r="D41" s="77" t="str">
        <f>IFERROR(__xludf.DUMMYFUNCTION("""COMPUTED_VALUE"""),"E. J. N. D. S")</f>
        <v>E. J. N. D. S</v>
      </c>
      <c r="E41" s="77" t="str">
        <f>IFERROR(__xludf.DUMMYFUNCTION("""COMPUTED_VALUE"""),"12/08/2024")</f>
        <v>12/08/2024</v>
      </c>
      <c r="F41" s="77" t="str">
        <f>IFERROR(__xludf.DUMMYFUNCTION("""COMPUTED_VALUE"""),"003******75")</f>
        <v>003******75</v>
      </c>
      <c r="G41" s="77" t="str">
        <f>IFERROR(__xludf.DUMMYFUNCTION("""COMPUTED_VALUE"""),"INFANTIL 1")</f>
        <v>INFANTIL 1</v>
      </c>
      <c r="H41" s="97" t="str">
        <f>IFERROR(__xludf.DUMMYFUNCTION("""COMPUTED_VALUE"""),"CEMEI PROFESSORA CIBELE DE ANDRADE MENDES DE AZEVEDO")</f>
        <v>CEMEI PROFESSORA CIBELE DE ANDRADE MENDES DE AZEVEDO</v>
      </c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96"/>
    </row>
    <row r="42" ht="15.75" customHeight="1">
      <c r="A42" s="77"/>
      <c r="B42" s="77" t="str">
        <f>IFERROR(__xludf.DUMMYFUNCTION("""COMPUTED_VALUE"""),"05/02/2026 13:29:32")</f>
        <v>05/02/2026 13:29:32</v>
      </c>
      <c r="C42" s="83" t="str">
        <f>IFERROR(__xludf.DUMMYFUNCTION("""COMPUTED_VALUE"""),"4")</f>
        <v>4</v>
      </c>
      <c r="D42" s="77" t="str">
        <f>IFERROR(__xludf.DUMMYFUNCTION("""COMPUTED_VALUE"""),"O. L. D. A")</f>
        <v>O. L. D. A</v>
      </c>
      <c r="E42" s="77" t="str">
        <f>IFERROR(__xludf.DUMMYFUNCTION("""COMPUTED_VALUE"""),"16/05/2024")</f>
        <v>16/05/2024</v>
      </c>
      <c r="F42" s="77" t="str">
        <f>IFERROR(__xludf.DUMMYFUNCTION("""COMPUTED_VALUE"""),"002******90")</f>
        <v>002******90</v>
      </c>
      <c r="G42" s="77" t="str">
        <f>IFERROR(__xludf.DUMMYFUNCTION("""COMPUTED_VALUE"""),"INFANTIL 1")</f>
        <v>INFANTIL 1</v>
      </c>
      <c r="H42" s="97" t="str">
        <f>IFERROR(__xludf.DUMMYFUNCTION("""COMPUTED_VALUE"""),"CEMEI PROFESSORA CIBELE DE ANDRADE MENDES DE AZEVEDO")</f>
        <v>CEMEI PROFESSORA CIBELE DE ANDRADE MENDES DE AZEVEDO</v>
      </c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96"/>
    </row>
    <row r="43" ht="15.75" customHeight="1">
      <c r="A43" s="77"/>
      <c r="B43" s="77" t="str">
        <f>IFERROR(__xludf.DUMMYFUNCTION("""COMPUTED_VALUE"""),"05/02/2026 15:38:24")</f>
        <v>05/02/2026 15:38:24</v>
      </c>
      <c r="C43" s="83" t="str">
        <f>IFERROR(__xludf.DUMMYFUNCTION("""COMPUTED_VALUE"""),"5")</f>
        <v>5</v>
      </c>
      <c r="D43" s="77" t="str">
        <f>IFERROR(__xludf.DUMMYFUNCTION("""COMPUTED_VALUE"""),"T. E. R. D. B")</f>
        <v>T. E. R. D. B</v>
      </c>
      <c r="E43" s="77" t="str">
        <f>IFERROR(__xludf.DUMMYFUNCTION("""COMPUTED_VALUE"""),"19/05/2024")</f>
        <v>19/05/2024</v>
      </c>
      <c r="F43" s="77" t="str">
        <f>IFERROR(__xludf.DUMMYFUNCTION("""COMPUTED_VALUE"""),"003******75")</f>
        <v>003******75</v>
      </c>
      <c r="G43" s="77" t="str">
        <f>IFERROR(__xludf.DUMMYFUNCTION("""COMPUTED_VALUE"""),"INFANTIL 1")</f>
        <v>INFANTIL 1</v>
      </c>
      <c r="H43" s="97" t="str">
        <f>IFERROR(__xludf.DUMMYFUNCTION("""COMPUTED_VALUE"""),"CEMEI PROFESSORA CIBELE DE ANDRADE MENDES DE AZEVEDO")</f>
        <v>CEMEI PROFESSORA CIBELE DE ANDRADE MENDES DE AZEVEDO</v>
      </c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96"/>
    </row>
    <row r="44" ht="15.75" customHeight="1">
      <c r="A44" s="77"/>
      <c r="B44" s="77" t="str">
        <f>IFERROR(__xludf.DUMMYFUNCTION("""COMPUTED_VALUE"""),"05/02/2026 20:35:45")</f>
        <v>05/02/2026 20:35:45</v>
      </c>
      <c r="C44" s="83" t="str">
        <f>IFERROR(__xludf.DUMMYFUNCTION("""COMPUTED_VALUE"""),"6")</f>
        <v>6</v>
      </c>
      <c r="D44" s="77" t="str">
        <f>IFERROR(__xludf.DUMMYFUNCTION("""COMPUTED_VALUE"""),"Y. B. D. S. A")</f>
        <v>Y. B. D. S. A</v>
      </c>
      <c r="E44" s="77" t="str">
        <f>IFERROR(__xludf.DUMMYFUNCTION("""COMPUTED_VALUE"""),"14/03/2025")</f>
        <v>14/03/2025</v>
      </c>
      <c r="F44" s="77" t="str">
        <f>IFERROR(__xludf.DUMMYFUNCTION("""COMPUTED_VALUE"""),"005******33")</f>
        <v>005******33</v>
      </c>
      <c r="G44" s="77" t="str">
        <f>IFERROR(__xludf.DUMMYFUNCTION("""COMPUTED_VALUE"""),"INFANTIL 1")</f>
        <v>INFANTIL 1</v>
      </c>
      <c r="H44" s="97" t="str">
        <f>IFERROR(__xludf.DUMMYFUNCTION("""COMPUTED_VALUE"""),"CEMEI PROFESSORA CIBELE DE ANDRADE MENDES DE AZEVEDO")</f>
        <v>CEMEI PROFESSORA CIBELE DE ANDRADE MENDES DE AZEVEDO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96"/>
    </row>
    <row r="45" ht="15.75" customHeight="1">
      <c r="A45" s="77"/>
      <c r="B45" s="77" t="str">
        <f>IFERROR(__xludf.DUMMYFUNCTION("""COMPUTED_VALUE"""),"23/02/2026 14:03:33")</f>
        <v>23/02/2026 14:03:33</v>
      </c>
      <c r="C45" s="83" t="str">
        <f>IFERROR(__xludf.DUMMYFUNCTION("""COMPUTED_VALUE"""),"7")</f>
        <v>7</v>
      </c>
      <c r="D45" s="77" t="str">
        <f>IFERROR(__xludf.DUMMYFUNCTION("""COMPUTED_VALUE"""),"E. S. D. S")</f>
        <v>E. S. D. S</v>
      </c>
      <c r="E45" s="77" t="str">
        <f>IFERROR(__xludf.DUMMYFUNCTION("""COMPUTED_VALUE"""),"10/04/2024")</f>
        <v>10/04/2024</v>
      </c>
      <c r="F45" s="77" t="str">
        <f>IFERROR(__xludf.DUMMYFUNCTION("""COMPUTED_VALUE"""),"002******63")</f>
        <v>002******63</v>
      </c>
      <c r="G45" s="77" t="str">
        <f>IFERROR(__xludf.DUMMYFUNCTION("""COMPUTED_VALUE"""),"INFANTIL 1")</f>
        <v>INFANTIL 1</v>
      </c>
      <c r="H45" s="77" t="str">
        <f>IFERROR(__xludf.DUMMYFUNCTION("""COMPUTED_VALUE"""),"CEMEI PROFESSORA CIBELE DE ANDRADE MENDES DE AZEVEDO")</f>
        <v>CEMEI PROFESSORA CIBELE DE ANDRADE MENDES DE AZEVEDO</v>
      </c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96"/>
    </row>
    <row r="46" ht="15.75" customHeight="1">
      <c r="A46" s="77"/>
      <c r="B46" s="77" t="str">
        <f>IFERROR(__xludf.DUMMYFUNCTION("""COMPUTED_VALUE"""),"16/03/2026 10:09:54")</f>
        <v>16/03/2026 10:09:54</v>
      </c>
      <c r="C46" s="83" t="str">
        <f>IFERROR(__xludf.DUMMYFUNCTION("""COMPUTED_VALUE"""),"8")</f>
        <v>8</v>
      </c>
      <c r="D46" s="77" t="str">
        <f>IFERROR(__xludf.DUMMYFUNCTION("""COMPUTED_VALUE"""),"H. M. C. M. T")</f>
        <v>H. M. C. M. T</v>
      </c>
      <c r="E46" s="77" t="str">
        <f>IFERROR(__xludf.DUMMYFUNCTION("""COMPUTED_VALUE"""),"15/04/2024")</f>
        <v>15/04/2024</v>
      </c>
      <c r="F46" s="77" t="str">
        <f>IFERROR(__xludf.DUMMYFUNCTION("""COMPUTED_VALUE"""),"002******57")</f>
        <v>002******57</v>
      </c>
      <c r="G46" s="77" t="str">
        <f>IFERROR(__xludf.DUMMYFUNCTION("""COMPUTED_VALUE"""),"INFANTIL 1")</f>
        <v>INFANTIL 1</v>
      </c>
      <c r="H46" s="77" t="str">
        <f>IFERROR(__xludf.DUMMYFUNCTION("""COMPUTED_VALUE"""),"CEMEI PROFESSORA CIBELE DE ANDRADE MENDES DE AZEVEDO")</f>
        <v>CEMEI PROFESSORA CIBELE DE ANDRADE MENDES DE AZEVEDO</v>
      </c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96"/>
    </row>
    <row r="47" ht="15.75" customHeight="1">
      <c r="A47" s="77"/>
      <c r="B47" s="77" t="str">
        <f>IFERROR(__xludf.DUMMYFUNCTION("""COMPUTED_VALUE"""),"18/03/2026 12:28:10")</f>
        <v>18/03/2026 12:28:10</v>
      </c>
      <c r="C47" s="83" t="str">
        <f>IFERROR(__xludf.DUMMYFUNCTION("""COMPUTED_VALUE"""),"9")</f>
        <v>9</v>
      </c>
      <c r="D47" s="77" t="str">
        <f>IFERROR(__xludf.DUMMYFUNCTION("""COMPUTED_VALUE"""),"L. E. S. D. S")</f>
        <v>L. E. S. D. S</v>
      </c>
      <c r="E47" s="77" t="str">
        <f>IFERROR(__xludf.DUMMYFUNCTION("""COMPUTED_VALUE"""),"19/01/2026")</f>
        <v>19/01/2026</v>
      </c>
      <c r="F47" s="77" t="str">
        <f>IFERROR(__xludf.DUMMYFUNCTION("""COMPUTED_VALUE"""),"045******34")</f>
        <v>045******34</v>
      </c>
      <c r="G47" s="77" t="str">
        <f>IFERROR(__xludf.DUMMYFUNCTION("""COMPUTED_VALUE"""),"INFANTIL 1")</f>
        <v>INFANTIL 1</v>
      </c>
      <c r="H47" s="77" t="str">
        <f>IFERROR(__xludf.DUMMYFUNCTION("""COMPUTED_VALUE"""),"CEMEI PROFESSORA CIBELE DE ANDRADE MENDES DE AZEVEDO")</f>
        <v>CEMEI PROFESSORA CIBELE DE ANDRADE MENDES DE AZEVEDO</v>
      </c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96"/>
    </row>
    <row r="48" ht="15.75" customHeight="1">
      <c r="A48" s="77"/>
      <c r="B48" s="77" t="str">
        <f>IFERROR(__xludf.DUMMYFUNCTION("""COMPUTED_VALUE"""),"26/03/2026 18:22:32")</f>
        <v>26/03/2026 18:22:32</v>
      </c>
      <c r="C48" s="83" t="str">
        <f>IFERROR(__xludf.DUMMYFUNCTION("""COMPUTED_VALUE"""),"10")</f>
        <v>10</v>
      </c>
      <c r="D48" s="77" t="str">
        <f>IFERROR(__xludf.DUMMYFUNCTION("""COMPUTED_VALUE"""),"A. M. A. D. B")</f>
        <v>A. M. A. D. B</v>
      </c>
      <c r="E48" s="77" t="str">
        <f>IFERROR(__xludf.DUMMYFUNCTION("""COMPUTED_VALUE"""),"20/11/2024")</f>
        <v>20/11/2024</v>
      </c>
      <c r="F48" s="77" t="str">
        <f>IFERROR(__xludf.DUMMYFUNCTION("""COMPUTED_VALUE"""),"004******56")</f>
        <v>004******56</v>
      </c>
      <c r="G48" s="77" t="str">
        <f>IFERROR(__xludf.DUMMYFUNCTION("""COMPUTED_VALUE"""),"INFANTIL 1")</f>
        <v>INFANTIL 1</v>
      </c>
      <c r="H48" s="77" t="str">
        <f>IFERROR(__xludf.DUMMYFUNCTION("""COMPUTED_VALUE"""),"CEMEI PROFESSORA CIBELE DE ANDRADE MENDES DE AZEVEDO")</f>
        <v>CEMEI PROFESSORA CIBELE DE ANDRADE MENDES DE AZEVEDO</v>
      </c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96"/>
    </row>
    <row r="49" ht="15.75" customHeight="1">
      <c r="A49" s="77"/>
      <c r="B49" s="77" t="str">
        <f>IFERROR(__xludf.DUMMYFUNCTION("""COMPUTED_VALUE"""),"29/04/2026 15:44:18")</f>
        <v>29/04/2026 15:44:18</v>
      </c>
      <c r="C49" s="83" t="str">
        <f>IFERROR(__xludf.DUMMYFUNCTION("""COMPUTED_VALUE"""),"11")</f>
        <v>11</v>
      </c>
      <c r="D49" s="77" t="str">
        <f>IFERROR(__xludf.DUMMYFUNCTION("""COMPUTED_VALUE"""),"A. S. C. D. L")</f>
        <v>A. S. C. D. L</v>
      </c>
      <c r="E49" s="77" t="str">
        <f>IFERROR(__xludf.DUMMYFUNCTION("""COMPUTED_VALUE"""),"06/05/2025")</f>
        <v>06/05/2025</v>
      </c>
      <c r="F49" s="77" t="str">
        <f>IFERROR(__xludf.DUMMYFUNCTION("""COMPUTED_VALUE"""),"006******16")</f>
        <v>006******16</v>
      </c>
      <c r="G49" s="77" t="str">
        <f>IFERROR(__xludf.DUMMYFUNCTION("""COMPUTED_VALUE"""),"INFANTIL 1")</f>
        <v>INFANTIL 1</v>
      </c>
      <c r="H49" s="77" t="str">
        <f>IFERROR(__xludf.DUMMYFUNCTION("""COMPUTED_VALUE"""),"CEMEI PROFESSORA CIBELE DE ANDRADE MENDES DE AZEVEDO")</f>
        <v>CEMEI PROFESSORA CIBELE DE ANDRADE MENDES DE AZEVEDO</v>
      </c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96"/>
    </row>
    <row r="50" ht="15.75" customHeight="1">
      <c r="A50" s="77"/>
      <c r="B50" s="77" t="str">
        <f>IFERROR(__xludf.DUMMYFUNCTION("""COMPUTED_VALUE"""),"19/05/2026 10:34:49")</f>
        <v>19/05/2026 10:34:49</v>
      </c>
      <c r="C50" s="83" t="str">
        <f>IFERROR(__xludf.DUMMYFUNCTION("""COMPUTED_VALUE"""),"12")</f>
        <v>12</v>
      </c>
      <c r="D50" s="77" t="str">
        <f>IFERROR(__xludf.DUMMYFUNCTION("""COMPUTED_VALUE"""),"H. C. C")</f>
        <v>H. C. C</v>
      </c>
      <c r="E50" s="77" t="str">
        <f>IFERROR(__xludf.DUMMYFUNCTION("""COMPUTED_VALUE"""),"25/10/2025")</f>
        <v>25/10/2025</v>
      </c>
      <c r="F50" s="77" t="str">
        <f>IFERROR(__xludf.DUMMYFUNCTION("""COMPUTED_VALUE"""),"017******72")</f>
        <v>017******72</v>
      </c>
      <c r="G50" s="77" t="str">
        <f>IFERROR(__xludf.DUMMYFUNCTION("""COMPUTED_VALUE"""),"INFANTIL 1")</f>
        <v>INFANTIL 1</v>
      </c>
      <c r="H50" s="77" t="str">
        <f>IFERROR(__xludf.DUMMYFUNCTION("""COMPUTED_VALUE"""),"CEMEI PROFESSORA CIBELE DE ANDRADE MENDES DE AZEVEDO")</f>
        <v>CEMEI PROFESSORA CIBELE DE ANDRADE MENDES DE AZEVEDO</v>
      </c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96"/>
    </row>
    <row r="51" ht="15.75" customHeight="1">
      <c r="A51" s="77"/>
      <c r="B51" s="77" t="str">
        <f>IFERROR(__xludf.DUMMYFUNCTION("""COMPUTED_VALUE"""),"25/05/2026 18:01:52")</f>
        <v>25/05/2026 18:01:52</v>
      </c>
      <c r="C51" s="83" t="str">
        <f>IFERROR(__xludf.DUMMYFUNCTION("""COMPUTED_VALUE"""),"13")</f>
        <v>13</v>
      </c>
      <c r="D51" s="77" t="str">
        <f>IFERROR(__xludf.DUMMYFUNCTION("""COMPUTED_VALUE"""),"N. U. A. d. S")</f>
        <v>N. U. A. d. S</v>
      </c>
      <c r="E51" s="77" t="str">
        <f>IFERROR(__xludf.DUMMYFUNCTION("""COMPUTED_VALUE"""),"15/04/2025")</f>
        <v>15/04/2025</v>
      </c>
      <c r="F51" s="77" t="str">
        <f>IFERROR(__xludf.DUMMYFUNCTION("""COMPUTED_VALUE"""),"005******36")</f>
        <v>005******36</v>
      </c>
      <c r="G51" s="77" t="str">
        <f>IFERROR(__xludf.DUMMYFUNCTION("""COMPUTED_VALUE"""),"INFANTIL 1")</f>
        <v>INFANTIL 1</v>
      </c>
      <c r="H51" s="77" t="str">
        <f>IFERROR(__xludf.DUMMYFUNCTION("""COMPUTED_VALUE"""),"CEMEI PROFESSORA CIBELE DE ANDRADE MENDES DE AZEVEDO")</f>
        <v>CEMEI PROFESSORA CIBELE DE ANDRADE MENDES DE AZEVEDO</v>
      </c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96"/>
    </row>
    <row r="52" ht="15.75" customHeight="1">
      <c r="A52" s="77"/>
      <c r="B52" s="77" t="str">
        <f>IFERROR(__xludf.DUMMYFUNCTION("""COMPUTED_VALUE"""),"10/03/2026 12:16:11")</f>
        <v>10/03/2026 12:16:11</v>
      </c>
      <c r="C52" s="83" t="str">
        <f>IFERROR(__xludf.DUMMYFUNCTION("""COMPUTED_VALUE"""),"1")</f>
        <v>1</v>
      </c>
      <c r="D52" s="77" t="str">
        <f>IFERROR(__xludf.DUMMYFUNCTION("""COMPUTED_VALUE"""),"M. V. C. D. L")</f>
        <v>M. V. C. D. L</v>
      </c>
      <c r="E52" s="77" t="str">
        <f>IFERROR(__xludf.DUMMYFUNCTION("""COMPUTED_VALUE"""),"17/01/2024")</f>
        <v>17/01/2024</v>
      </c>
      <c r="F52" s="77" t="str">
        <f>IFERROR(__xludf.DUMMYFUNCTION("""COMPUTED_VALUE"""),"001******86")</f>
        <v>001******86</v>
      </c>
      <c r="G52" s="77" t="str">
        <f>IFERROR(__xludf.DUMMYFUNCTION("""COMPUTED_VALUE"""),"INFANTIL 2")</f>
        <v>INFANTIL 2</v>
      </c>
      <c r="H52" s="77" t="str">
        <f>IFERROR(__xludf.DUMMYFUNCTION("""COMPUTED_VALUE"""),"CEMEI PROFESSORA CIBELE DE ANDRADE MENDES DE AZEVEDO")</f>
        <v>CEMEI PROFESSORA CIBELE DE ANDRADE MENDES DE AZEVEDO</v>
      </c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96"/>
    </row>
    <row r="53" ht="15.75" customHeight="1">
      <c r="A53" s="77"/>
      <c r="B53" s="77" t="str">
        <f>IFERROR(__xludf.DUMMYFUNCTION("""COMPUTED_VALUE"""),"17/03/2026 09:54:44")</f>
        <v>17/03/2026 09:54:44</v>
      </c>
      <c r="C53" s="83" t="str">
        <f>IFERROR(__xludf.DUMMYFUNCTION("""COMPUTED_VALUE"""),"2")</f>
        <v>2</v>
      </c>
      <c r="D53" s="77" t="str">
        <f>IFERROR(__xludf.DUMMYFUNCTION("""COMPUTED_VALUE"""),"E. S. S. D. S")</f>
        <v>E. S. S. D. S</v>
      </c>
      <c r="E53" s="77" t="str">
        <f>IFERROR(__xludf.DUMMYFUNCTION("""COMPUTED_VALUE"""),"03/01/2024")</f>
        <v>03/01/2024</v>
      </c>
      <c r="F53" s="77" t="str">
        <f>IFERROR(__xludf.DUMMYFUNCTION("""COMPUTED_VALUE"""),"001******28")</f>
        <v>001******28</v>
      </c>
      <c r="G53" s="77" t="str">
        <f>IFERROR(__xludf.DUMMYFUNCTION("""COMPUTED_VALUE"""),"INFANTIL 2")</f>
        <v>INFANTIL 2</v>
      </c>
      <c r="H53" s="77" t="str">
        <f>IFERROR(__xludf.DUMMYFUNCTION("""COMPUTED_VALUE"""),"CEMEI PROFESSORA CIBELE DE ANDRADE MENDES DE AZEVEDO")</f>
        <v>CEMEI PROFESSORA CIBELE DE ANDRADE MENDES DE AZEVEDO</v>
      </c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96"/>
    </row>
    <row r="54" ht="15.75" customHeight="1">
      <c r="A54" s="77"/>
      <c r="B54" s="77" t="str">
        <f>IFERROR(__xludf.DUMMYFUNCTION("""COMPUTED_VALUE"""),"05/05/2026 11:36:38")</f>
        <v>05/05/2026 11:36:38</v>
      </c>
      <c r="C54" s="83" t="str">
        <f>IFERROR(__xludf.DUMMYFUNCTION("""COMPUTED_VALUE"""),"3")</f>
        <v>3</v>
      </c>
      <c r="D54" s="77" t="str">
        <f>IFERROR(__xludf.DUMMYFUNCTION("""COMPUTED_VALUE"""),"L. M. G. A")</f>
        <v>L. M. G. A</v>
      </c>
      <c r="E54" s="77" t="str">
        <f>IFERROR(__xludf.DUMMYFUNCTION("""COMPUTED_VALUE"""),"08/01/2024")</f>
        <v>08/01/2024</v>
      </c>
      <c r="F54" s="77" t="str">
        <f>IFERROR(__xludf.DUMMYFUNCTION("""COMPUTED_VALUE"""),"001******55")</f>
        <v>001******55</v>
      </c>
      <c r="G54" s="77" t="str">
        <f>IFERROR(__xludf.DUMMYFUNCTION("""COMPUTED_VALUE"""),"INFANTIL 2")</f>
        <v>INFANTIL 2</v>
      </c>
      <c r="H54" s="77" t="str">
        <f>IFERROR(__xludf.DUMMYFUNCTION("""COMPUTED_VALUE"""),"CEMEI PROFESSORA CIBELE DE ANDRADE MENDES DE AZEVEDO")</f>
        <v>CEMEI PROFESSORA CIBELE DE ANDRADE MENDES DE AZEVEDO</v>
      </c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96"/>
    </row>
    <row r="55" ht="15.75" customHeight="1">
      <c r="A55" s="77"/>
      <c r="B55" s="77" t="str">
        <f>IFERROR(__xludf.DUMMYFUNCTION("""COMPUTED_VALUE"""),"25/05/2026 18:09:35")</f>
        <v>25/05/2026 18:09:35</v>
      </c>
      <c r="C55" s="83" t="str">
        <f>IFERROR(__xludf.DUMMYFUNCTION("""COMPUTED_VALUE"""),"4")</f>
        <v>4</v>
      </c>
      <c r="D55" s="77" t="str">
        <f>IFERROR(__xludf.DUMMYFUNCTION("""COMPUTED_VALUE"""),"A. G. A. T. d. s")</f>
        <v>A. G. A. T. d. s</v>
      </c>
      <c r="E55" s="77" t="str">
        <f>IFERROR(__xludf.DUMMYFUNCTION("""COMPUTED_VALUE"""),"29/02/2024")</f>
        <v>29/02/2024</v>
      </c>
      <c r="F55" s="77" t="str">
        <f>IFERROR(__xludf.DUMMYFUNCTION("""COMPUTED_VALUE"""),"002******20")</f>
        <v>002******20</v>
      </c>
      <c r="G55" s="77" t="str">
        <f>IFERROR(__xludf.DUMMYFUNCTION("""COMPUTED_VALUE"""),"INFANTIL 2")</f>
        <v>INFANTIL 2</v>
      </c>
      <c r="H55" s="77" t="str">
        <f>IFERROR(__xludf.DUMMYFUNCTION("""COMPUTED_VALUE"""),"CEMEI PROFESSORA CIBELE DE ANDRADE MENDES DE AZEVEDO")</f>
        <v>CEMEI PROFESSORA CIBELE DE ANDRADE MENDES DE AZEVEDO</v>
      </c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96"/>
    </row>
    <row r="56" ht="15.75" customHeight="1">
      <c r="A56" s="77"/>
      <c r="B56" s="77" t="str">
        <f>IFERROR(__xludf.DUMMYFUNCTION("""COMPUTED_VALUE"""),"09/03/2026 13:36:35")</f>
        <v>09/03/2026 13:36:35</v>
      </c>
      <c r="C56" s="83" t="str">
        <f>IFERROR(__xludf.DUMMYFUNCTION("""COMPUTED_VALUE"""),"1")</f>
        <v>1</v>
      </c>
      <c r="D56" s="77" t="str">
        <f>IFERROR(__xludf.DUMMYFUNCTION("""COMPUTED_VALUE"""),"B. M")</f>
        <v>B. M</v>
      </c>
      <c r="E56" s="77" t="str">
        <f>IFERROR(__xludf.DUMMYFUNCTION("""COMPUTED_VALUE"""),"07/02/2023")</f>
        <v>07/02/2023</v>
      </c>
      <c r="F56" s="77" t="str">
        <f>IFERROR(__xludf.DUMMYFUNCTION("""COMPUTED_VALUE"""),"006******11")</f>
        <v>006******11</v>
      </c>
      <c r="G56" s="77" t="str">
        <f>IFERROR(__xludf.DUMMYFUNCTION("""COMPUTED_VALUE"""),"INFANTIL 3")</f>
        <v>INFANTIL 3</v>
      </c>
      <c r="H56" s="77" t="str">
        <f>IFERROR(__xludf.DUMMYFUNCTION("""COMPUTED_VALUE"""),"CEMEI PROFESSORA CIBELE DE ANDRADE MENDES DE AZEVEDO")</f>
        <v>CEMEI PROFESSORA CIBELE DE ANDRADE MENDES DE AZEVEDO</v>
      </c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96"/>
    </row>
    <row r="57" ht="15.75" customHeight="1">
      <c r="A57" s="77"/>
      <c r="B57" s="77" t="str">
        <f>IFERROR(__xludf.DUMMYFUNCTION("""COMPUTED_VALUE"""),"23/03/2026 18:55:05")</f>
        <v>23/03/2026 18:55:05</v>
      </c>
      <c r="C57" s="83" t="str">
        <f>IFERROR(__xludf.DUMMYFUNCTION("""COMPUTED_VALUE"""),"2")</f>
        <v>2</v>
      </c>
      <c r="D57" s="77" t="str">
        <f>IFERROR(__xludf.DUMMYFUNCTION("""COMPUTED_VALUE"""),"F. G. C. L")</f>
        <v>F. G. C. L</v>
      </c>
      <c r="E57" s="77" t="str">
        <f>IFERROR(__xludf.DUMMYFUNCTION("""COMPUTED_VALUE"""),"08/06/2022")</f>
        <v>08/06/2022</v>
      </c>
      <c r="F57" s="77" t="str">
        <f>IFERROR(__xludf.DUMMYFUNCTION("""COMPUTED_VALUE"""),"181******24")</f>
        <v>181******24</v>
      </c>
      <c r="G57" s="77" t="str">
        <f>IFERROR(__xludf.DUMMYFUNCTION("""COMPUTED_VALUE"""),"INFANTIL 3")</f>
        <v>INFANTIL 3</v>
      </c>
      <c r="H57" s="77" t="str">
        <f>IFERROR(__xludf.DUMMYFUNCTION("""COMPUTED_VALUE"""),"CEMEI PROFESSORA CIBELE DE ANDRADE MENDES DE AZEVEDO")</f>
        <v>CEMEI PROFESSORA CIBELE DE ANDRADE MENDES DE AZEVEDO</v>
      </c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96"/>
    </row>
    <row r="58" ht="15.75" customHeight="1">
      <c r="A58" s="77"/>
      <c r="B58" s="77" t="str">
        <f>IFERROR(__xludf.DUMMYFUNCTION("""COMPUTED_VALUE"""),"22/04/2026 15:18:51")</f>
        <v>22/04/2026 15:18:51</v>
      </c>
      <c r="C58" s="83" t="str">
        <f>IFERROR(__xludf.DUMMYFUNCTION("""COMPUTED_VALUE"""),"3")</f>
        <v>3</v>
      </c>
      <c r="D58" s="77" t="str">
        <f>IFERROR(__xludf.DUMMYFUNCTION("""COMPUTED_VALUE"""),"A. M. M. D. S")</f>
        <v>A. M. M. D. S</v>
      </c>
      <c r="E58" s="77" t="str">
        <f>IFERROR(__xludf.DUMMYFUNCTION("""COMPUTED_VALUE"""),"05/01/2023")</f>
        <v>05/01/2023</v>
      </c>
      <c r="F58" s="77" t="str">
        <f>IFERROR(__xludf.DUMMYFUNCTION("""COMPUTED_VALUE"""),"184******20")</f>
        <v>184******20</v>
      </c>
      <c r="G58" s="77" t="str">
        <f>IFERROR(__xludf.DUMMYFUNCTION("""COMPUTED_VALUE"""),"INFANTIL 3")</f>
        <v>INFANTIL 3</v>
      </c>
      <c r="H58" s="77" t="str">
        <f>IFERROR(__xludf.DUMMYFUNCTION("""COMPUTED_VALUE"""),"CEMEI PROFESSORA CIBELE DE ANDRADE MENDES DE AZEVEDO")</f>
        <v>CEMEI PROFESSORA CIBELE DE ANDRADE MENDES DE AZEVEDO</v>
      </c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96"/>
    </row>
    <row r="59" ht="15.75" customHeight="1">
      <c r="A59" s="77"/>
      <c r="B59" s="77" t="str">
        <f>IFERROR(__xludf.DUMMYFUNCTION("""COMPUTED_VALUE"""),"23/04/2026 10:57:36")</f>
        <v>23/04/2026 10:57:36</v>
      </c>
      <c r="C59" s="83" t="str">
        <f>IFERROR(__xludf.DUMMYFUNCTION("""COMPUTED_VALUE"""),"4")</f>
        <v>4</v>
      </c>
      <c r="D59" s="77" t="str">
        <f>IFERROR(__xludf.DUMMYFUNCTION("""COMPUTED_VALUE"""),"A. V. S. D. S")</f>
        <v>A. V. S. D. S</v>
      </c>
      <c r="E59" s="77" t="str">
        <f>IFERROR(__xludf.DUMMYFUNCTION("""COMPUTED_VALUE"""),"18/11/2022")</f>
        <v>18/11/2022</v>
      </c>
      <c r="F59" s="77" t="str">
        <f>IFERROR(__xludf.DUMMYFUNCTION("""COMPUTED_VALUE"""),"183******13")</f>
        <v>183******13</v>
      </c>
      <c r="G59" s="77" t="str">
        <f>IFERROR(__xludf.DUMMYFUNCTION("""COMPUTED_VALUE"""),"INFANTIL 3")</f>
        <v>INFANTIL 3</v>
      </c>
      <c r="H59" s="77" t="str">
        <f>IFERROR(__xludf.DUMMYFUNCTION("""COMPUTED_VALUE"""),"CEMEI PROFESSORA CIBELE DE ANDRADE MENDES DE AZEVEDO")</f>
        <v>CEMEI PROFESSORA CIBELE DE ANDRADE MENDES DE AZEVEDO</v>
      </c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96"/>
    </row>
    <row r="60" ht="15.75" customHeight="1">
      <c r="A60" s="77"/>
      <c r="B60" s="77" t="str">
        <f>IFERROR(__xludf.DUMMYFUNCTION("""COMPUTED_VALUE"""),"13/05/2026 10:59:27")</f>
        <v>13/05/2026 10:59:27</v>
      </c>
      <c r="C60" s="83" t="str">
        <f>IFERROR(__xludf.DUMMYFUNCTION("""COMPUTED_VALUE"""),"5")</f>
        <v>5</v>
      </c>
      <c r="D60" s="77" t="str">
        <f>IFERROR(__xludf.DUMMYFUNCTION("""COMPUTED_VALUE"""),"R. L. D. S. M")</f>
        <v>R. L. D. S. M</v>
      </c>
      <c r="E60" s="77" t="str">
        <f>IFERROR(__xludf.DUMMYFUNCTION("""COMPUTED_VALUE"""),"21/09/2022")</f>
        <v>21/09/2022</v>
      </c>
      <c r="F60" s="77" t="str">
        <f>IFERROR(__xludf.DUMMYFUNCTION("""COMPUTED_VALUE"""),"182******16")</f>
        <v>182******16</v>
      </c>
      <c r="G60" s="77" t="str">
        <f>IFERROR(__xludf.DUMMYFUNCTION("""COMPUTED_VALUE"""),"INFANTIL 3")</f>
        <v>INFANTIL 3</v>
      </c>
      <c r="H60" s="77" t="str">
        <f>IFERROR(__xludf.DUMMYFUNCTION("""COMPUTED_VALUE"""),"CEMEI PROFESSORA CIBELE DE ANDRADE MENDES DE AZEVEDO")</f>
        <v>CEMEI PROFESSORA CIBELE DE ANDRADE MENDES DE AZEVEDO</v>
      </c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96"/>
    </row>
    <row r="61" ht="15.75" customHeight="1">
      <c r="A61" s="77"/>
      <c r="B61" s="77" t="str">
        <f>IFERROR(__xludf.DUMMYFUNCTION("""COMPUTED_VALUE"""),"05/02/2026 23:06:26")</f>
        <v>05/02/2026 23:06:26</v>
      </c>
      <c r="C61" s="83" t="str">
        <f>IFERROR(__xludf.DUMMYFUNCTION("""COMPUTED_VALUE"""),"1")</f>
        <v>1</v>
      </c>
      <c r="D61" s="77" t="str">
        <f>IFERROR(__xludf.DUMMYFUNCTION("""COMPUTED_VALUE"""),"L. S. S")</f>
        <v>L. S. S</v>
      </c>
      <c r="E61" s="77" t="str">
        <f>IFERROR(__xludf.DUMMYFUNCTION("""COMPUTED_VALUE"""),"27/04/2025")</f>
        <v>27/04/2025</v>
      </c>
      <c r="F61" s="77" t="str">
        <f>IFERROR(__xludf.DUMMYFUNCTION("""COMPUTED_VALUE"""),"017******91")</f>
        <v>017******91</v>
      </c>
      <c r="G61" s="77" t="str">
        <f>IFERROR(__xludf.DUMMYFUNCTION("""COMPUTED_VALUE"""),"INFANTIL 1")</f>
        <v>INFANTIL 1</v>
      </c>
      <c r="H61" s="77" t="str">
        <f>IFERROR(__xludf.DUMMYFUNCTION("""COMPUTED_VALUE"""),"CRECHE MUNICIPAL PROFESSORA SILVIA CRISTINA SANTOS BOTELHO")</f>
        <v>CRECHE MUNICIPAL PROFESSORA SILVIA CRISTINA SANTOS BOTELHO</v>
      </c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96"/>
    </row>
    <row r="62" ht="15.75" customHeight="1">
      <c r="A62" s="77"/>
      <c r="B62" s="77" t="str">
        <f>IFERROR(__xludf.DUMMYFUNCTION("""COMPUTED_VALUE"""),"27/03/2026 15:45:11")</f>
        <v>27/03/2026 15:45:11</v>
      </c>
      <c r="C62" s="83" t="str">
        <f>IFERROR(__xludf.DUMMYFUNCTION("""COMPUTED_VALUE"""),"2")</f>
        <v>2</v>
      </c>
      <c r="D62" s="77" t="str">
        <f>IFERROR(__xludf.DUMMYFUNCTION("""COMPUTED_VALUE"""),"A. M. D. S. V")</f>
        <v>A. M. D. S. V</v>
      </c>
      <c r="E62" s="77" t="str">
        <f>IFERROR(__xludf.DUMMYFUNCTION("""COMPUTED_VALUE"""),"12/10/2024")</f>
        <v>12/10/2024</v>
      </c>
      <c r="F62" s="77" t="str">
        <f>IFERROR(__xludf.DUMMYFUNCTION("""COMPUTED_VALUE"""),"004******00")</f>
        <v>004******00</v>
      </c>
      <c r="G62" s="77" t="str">
        <f>IFERROR(__xludf.DUMMYFUNCTION("""COMPUTED_VALUE"""),"INFANTIL 1")</f>
        <v>INFANTIL 1</v>
      </c>
      <c r="H62" s="77" t="str">
        <f>IFERROR(__xludf.DUMMYFUNCTION("""COMPUTED_VALUE"""),"CRECHE MUNICIPAL PROFESSORA SILVIA CRISTINA SANTOS BOTELHO")</f>
        <v>CRECHE MUNICIPAL PROFESSORA SILVIA CRISTINA SANTOS BOTELHO</v>
      </c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96"/>
    </row>
    <row r="63" ht="15.75" customHeight="1">
      <c r="A63" s="77"/>
      <c r="B63" s="77" t="str">
        <f>IFERROR(__xludf.DUMMYFUNCTION("""COMPUTED_VALUE"""),"15/04/2026 22:22:20")</f>
        <v>15/04/2026 22:22:20</v>
      </c>
      <c r="C63" s="83" t="str">
        <f>IFERROR(__xludf.DUMMYFUNCTION("""COMPUTED_VALUE"""),"3")</f>
        <v>3</v>
      </c>
      <c r="D63" s="77" t="str">
        <f>IFERROR(__xludf.DUMMYFUNCTION("""COMPUTED_VALUE"""),"I. E. D. S")</f>
        <v>I. E. D. S</v>
      </c>
      <c r="E63" s="77" t="str">
        <f>IFERROR(__xludf.DUMMYFUNCTION("""COMPUTED_VALUE"""),"19/11/2024")</f>
        <v>19/11/2024</v>
      </c>
      <c r="F63" s="77" t="str">
        <f>IFERROR(__xludf.DUMMYFUNCTION("""COMPUTED_VALUE"""),"004******92")</f>
        <v>004******92</v>
      </c>
      <c r="G63" s="77" t="str">
        <f>IFERROR(__xludf.DUMMYFUNCTION("""COMPUTED_VALUE"""),"INFANTIL 1")</f>
        <v>INFANTIL 1</v>
      </c>
      <c r="H63" s="77" t="str">
        <f>IFERROR(__xludf.DUMMYFUNCTION("""COMPUTED_VALUE"""),"CRECHE MUNICIPAL PROFESSORA SILVIA CRISTINA SANTOS BOTELHO")</f>
        <v>CRECHE MUNICIPAL PROFESSORA SILVIA CRISTINA SANTOS BOTELHO</v>
      </c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96"/>
    </row>
    <row r="64" ht="15.75" customHeight="1">
      <c r="A64" s="77"/>
      <c r="B64" s="77" t="str">
        <f>IFERROR(__xludf.DUMMYFUNCTION("""COMPUTED_VALUE"""),"05/05/2026 10:48:19")</f>
        <v>05/05/2026 10:48:19</v>
      </c>
      <c r="C64" s="83" t="str">
        <f>IFERROR(__xludf.DUMMYFUNCTION("""COMPUTED_VALUE"""),"4")</f>
        <v>4</v>
      </c>
      <c r="D64" s="77" t="str">
        <f>IFERROR(__xludf.DUMMYFUNCTION("""COMPUTED_VALUE"""),"D. N")</f>
        <v>D. N</v>
      </c>
      <c r="E64" s="77" t="str">
        <f>IFERROR(__xludf.DUMMYFUNCTION("""COMPUTED_VALUE"""),"19/06/2024")</f>
        <v>19/06/2024</v>
      </c>
      <c r="F64" s="77" t="str">
        <f>IFERROR(__xludf.DUMMYFUNCTION("""COMPUTED_VALUE"""),"003******78")</f>
        <v>003******78</v>
      </c>
      <c r="G64" s="77" t="str">
        <f>IFERROR(__xludf.DUMMYFUNCTION("""COMPUTED_VALUE"""),"INFANTIL 1")</f>
        <v>INFANTIL 1</v>
      </c>
      <c r="H64" s="77" t="str">
        <f>IFERROR(__xludf.DUMMYFUNCTION("""COMPUTED_VALUE"""),"CRECHE MUNICIPAL PROFESSORA SILVIA CRISTINA SANTOS BOTELHO")</f>
        <v>CRECHE MUNICIPAL PROFESSORA SILVIA CRISTINA SANTOS BOTELHO</v>
      </c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96"/>
    </row>
    <row r="65" ht="15.75" customHeight="1">
      <c r="A65" s="77"/>
      <c r="B65" s="77" t="str">
        <f>IFERROR(__xludf.DUMMYFUNCTION("""COMPUTED_VALUE"""),"25/05/2026 19:36:10")</f>
        <v>25/05/2026 19:36:10</v>
      </c>
      <c r="C65" s="83" t="str">
        <f>IFERROR(__xludf.DUMMYFUNCTION("""COMPUTED_VALUE"""),"5")</f>
        <v>5</v>
      </c>
      <c r="D65" s="77" t="str">
        <f>IFERROR(__xludf.DUMMYFUNCTION("""COMPUTED_VALUE"""),"A. S. s. d. s")</f>
        <v>A. S. s. d. s</v>
      </c>
      <c r="E65" s="77" t="str">
        <f>IFERROR(__xludf.DUMMYFUNCTION("""COMPUTED_VALUE"""),"05/01/2025")</f>
        <v>05/01/2025</v>
      </c>
      <c r="F65" s="77" t="str">
        <f>IFERROR(__xludf.DUMMYFUNCTION("""COMPUTED_VALUE"""),"005******41")</f>
        <v>005******41</v>
      </c>
      <c r="G65" s="77" t="str">
        <f>IFERROR(__xludf.DUMMYFUNCTION("""COMPUTED_VALUE"""),"INFANTIL 1")</f>
        <v>INFANTIL 1</v>
      </c>
      <c r="H65" s="77" t="str">
        <f>IFERROR(__xludf.DUMMYFUNCTION("""COMPUTED_VALUE"""),"CRECHE MUNICIPAL PROFESSORA SILVIA CRISTINA SANTOS BOTELHO")</f>
        <v>CRECHE MUNICIPAL PROFESSORA SILVIA CRISTINA SANTOS BOTELHO</v>
      </c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96"/>
    </row>
    <row r="66" ht="15.75" customHeight="1">
      <c r="A66" s="77"/>
      <c r="B66" s="77" t="str">
        <f>IFERROR(__xludf.DUMMYFUNCTION("""COMPUTED_VALUE"""),"23/06/2026 14:42:25")</f>
        <v>23/06/2026 14:42:25</v>
      </c>
      <c r="C66" s="83" t="str">
        <f>IFERROR(__xludf.DUMMYFUNCTION("""COMPUTED_VALUE"""),"6")</f>
        <v>6</v>
      </c>
      <c r="D66" s="77" t="str">
        <f>IFERROR(__xludf.DUMMYFUNCTION("""COMPUTED_VALUE"""),"L. v. S. d. O. L")</f>
        <v>L. v. S. d. O. L</v>
      </c>
      <c r="E66" s="77" t="str">
        <f>IFERROR(__xludf.DUMMYFUNCTION("""COMPUTED_VALUE"""),"27/12/2024")</f>
        <v>27/12/2024</v>
      </c>
      <c r="F66" s="77" t="str">
        <f>IFERROR(__xludf.DUMMYFUNCTION("""COMPUTED_VALUE"""),"004******12")</f>
        <v>004******12</v>
      </c>
      <c r="G66" s="77" t="str">
        <f>IFERROR(__xludf.DUMMYFUNCTION("""COMPUTED_VALUE"""),"INFANTIL 1")</f>
        <v>INFANTIL 1</v>
      </c>
      <c r="H66" s="77" t="str">
        <f>IFERROR(__xludf.DUMMYFUNCTION("""COMPUTED_VALUE"""),"CRECHE MUNICIPAL PROFESSORA SILVIA CRISTINA SANTOS BOTELHO")</f>
        <v>CRECHE MUNICIPAL PROFESSORA SILVIA CRISTINA SANTOS BOTELHO</v>
      </c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96"/>
    </row>
    <row r="67" ht="15.75" customHeight="1">
      <c r="A67" s="77"/>
      <c r="B67" s="77" t="str">
        <f>IFERROR(__xludf.DUMMYFUNCTION("""COMPUTED_VALUE"""),"27/06/2026 22:58:33")</f>
        <v>27/06/2026 22:58:33</v>
      </c>
      <c r="C67" s="83" t="str">
        <f>IFERROR(__xludf.DUMMYFUNCTION("""COMPUTED_VALUE"""),"7")</f>
        <v>7</v>
      </c>
      <c r="D67" s="77" t="str">
        <f>IFERROR(__xludf.DUMMYFUNCTION("""COMPUTED_VALUE"""),"E. G. A. G")</f>
        <v>E. G. A. G</v>
      </c>
      <c r="E67" s="77" t="str">
        <f>IFERROR(__xludf.DUMMYFUNCTION("""COMPUTED_VALUE"""),"19/06/2024")</f>
        <v>19/06/2024</v>
      </c>
      <c r="F67" s="77" t="str">
        <f>IFERROR(__xludf.DUMMYFUNCTION("""COMPUTED_VALUE"""),"003******73")</f>
        <v>003******73</v>
      </c>
      <c r="G67" s="77" t="str">
        <f>IFERROR(__xludf.DUMMYFUNCTION("""COMPUTED_VALUE"""),"INFANTIL 1")</f>
        <v>INFANTIL 1</v>
      </c>
      <c r="H67" s="77" t="str">
        <f>IFERROR(__xludf.DUMMYFUNCTION("""COMPUTED_VALUE"""),"CRECHE MUNICIPAL PROFESSORA SILVIA CRISTINA SANTOS BOTELHO")</f>
        <v>CRECHE MUNICIPAL PROFESSORA SILVIA CRISTINA SANTOS BOTELHO</v>
      </c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96"/>
    </row>
    <row r="68" ht="15.75" customHeight="1">
      <c r="A68" s="77"/>
      <c r="B68" s="77"/>
      <c r="C68" s="83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96"/>
    </row>
  </sheetData>
  <mergeCells count="17">
    <mergeCell ref="I5:J5"/>
    <mergeCell ref="I6:J6"/>
    <mergeCell ref="K6:L6"/>
    <mergeCell ref="M6:N6"/>
    <mergeCell ref="B4:C7"/>
    <mergeCell ref="B8:C10"/>
    <mergeCell ref="B11:C13"/>
    <mergeCell ref="B14:C16"/>
    <mergeCell ref="B17:C19"/>
    <mergeCell ref="B20:C22"/>
    <mergeCell ref="B2:Q2"/>
    <mergeCell ref="D4:D7"/>
    <mergeCell ref="E4:Q4"/>
    <mergeCell ref="E5:H5"/>
    <mergeCell ref="K5:P5"/>
    <mergeCell ref="Q5:Q6"/>
    <mergeCell ref="O6:P6"/>
  </mergeCells>
  <conditionalFormatting sqref="E8:N18 E20:N21">
    <cfRule type="containsBlanks" dxfId="7" priority="1">
      <formula>LEN(TRIM(E8))=0</formula>
    </cfRule>
  </conditionalFormatting>
  <printOptions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71"/>
    <col customWidth="1" min="2" max="2" width="14.43"/>
    <col customWidth="1" min="3" max="3" width="10.29"/>
    <col customWidth="1" min="4" max="4" width="61.0"/>
    <col customWidth="1" min="5" max="5" width="48.57"/>
    <col customWidth="1" min="6" max="6" width="109.43"/>
    <col customWidth="1" min="7" max="7" width="11.29"/>
    <col customWidth="1" min="8" max="8" width="12.14"/>
    <col customWidth="1" min="9" max="9" width="13.14"/>
  </cols>
  <sheetData>
    <row r="1" ht="22.5" customHeight="1">
      <c r="A1" s="118" t="s">
        <v>15</v>
      </c>
      <c r="B1" s="119" t="s">
        <v>16</v>
      </c>
      <c r="C1" s="119" t="s">
        <v>3</v>
      </c>
      <c r="D1" s="120" t="s">
        <v>17</v>
      </c>
      <c r="E1" s="119" t="s">
        <v>0</v>
      </c>
      <c r="F1" s="119" t="s">
        <v>456</v>
      </c>
      <c r="G1" s="120" t="s">
        <v>457</v>
      </c>
      <c r="H1" s="121" t="s">
        <v>458</v>
      </c>
      <c r="I1" s="122" t="s">
        <v>21</v>
      </c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</row>
    <row r="2" ht="22.5" customHeight="1">
      <c r="A2" s="124">
        <v>1.0</v>
      </c>
      <c r="B2" s="125" t="s">
        <v>40</v>
      </c>
      <c r="C2" s="126">
        <v>2.6196654E7</v>
      </c>
      <c r="D2" s="125" t="s">
        <v>41</v>
      </c>
      <c r="E2" s="125" t="s">
        <v>42</v>
      </c>
      <c r="F2" s="127" t="s">
        <v>43</v>
      </c>
      <c r="G2" s="125" t="s">
        <v>44</v>
      </c>
      <c r="H2" s="125" t="s">
        <v>45</v>
      </c>
      <c r="I2" s="128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ht="22.5" customHeight="1">
      <c r="A3" s="130">
        <v>2.0</v>
      </c>
      <c r="B3" s="131" t="s">
        <v>40</v>
      </c>
      <c r="C3" s="132">
        <v>2.6188333E7</v>
      </c>
      <c r="D3" s="131" t="s">
        <v>459</v>
      </c>
      <c r="E3" s="131" t="s">
        <v>460</v>
      </c>
      <c r="F3" s="133" t="s">
        <v>461</v>
      </c>
      <c r="G3" s="131" t="s">
        <v>44</v>
      </c>
      <c r="H3" s="131" t="s">
        <v>45</v>
      </c>
      <c r="I3" s="134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</row>
    <row r="4" ht="22.5" customHeight="1">
      <c r="A4" s="124">
        <v>3.0</v>
      </c>
      <c r="B4" s="125" t="s">
        <v>40</v>
      </c>
      <c r="C4" s="126">
        <v>2.614784E7</v>
      </c>
      <c r="D4" s="125" t="s">
        <v>48</v>
      </c>
      <c r="E4" s="125" t="s">
        <v>462</v>
      </c>
      <c r="F4" s="127" t="s">
        <v>463</v>
      </c>
      <c r="G4" s="125" t="s">
        <v>44</v>
      </c>
      <c r="H4" s="125" t="s">
        <v>45</v>
      </c>
      <c r="I4" s="128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</row>
    <row r="5" ht="22.5" customHeight="1">
      <c r="A5" s="130">
        <v>4.0</v>
      </c>
      <c r="B5" s="131" t="s">
        <v>40</v>
      </c>
      <c r="C5" s="132">
        <v>2.6108593E7</v>
      </c>
      <c r="D5" s="131" t="s">
        <v>50</v>
      </c>
      <c r="E5" s="131" t="s">
        <v>464</v>
      </c>
      <c r="F5" s="133" t="s">
        <v>465</v>
      </c>
      <c r="G5" s="131" t="s">
        <v>44</v>
      </c>
      <c r="H5" s="131" t="s">
        <v>466</v>
      </c>
      <c r="I5" s="134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</row>
    <row r="6" ht="22.5" customHeight="1">
      <c r="A6" s="124">
        <v>5.0</v>
      </c>
      <c r="B6" s="125" t="s">
        <v>40</v>
      </c>
      <c r="C6" s="126">
        <v>2.615627E7</v>
      </c>
      <c r="D6" s="125" t="s">
        <v>53</v>
      </c>
      <c r="E6" s="125" t="s">
        <v>467</v>
      </c>
      <c r="F6" s="127" t="s">
        <v>468</v>
      </c>
      <c r="G6" s="125" t="s">
        <v>44</v>
      </c>
      <c r="H6" s="125" t="s">
        <v>45</v>
      </c>
      <c r="I6" s="128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</row>
    <row r="7" ht="22.5" customHeight="1">
      <c r="A7" s="130">
        <v>6.0</v>
      </c>
      <c r="B7" s="131" t="s">
        <v>40</v>
      </c>
      <c r="C7" s="132">
        <v>2.6188767E7</v>
      </c>
      <c r="D7" s="131" t="s">
        <v>56</v>
      </c>
      <c r="E7" s="131" t="s">
        <v>469</v>
      </c>
      <c r="F7" s="133" t="s">
        <v>470</v>
      </c>
      <c r="G7" s="131" t="s">
        <v>44</v>
      </c>
      <c r="H7" s="131" t="s">
        <v>45</v>
      </c>
      <c r="I7" s="134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</row>
    <row r="8" ht="22.5" customHeight="1">
      <c r="A8" s="124">
        <v>7.0</v>
      </c>
      <c r="B8" s="125" t="s">
        <v>40</v>
      </c>
      <c r="C8" s="126">
        <v>2.610895E7</v>
      </c>
      <c r="D8" s="125" t="s">
        <v>471</v>
      </c>
      <c r="E8" s="125" t="s">
        <v>472</v>
      </c>
      <c r="F8" s="127" t="s">
        <v>473</v>
      </c>
      <c r="G8" s="125" t="s">
        <v>44</v>
      </c>
      <c r="H8" s="125" t="s">
        <v>45</v>
      </c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</row>
    <row r="9" ht="22.5" customHeight="1">
      <c r="A9" s="130">
        <v>8.0</v>
      </c>
      <c r="B9" s="131" t="s">
        <v>40</v>
      </c>
      <c r="C9" s="132">
        <v>2.6144689E7</v>
      </c>
      <c r="D9" s="131" t="s">
        <v>474</v>
      </c>
      <c r="E9" s="131" t="s">
        <v>475</v>
      </c>
      <c r="F9" s="133" t="s">
        <v>476</v>
      </c>
      <c r="G9" s="131" t="s">
        <v>44</v>
      </c>
      <c r="H9" s="131" t="s">
        <v>45</v>
      </c>
      <c r="I9" s="134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</row>
    <row r="10" ht="22.5" customHeight="1">
      <c r="A10" s="124">
        <v>9.0</v>
      </c>
      <c r="B10" s="125" t="s">
        <v>40</v>
      </c>
      <c r="C10" s="126">
        <v>2.6110873E7</v>
      </c>
      <c r="D10" s="125" t="s">
        <v>63</v>
      </c>
      <c r="E10" s="125" t="s">
        <v>477</v>
      </c>
      <c r="F10" s="127" t="s">
        <v>478</v>
      </c>
      <c r="G10" s="125" t="s">
        <v>479</v>
      </c>
      <c r="H10" s="125" t="s">
        <v>45</v>
      </c>
      <c r="I10" s="128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</row>
    <row r="11" ht="22.5" customHeight="1">
      <c r="A11" s="130">
        <v>10.0</v>
      </c>
      <c r="B11" s="131" t="s">
        <v>40</v>
      </c>
      <c r="C11" s="132">
        <v>2.610998E7</v>
      </c>
      <c r="D11" s="131" t="s">
        <v>65</v>
      </c>
      <c r="E11" s="131" t="s">
        <v>480</v>
      </c>
      <c r="F11" s="133" t="s">
        <v>481</v>
      </c>
      <c r="G11" s="131" t="s">
        <v>44</v>
      </c>
      <c r="H11" s="131" t="s">
        <v>45</v>
      </c>
      <c r="I11" s="134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</row>
    <row r="12" ht="22.5" customHeight="1">
      <c r="A12" s="124">
        <v>11.0</v>
      </c>
      <c r="B12" s="125" t="s">
        <v>40</v>
      </c>
      <c r="C12" s="126">
        <v>2.6108496E7</v>
      </c>
      <c r="D12" s="125" t="s">
        <v>67</v>
      </c>
      <c r="E12" s="125" t="s">
        <v>482</v>
      </c>
      <c r="F12" s="127" t="s">
        <v>483</v>
      </c>
      <c r="G12" s="125" t="s">
        <v>44</v>
      </c>
      <c r="H12" s="125" t="s">
        <v>45</v>
      </c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</row>
    <row r="13" ht="22.5" customHeight="1">
      <c r="A13" s="130">
        <v>12.0</v>
      </c>
      <c r="B13" s="131" t="s">
        <v>40</v>
      </c>
      <c r="C13" s="132">
        <v>2.6110962E7</v>
      </c>
      <c r="D13" s="131" t="s">
        <v>70</v>
      </c>
      <c r="E13" s="131" t="s">
        <v>484</v>
      </c>
      <c r="F13" s="133" t="s">
        <v>485</v>
      </c>
      <c r="G13" s="131" t="s">
        <v>44</v>
      </c>
      <c r="H13" s="131" t="s">
        <v>45</v>
      </c>
      <c r="I13" s="134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</row>
    <row r="14" ht="22.5" customHeight="1">
      <c r="A14" s="124">
        <v>13.0</v>
      </c>
      <c r="B14" s="125" t="s">
        <v>40</v>
      </c>
      <c r="C14" s="126">
        <v>2.6108909E7</v>
      </c>
      <c r="D14" s="125" t="s">
        <v>72</v>
      </c>
      <c r="E14" s="125" t="s">
        <v>486</v>
      </c>
      <c r="F14" s="127" t="s">
        <v>487</v>
      </c>
      <c r="G14" s="125" t="s">
        <v>44</v>
      </c>
      <c r="H14" s="125" t="s">
        <v>45</v>
      </c>
      <c r="I14" s="128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</row>
    <row r="15" ht="22.5" customHeight="1">
      <c r="A15" s="130">
        <v>14.0</v>
      </c>
      <c r="B15" s="131" t="s">
        <v>40</v>
      </c>
      <c r="C15" s="132">
        <v>2.6109026E7</v>
      </c>
      <c r="D15" s="131" t="s">
        <v>74</v>
      </c>
      <c r="E15" s="131" t="s">
        <v>488</v>
      </c>
      <c r="F15" s="133" t="s">
        <v>489</v>
      </c>
      <c r="G15" s="131" t="s">
        <v>479</v>
      </c>
      <c r="H15" s="131" t="s">
        <v>45</v>
      </c>
      <c r="I15" s="134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</row>
    <row r="16" ht="22.5" customHeight="1">
      <c r="A16" s="124">
        <v>15.0</v>
      </c>
      <c r="B16" s="125" t="s">
        <v>40</v>
      </c>
      <c r="C16" s="126">
        <v>2.6108461E7</v>
      </c>
      <c r="D16" s="125" t="s">
        <v>77</v>
      </c>
      <c r="E16" s="125" t="s">
        <v>490</v>
      </c>
      <c r="F16" s="127" t="s">
        <v>491</v>
      </c>
      <c r="G16" s="125" t="s">
        <v>44</v>
      </c>
      <c r="H16" s="125" t="s">
        <v>45</v>
      </c>
      <c r="I16" s="128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</row>
    <row r="17" ht="22.5" customHeight="1">
      <c r="A17" s="130">
        <v>16.0</v>
      </c>
      <c r="B17" s="131" t="s">
        <v>40</v>
      </c>
      <c r="C17" s="132">
        <v>2.6111063E7</v>
      </c>
      <c r="D17" s="131" t="s">
        <v>80</v>
      </c>
      <c r="E17" s="131" t="s">
        <v>492</v>
      </c>
      <c r="F17" s="133" t="s">
        <v>493</v>
      </c>
      <c r="G17" s="131" t="s">
        <v>44</v>
      </c>
      <c r="H17" s="131" t="s">
        <v>45</v>
      </c>
      <c r="I17" s="134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</row>
    <row r="18" ht="22.5" customHeight="1">
      <c r="A18" s="124">
        <v>17.0</v>
      </c>
      <c r="B18" s="125" t="s">
        <v>40</v>
      </c>
      <c r="C18" s="126">
        <v>2.6111373E7</v>
      </c>
      <c r="D18" s="125" t="s">
        <v>82</v>
      </c>
      <c r="E18" s="125" t="s">
        <v>494</v>
      </c>
      <c r="F18" s="127" t="s">
        <v>495</v>
      </c>
      <c r="G18" s="125" t="s">
        <v>479</v>
      </c>
      <c r="H18" s="125" t="s">
        <v>45</v>
      </c>
      <c r="I18" s="128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</row>
    <row r="19" ht="22.5" customHeight="1">
      <c r="A19" s="130">
        <v>18.0</v>
      </c>
      <c r="B19" s="131" t="s">
        <v>40</v>
      </c>
      <c r="C19" s="132">
        <v>2.6109247E7</v>
      </c>
      <c r="D19" s="131" t="s">
        <v>84</v>
      </c>
      <c r="E19" s="131" t="s">
        <v>496</v>
      </c>
      <c r="F19" s="133" t="s">
        <v>497</v>
      </c>
      <c r="G19" s="131" t="s">
        <v>44</v>
      </c>
      <c r="H19" s="131" t="s">
        <v>45</v>
      </c>
      <c r="I19" s="134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</row>
    <row r="20" ht="22.5" customHeight="1">
      <c r="A20" s="124">
        <v>19.0</v>
      </c>
      <c r="B20" s="125" t="s">
        <v>40</v>
      </c>
      <c r="C20" s="126">
        <v>2.6109603E7</v>
      </c>
      <c r="D20" s="125" t="s">
        <v>86</v>
      </c>
      <c r="E20" s="125" t="s">
        <v>498</v>
      </c>
      <c r="F20" s="127" t="s">
        <v>499</v>
      </c>
      <c r="G20" s="125" t="s">
        <v>44</v>
      </c>
      <c r="H20" s="125" t="s">
        <v>45</v>
      </c>
      <c r="I20" s="128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</row>
    <row r="21" ht="15.75" customHeight="1">
      <c r="A21" s="130">
        <v>20.0</v>
      </c>
      <c r="B21" s="131" t="s">
        <v>40</v>
      </c>
      <c r="C21" s="132">
        <v>2.6111101E7</v>
      </c>
      <c r="D21" s="131" t="s">
        <v>88</v>
      </c>
      <c r="E21" s="131" t="s">
        <v>500</v>
      </c>
      <c r="F21" s="133" t="s">
        <v>501</v>
      </c>
      <c r="G21" s="131" t="s">
        <v>44</v>
      </c>
      <c r="H21" s="131" t="s">
        <v>45</v>
      </c>
      <c r="I21" s="134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</row>
    <row r="22" ht="15.75" customHeight="1">
      <c r="A22" s="124">
        <v>21.0</v>
      </c>
      <c r="B22" s="125" t="s">
        <v>40</v>
      </c>
      <c r="C22" s="126">
        <v>2.611111E7</v>
      </c>
      <c r="D22" s="125" t="s">
        <v>90</v>
      </c>
      <c r="E22" s="125" t="s">
        <v>502</v>
      </c>
      <c r="F22" s="127" t="s">
        <v>503</v>
      </c>
      <c r="G22" s="125" t="s">
        <v>479</v>
      </c>
      <c r="H22" s="125" t="s">
        <v>45</v>
      </c>
      <c r="I22" s="128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ht="15.75" customHeight="1">
      <c r="A23" s="130">
        <v>22.0</v>
      </c>
      <c r="B23" s="131" t="s">
        <v>40</v>
      </c>
      <c r="C23" s="132">
        <v>2.610962E7</v>
      </c>
      <c r="D23" s="131" t="s">
        <v>92</v>
      </c>
      <c r="E23" s="131" t="s">
        <v>504</v>
      </c>
      <c r="F23" s="133" t="s">
        <v>505</v>
      </c>
      <c r="G23" s="131" t="s">
        <v>44</v>
      </c>
      <c r="H23" s="131" t="s">
        <v>45</v>
      </c>
      <c r="I23" s="134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4" ht="15.75" customHeight="1">
      <c r="A24" s="124">
        <v>23.0</v>
      </c>
      <c r="B24" s="125" t="s">
        <v>40</v>
      </c>
      <c r="C24" s="126">
        <v>2.6144867E7</v>
      </c>
      <c r="D24" s="125" t="s">
        <v>94</v>
      </c>
      <c r="E24" s="125" t="s">
        <v>506</v>
      </c>
      <c r="F24" s="127" t="s">
        <v>507</v>
      </c>
      <c r="G24" s="125" t="s">
        <v>44</v>
      </c>
      <c r="H24" s="125" t="s">
        <v>45</v>
      </c>
      <c r="I24" s="128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</row>
    <row r="25" ht="15.75" customHeight="1">
      <c r="A25" s="130">
        <v>24.0</v>
      </c>
      <c r="B25" s="131" t="s">
        <v>40</v>
      </c>
      <c r="C25" s="132">
        <v>2.6108976E7</v>
      </c>
      <c r="D25" s="131" t="s">
        <v>96</v>
      </c>
      <c r="E25" s="131" t="s">
        <v>508</v>
      </c>
      <c r="F25" s="133" t="s">
        <v>509</v>
      </c>
      <c r="G25" s="131" t="s">
        <v>44</v>
      </c>
      <c r="H25" s="131" t="s">
        <v>45</v>
      </c>
      <c r="I25" s="134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</row>
    <row r="26" ht="15.75" customHeight="1">
      <c r="A26" s="124">
        <v>25.0</v>
      </c>
      <c r="B26" s="125" t="s">
        <v>40</v>
      </c>
      <c r="C26" s="126">
        <v>2.6108968E7</v>
      </c>
      <c r="D26" s="125" t="s">
        <v>98</v>
      </c>
      <c r="E26" s="125" t="s">
        <v>510</v>
      </c>
      <c r="F26" s="127" t="s">
        <v>511</v>
      </c>
      <c r="G26" s="125" t="s">
        <v>44</v>
      </c>
      <c r="H26" s="125" t="s">
        <v>45</v>
      </c>
      <c r="I26" s="128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</row>
    <row r="27" ht="15.75" customHeight="1">
      <c r="A27" s="130">
        <v>26.0</v>
      </c>
      <c r="B27" s="131" t="s">
        <v>40</v>
      </c>
      <c r="C27" s="132">
        <v>2.610855E7</v>
      </c>
      <c r="D27" s="131" t="s">
        <v>101</v>
      </c>
      <c r="E27" s="131" t="s">
        <v>512</v>
      </c>
      <c r="F27" s="133" t="s">
        <v>513</v>
      </c>
      <c r="G27" s="131" t="s">
        <v>479</v>
      </c>
      <c r="H27" s="131" t="s">
        <v>45</v>
      </c>
      <c r="I27" s="134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</row>
    <row r="28" ht="15.75" customHeight="1">
      <c r="A28" s="124">
        <v>27.0</v>
      </c>
      <c r="B28" s="125" t="s">
        <v>40</v>
      </c>
      <c r="C28" s="126">
        <v>2.6109239E7</v>
      </c>
      <c r="D28" s="125" t="s">
        <v>103</v>
      </c>
      <c r="E28" s="125" t="s">
        <v>514</v>
      </c>
      <c r="F28" s="127" t="s">
        <v>515</v>
      </c>
      <c r="G28" s="125" t="s">
        <v>44</v>
      </c>
      <c r="H28" s="125" t="s">
        <v>45</v>
      </c>
      <c r="I28" s="128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</row>
    <row r="29" ht="15.75" customHeight="1">
      <c r="A29" s="130">
        <v>28.0</v>
      </c>
      <c r="B29" s="131" t="s">
        <v>40</v>
      </c>
      <c r="C29" s="132">
        <v>2.610928E7</v>
      </c>
      <c r="D29" s="131" t="s">
        <v>106</v>
      </c>
      <c r="E29" s="131" t="s">
        <v>516</v>
      </c>
      <c r="F29" s="133" t="s">
        <v>517</v>
      </c>
      <c r="G29" s="131" t="s">
        <v>44</v>
      </c>
      <c r="H29" s="131" t="s">
        <v>45</v>
      </c>
      <c r="I29" s="134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</row>
    <row r="30" ht="15.75" customHeight="1">
      <c r="A30" s="124">
        <v>29.0</v>
      </c>
      <c r="B30" s="125" t="s">
        <v>40</v>
      </c>
      <c r="C30" s="126">
        <v>2.6109E7</v>
      </c>
      <c r="D30" s="125" t="s">
        <v>109</v>
      </c>
      <c r="E30" s="125" t="s">
        <v>518</v>
      </c>
      <c r="F30" s="127" t="s">
        <v>519</v>
      </c>
      <c r="G30" s="125" t="s">
        <v>44</v>
      </c>
      <c r="H30" s="125" t="s">
        <v>45</v>
      </c>
      <c r="I30" s="128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ht="15.75" customHeight="1">
      <c r="A31" s="130">
        <v>30.0</v>
      </c>
      <c r="B31" s="131" t="s">
        <v>40</v>
      </c>
      <c r="C31" s="132">
        <v>2.610914E7</v>
      </c>
      <c r="D31" s="131" t="s">
        <v>520</v>
      </c>
      <c r="E31" s="131" t="s">
        <v>521</v>
      </c>
      <c r="F31" s="133" t="s">
        <v>522</v>
      </c>
      <c r="G31" s="131" t="s">
        <v>44</v>
      </c>
      <c r="H31" s="131" t="s">
        <v>45</v>
      </c>
      <c r="I31" s="134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ht="15.75" customHeight="1">
      <c r="A32" s="124">
        <v>31.0</v>
      </c>
      <c r="B32" s="125" t="s">
        <v>40</v>
      </c>
      <c r="C32" s="126">
        <v>2.6109069E7</v>
      </c>
      <c r="D32" s="125" t="s">
        <v>114</v>
      </c>
      <c r="E32" s="125" t="s">
        <v>523</v>
      </c>
      <c r="F32" s="127" t="s">
        <v>524</v>
      </c>
      <c r="G32" s="125" t="s">
        <v>479</v>
      </c>
      <c r="H32" s="125" t="s">
        <v>45</v>
      </c>
      <c r="I32" s="128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ht="15.75" customHeight="1">
      <c r="A33" s="130">
        <v>32.0</v>
      </c>
      <c r="B33" s="131" t="s">
        <v>40</v>
      </c>
      <c r="C33" s="132">
        <v>2.6178052E7</v>
      </c>
      <c r="D33" s="131" t="s">
        <v>117</v>
      </c>
      <c r="E33" s="131" t="s">
        <v>525</v>
      </c>
      <c r="F33" s="133" t="s">
        <v>526</v>
      </c>
      <c r="G33" s="131" t="s">
        <v>479</v>
      </c>
      <c r="H33" s="131" t="s">
        <v>45</v>
      </c>
      <c r="I33" s="134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ht="15.75" customHeight="1">
      <c r="A34" s="124">
        <v>33.0</v>
      </c>
      <c r="B34" s="125" t="s">
        <v>40</v>
      </c>
      <c r="C34" s="126">
        <v>2.6109875E7</v>
      </c>
      <c r="D34" s="125" t="s">
        <v>119</v>
      </c>
      <c r="E34" s="125" t="s">
        <v>527</v>
      </c>
      <c r="F34" s="127" t="s">
        <v>528</v>
      </c>
      <c r="G34" s="125" t="s">
        <v>479</v>
      </c>
      <c r="H34" s="125" t="s">
        <v>45</v>
      </c>
      <c r="I34" s="128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ht="15.75" customHeight="1">
      <c r="A35" s="130">
        <v>34.0</v>
      </c>
      <c r="B35" s="131" t="s">
        <v>40</v>
      </c>
      <c r="C35" s="132">
        <v>2.6174723E7</v>
      </c>
      <c r="D35" s="131" t="s">
        <v>121</v>
      </c>
      <c r="E35" s="131" t="s">
        <v>529</v>
      </c>
      <c r="F35" s="133" t="s">
        <v>530</v>
      </c>
      <c r="G35" s="131" t="s">
        <v>44</v>
      </c>
      <c r="H35" s="131" t="s">
        <v>45</v>
      </c>
      <c r="I35" s="134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ht="15.75" customHeight="1">
      <c r="A36" s="124">
        <v>35.0</v>
      </c>
      <c r="B36" s="125" t="s">
        <v>40</v>
      </c>
      <c r="C36" s="126">
        <v>2.610931E7</v>
      </c>
      <c r="D36" s="125" t="s">
        <v>124</v>
      </c>
      <c r="E36" s="125" t="s">
        <v>531</v>
      </c>
      <c r="F36" s="127" t="s">
        <v>532</v>
      </c>
      <c r="G36" s="125" t="s">
        <v>479</v>
      </c>
      <c r="H36" s="125" t="s">
        <v>466</v>
      </c>
      <c r="I36" s="128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ht="15.75" customHeight="1">
      <c r="A37" s="130">
        <v>36.0</v>
      </c>
      <c r="B37" s="131" t="s">
        <v>19</v>
      </c>
      <c r="C37" s="132">
        <v>2.6186063E7</v>
      </c>
      <c r="D37" s="131" t="s">
        <v>127</v>
      </c>
      <c r="E37" s="131" t="s">
        <v>533</v>
      </c>
      <c r="F37" s="133" t="s">
        <v>534</v>
      </c>
      <c r="G37" s="131" t="s">
        <v>535</v>
      </c>
      <c r="H37" s="131" t="s">
        <v>536</v>
      </c>
      <c r="I37" s="134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</row>
    <row r="38" ht="15.75" customHeight="1">
      <c r="A38" s="124">
        <v>37.0</v>
      </c>
      <c r="B38" s="125" t="s">
        <v>19</v>
      </c>
      <c r="C38" s="126">
        <v>2.617756E7</v>
      </c>
      <c r="D38" s="125" t="s">
        <v>129</v>
      </c>
      <c r="E38" s="125" t="s">
        <v>537</v>
      </c>
      <c r="F38" s="127" t="s">
        <v>538</v>
      </c>
      <c r="G38" s="125" t="s">
        <v>535</v>
      </c>
      <c r="H38" s="125" t="s">
        <v>539</v>
      </c>
      <c r="I38" s="128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</row>
    <row r="39" ht="15.75" customHeight="1">
      <c r="A39" s="130">
        <v>38.0</v>
      </c>
      <c r="B39" s="131" t="s">
        <v>19</v>
      </c>
      <c r="C39" s="132">
        <v>2.6109425E7</v>
      </c>
      <c r="D39" s="131" t="s">
        <v>540</v>
      </c>
      <c r="E39" s="131" t="s">
        <v>541</v>
      </c>
      <c r="F39" s="133" t="s">
        <v>542</v>
      </c>
      <c r="G39" s="131" t="s">
        <v>535</v>
      </c>
      <c r="H39" s="131" t="s">
        <v>536</v>
      </c>
      <c r="I39" s="134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</row>
    <row r="40" ht="15.75" customHeight="1">
      <c r="A40" s="124">
        <v>39.0</v>
      </c>
      <c r="B40" s="125" t="s">
        <v>19</v>
      </c>
      <c r="C40" s="126">
        <v>2.6190168E7</v>
      </c>
      <c r="D40" s="125" t="s">
        <v>543</v>
      </c>
      <c r="E40" s="125" t="s">
        <v>544</v>
      </c>
      <c r="F40" s="127" t="s">
        <v>545</v>
      </c>
      <c r="G40" s="125" t="s">
        <v>535</v>
      </c>
      <c r="H40" s="125" t="s">
        <v>536</v>
      </c>
      <c r="I40" s="128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</row>
    <row r="41" ht="15.75" customHeight="1">
      <c r="A41" s="130">
        <v>40.0</v>
      </c>
      <c r="B41" s="131" t="s">
        <v>19</v>
      </c>
      <c r="C41" s="132">
        <v>2.6171554E7</v>
      </c>
      <c r="D41" s="131" t="s">
        <v>136</v>
      </c>
      <c r="E41" s="131" t="s">
        <v>546</v>
      </c>
      <c r="F41" s="133" t="s">
        <v>547</v>
      </c>
      <c r="G41" s="131" t="s">
        <v>535</v>
      </c>
      <c r="H41" s="131" t="s">
        <v>539</v>
      </c>
      <c r="I41" s="134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</row>
    <row r="42" ht="15.75" customHeight="1">
      <c r="A42" s="124">
        <v>41.0</v>
      </c>
      <c r="B42" s="125" t="s">
        <v>19</v>
      </c>
      <c r="C42" s="126">
        <v>2.6186853E7</v>
      </c>
      <c r="D42" s="125" t="s">
        <v>138</v>
      </c>
      <c r="E42" s="125" t="s">
        <v>548</v>
      </c>
      <c r="F42" s="127" t="s">
        <v>549</v>
      </c>
      <c r="G42" s="125" t="s">
        <v>535</v>
      </c>
      <c r="H42" s="125" t="s">
        <v>539</v>
      </c>
      <c r="I42" s="128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</row>
    <row r="43" ht="15.75" customHeight="1">
      <c r="A43" s="130">
        <v>42.0</v>
      </c>
      <c r="B43" s="131" t="s">
        <v>19</v>
      </c>
      <c r="C43" s="132">
        <v>2.6109972E7</v>
      </c>
      <c r="D43" s="131" t="s">
        <v>140</v>
      </c>
      <c r="E43" s="131" t="s">
        <v>550</v>
      </c>
      <c r="F43" s="133" t="s">
        <v>551</v>
      </c>
      <c r="G43" s="131" t="s">
        <v>535</v>
      </c>
      <c r="H43" s="131" t="s">
        <v>536</v>
      </c>
      <c r="I43" s="134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</row>
    <row r="44" ht="15.75" customHeight="1">
      <c r="A44" s="124">
        <v>43.0</v>
      </c>
      <c r="B44" s="125" t="s">
        <v>19</v>
      </c>
      <c r="C44" s="126">
        <v>2.6108739E7</v>
      </c>
      <c r="D44" s="125" t="s">
        <v>143</v>
      </c>
      <c r="E44" s="125" t="s">
        <v>552</v>
      </c>
      <c r="F44" s="127" t="s">
        <v>553</v>
      </c>
      <c r="G44" s="125" t="s">
        <v>535</v>
      </c>
      <c r="H44" s="125" t="s">
        <v>539</v>
      </c>
      <c r="I44" s="128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</row>
    <row r="45" ht="15.75" customHeight="1">
      <c r="A45" s="130">
        <v>44.0</v>
      </c>
      <c r="B45" s="131" t="s">
        <v>19</v>
      </c>
      <c r="C45" s="132">
        <v>2.6110261E7</v>
      </c>
      <c r="D45" s="131" t="s">
        <v>145</v>
      </c>
      <c r="E45" s="131" t="s">
        <v>554</v>
      </c>
      <c r="F45" s="133" t="s">
        <v>555</v>
      </c>
      <c r="G45" s="131" t="s">
        <v>535</v>
      </c>
      <c r="H45" s="131" t="s">
        <v>539</v>
      </c>
      <c r="I45" s="134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</row>
    <row r="46" ht="15.75" customHeight="1">
      <c r="A46" s="124">
        <v>45.0</v>
      </c>
      <c r="B46" s="125" t="s">
        <v>19</v>
      </c>
      <c r="C46" s="126">
        <v>2.6110156E7</v>
      </c>
      <c r="D46" s="125" t="s">
        <v>147</v>
      </c>
      <c r="E46" s="125" t="s">
        <v>556</v>
      </c>
      <c r="F46" s="127" t="s">
        <v>557</v>
      </c>
      <c r="G46" s="125" t="s">
        <v>535</v>
      </c>
      <c r="H46" s="125" t="s">
        <v>539</v>
      </c>
      <c r="I46" s="128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</row>
    <row r="47" ht="15.75" customHeight="1">
      <c r="A47" s="130">
        <v>46.0</v>
      </c>
      <c r="B47" s="131" t="s">
        <v>19</v>
      </c>
      <c r="C47" s="132">
        <v>2.6110334E7</v>
      </c>
      <c r="D47" s="131" t="s">
        <v>149</v>
      </c>
      <c r="E47" s="131" t="s">
        <v>558</v>
      </c>
      <c r="F47" s="133" t="s">
        <v>559</v>
      </c>
      <c r="G47" s="131" t="s">
        <v>535</v>
      </c>
      <c r="H47" s="131" t="s">
        <v>539</v>
      </c>
      <c r="I47" s="134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</row>
    <row r="48" ht="15.75" customHeight="1">
      <c r="A48" s="124">
        <v>47.0</v>
      </c>
      <c r="B48" s="125" t="s">
        <v>19</v>
      </c>
      <c r="C48" s="126">
        <v>2.6108917E7</v>
      </c>
      <c r="D48" s="125" t="s">
        <v>152</v>
      </c>
      <c r="E48" s="125" t="s">
        <v>560</v>
      </c>
      <c r="F48" s="127" t="s">
        <v>561</v>
      </c>
      <c r="G48" s="125" t="s">
        <v>535</v>
      </c>
      <c r="H48" s="125" t="s">
        <v>539</v>
      </c>
      <c r="I48" s="128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</row>
    <row r="49" ht="15.75" customHeight="1">
      <c r="A49" s="130">
        <v>48.0</v>
      </c>
      <c r="B49" s="131" t="s">
        <v>19</v>
      </c>
      <c r="C49" s="132">
        <v>2.6541734E7</v>
      </c>
      <c r="D49" s="131" t="s">
        <v>154</v>
      </c>
      <c r="E49" s="131" t="s">
        <v>562</v>
      </c>
      <c r="F49" s="133" t="s">
        <v>563</v>
      </c>
      <c r="G49" s="131" t="s">
        <v>535</v>
      </c>
      <c r="H49" s="131" t="s">
        <v>539</v>
      </c>
      <c r="I49" s="134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</row>
    <row r="50" ht="15.75" customHeight="1">
      <c r="A50" s="124">
        <v>49.0</v>
      </c>
      <c r="B50" s="125" t="s">
        <v>19</v>
      </c>
      <c r="C50" s="126">
        <v>2.6109271E7</v>
      </c>
      <c r="D50" s="125" t="s">
        <v>156</v>
      </c>
      <c r="E50" s="125" t="s">
        <v>564</v>
      </c>
      <c r="F50" s="127" t="s">
        <v>565</v>
      </c>
      <c r="G50" s="125" t="s">
        <v>535</v>
      </c>
      <c r="H50" s="125" t="s">
        <v>539</v>
      </c>
      <c r="I50" s="128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</row>
    <row r="51" ht="15.75" customHeight="1">
      <c r="A51" s="130">
        <v>50.0</v>
      </c>
      <c r="B51" s="131" t="s">
        <v>19</v>
      </c>
      <c r="C51" s="132">
        <v>2.6174707E7</v>
      </c>
      <c r="D51" s="131" t="s">
        <v>566</v>
      </c>
      <c r="E51" s="131" t="s">
        <v>567</v>
      </c>
      <c r="F51" s="133" t="s">
        <v>568</v>
      </c>
      <c r="G51" s="131" t="s">
        <v>535</v>
      </c>
      <c r="H51" s="131" t="s">
        <v>539</v>
      </c>
      <c r="I51" s="134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</row>
    <row r="52" ht="15.75" customHeight="1">
      <c r="A52" s="124">
        <v>51.0</v>
      </c>
      <c r="B52" s="125" t="s">
        <v>19</v>
      </c>
      <c r="C52" s="126">
        <v>2.6109484E7</v>
      </c>
      <c r="D52" s="125" t="s">
        <v>160</v>
      </c>
      <c r="E52" s="125" t="s">
        <v>569</v>
      </c>
      <c r="F52" s="127" t="s">
        <v>570</v>
      </c>
      <c r="G52" s="125" t="s">
        <v>535</v>
      </c>
      <c r="H52" s="125" t="s">
        <v>539</v>
      </c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</row>
    <row r="53" ht="15.75" customHeight="1">
      <c r="A53" s="130">
        <v>52.0</v>
      </c>
      <c r="B53" s="131" t="s">
        <v>19</v>
      </c>
      <c r="C53" s="132">
        <v>2.6177595E7</v>
      </c>
      <c r="D53" s="131" t="s">
        <v>163</v>
      </c>
      <c r="E53" s="131" t="s">
        <v>571</v>
      </c>
      <c r="F53" s="133" t="s">
        <v>572</v>
      </c>
      <c r="G53" s="131" t="s">
        <v>535</v>
      </c>
      <c r="H53" s="131" t="s">
        <v>539</v>
      </c>
      <c r="I53" s="134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</row>
    <row r="54" ht="15.75" customHeight="1">
      <c r="A54" s="124">
        <v>53.0</v>
      </c>
      <c r="B54" s="125" t="s">
        <v>19</v>
      </c>
      <c r="C54" s="126">
        <v>2.6110342E7</v>
      </c>
      <c r="D54" s="125" t="s">
        <v>165</v>
      </c>
      <c r="E54" s="125" t="s">
        <v>573</v>
      </c>
      <c r="F54" s="127" t="s">
        <v>574</v>
      </c>
      <c r="G54" s="125" t="s">
        <v>535</v>
      </c>
      <c r="H54" s="125" t="s">
        <v>539</v>
      </c>
      <c r="I54" s="128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</row>
    <row r="55" ht="15.75" customHeight="1">
      <c r="A55" s="130">
        <v>54.0</v>
      </c>
      <c r="B55" s="131" t="s">
        <v>19</v>
      </c>
      <c r="C55" s="132">
        <v>2.6110369E7</v>
      </c>
      <c r="D55" s="131" t="s">
        <v>167</v>
      </c>
      <c r="E55" s="131" t="s">
        <v>575</v>
      </c>
      <c r="F55" s="133" t="s">
        <v>576</v>
      </c>
      <c r="G55" s="131" t="s">
        <v>535</v>
      </c>
      <c r="H55" s="131" t="s">
        <v>536</v>
      </c>
      <c r="I55" s="134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</row>
    <row r="56" ht="15.75" customHeight="1">
      <c r="A56" s="124">
        <v>55.0</v>
      </c>
      <c r="B56" s="125" t="s">
        <v>19</v>
      </c>
      <c r="C56" s="126">
        <v>2.6139987E7</v>
      </c>
      <c r="D56" s="125" t="s">
        <v>170</v>
      </c>
      <c r="E56" s="125" t="s">
        <v>577</v>
      </c>
      <c r="F56" s="127" t="s">
        <v>578</v>
      </c>
      <c r="G56" s="125" t="s">
        <v>535</v>
      </c>
      <c r="H56" s="125" t="s">
        <v>539</v>
      </c>
      <c r="I56" s="128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</row>
    <row r="57" ht="15.75" customHeight="1">
      <c r="A57" s="130">
        <v>56.0</v>
      </c>
      <c r="B57" s="131" t="s">
        <v>19</v>
      </c>
      <c r="C57" s="132">
        <v>2.6186292E7</v>
      </c>
      <c r="D57" s="131" t="s">
        <v>579</v>
      </c>
      <c r="E57" s="131" t="s">
        <v>580</v>
      </c>
      <c r="F57" s="133" t="s">
        <v>581</v>
      </c>
      <c r="G57" s="131" t="s">
        <v>535</v>
      </c>
      <c r="H57" s="131" t="s">
        <v>539</v>
      </c>
      <c r="I57" s="134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</row>
    <row r="58" ht="15.75" customHeight="1">
      <c r="A58" s="124">
        <v>57.0</v>
      </c>
      <c r="B58" s="125" t="s">
        <v>19</v>
      </c>
      <c r="C58" s="126">
        <v>2.6110202E7</v>
      </c>
      <c r="D58" s="125" t="s">
        <v>172</v>
      </c>
      <c r="E58" s="125" t="s">
        <v>582</v>
      </c>
      <c r="F58" s="127" t="s">
        <v>583</v>
      </c>
      <c r="G58" s="125" t="s">
        <v>535</v>
      </c>
      <c r="H58" s="125" t="s">
        <v>539</v>
      </c>
      <c r="I58" s="128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</row>
    <row r="59" ht="15.75" customHeight="1">
      <c r="A59" s="130">
        <v>58.0</v>
      </c>
      <c r="B59" s="131" t="s">
        <v>19</v>
      </c>
      <c r="C59" s="132">
        <v>2.6177579E7</v>
      </c>
      <c r="D59" s="131" t="s">
        <v>174</v>
      </c>
      <c r="E59" s="131" t="s">
        <v>584</v>
      </c>
      <c r="F59" s="133" t="s">
        <v>585</v>
      </c>
      <c r="G59" s="131" t="s">
        <v>535</v>
      </c>
      <c r="H59" s="131" t="s">
        <v>539</v>
      </c>
      <c r="I59" s="134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</row>
    <row r="60" ht="15.75" customHeight="1">
      <c r="A60" s="124">
        <v>59.0</v>
      </c>
      <c r="B60" s="125" t="s">
        <v>19</v>
      </c>
      <c r="C60" s="126">
        <v>2.6110385E7</v>
      </c>
      <c r="D60" s="125" t="s">
        <v>176</v>
      </c>
      <c r="E60" s="125" t="s">
        <v>586</v>
      </c>
      <c r="F60" s="127" t="s">
        <v>587</v>
      </c>
      <c r="G60" s="125" t="s">
        <v>535</v>
      </c>
      <c r="H60" s="125" t="s">
        <v>539</v>
      </c>
      <c r="I60" s="128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</row>
    <row r="61" ht="15.75" customHeight="1">
      <c r="A61" s="130">
        <v>60.0</v>
      </c>
      <c r="B61" s="131" t="s">
        <v>19</v>
      </c>
      <c r="C61" s="132">
        <v>2.617751E7</v>
      </c>
      <c r="D61" s="131" t="s">
        <v>180</v>
      </c>
      <c r="E61" s="131" t="s">
        <v>588</v>
      </c>
      <c r="F61" s="133" t="s">
        <v>589</v>
      </c>
      <c r="G61" s="131" t="s">
        <v>535</v>
      </c>
      <c r="H61" s="131" t="s">
        <v>539</v>
      </c>
      <c r="I61" s="134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</row>
    <row r="62" ht="15.75" customHeight="1">
      <c r="A62" s="124">
        <v>61.0</v>
      </c>
      <c r="B62" s="125" t="s">
        <v>182</v>
      </c>
      <c r="C62" s="126">
        <v>2.6183374E7</v>
      </c>
      <c r="D62" s="125" t="s">
        <v>183</v>
      </c>
      <c r="E62" s="125" t="s">
        <v>590</v>
      </c>
      <c r="F62" s="127" t="s">
        <v>591</v>
      </c>
      <c r="G62" s="125" t="s">
        <v>535</v>
      </c>
      <c r="H62" s="125" t="s">
        <v>539</v>
      </c>
      <c r="I62" s="128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</row>
    <row r="63" ht="15.75" customHeight="1">
      <c r="A63" s="130">
        <v>62.0</v>
      </c>
      <c r="B63" s="131" t="s">
        <v>182</v>
      </c>
      <c r="C63" s="132">
        <v>2.6156261E7</v>
      </c>
      <c r="D63" s="131" t="s">
        <v>185</v>
      </c>
      <c r="E63" s="131" t="s">
        <v>592</v>
      </c>
      <c r="F63" s="133" t="s">
        <v>593</v>
      </c>
      <c r="G63" s="131" t="s">
        <v>535</v>
      </c>
      <c r="H63" s="131" t="s">
        <v>536</v>
      </c>
      <c r="I63" s="134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</row>
    <row r="64" ht="15.75" customHeight="1">
      <c r="A64" s="124">
        <v>63.0</v>
      </c>
      <c r="B64" s="125" t="s">
        <v>182</v>
      </c>
      <c r="C64" s="126">
        <v>2.6110326E7</v>
      </c>
      <c r="D64" s="125" t="s">
        <v>187</v>
      </c>
      <c r="E64" s="125" t="s">
        <v>594</v>
      </c>
      <c r="F64" s="127" t="s">
        <v>595</v>
      </c>
      <c r="G64" s="125" t="s">
        <v>535</v>
      </c>
      <c r="H64" s="125" t="s">
        <v>539</v>
      </c>
      <c r="I64" s="128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</row>
    <row r="65" ht="15.75" customHeight="1">
      <c r="A65" s="130">
        <v>64.0</v>
      </c>
      <c r="B65" s="131" t="s">
        <v>182</v>
      </c>
      <c r="C65" s="132">
        <v>2.6167301E7</v>
      </c>
      <c r="D65" s="131" t="s">
        <v>189</v>
      </c>
      <c r="E65" s="131" t="s">
        <v>596</v>
      </c>
      <c r="F65" s="133" t="s">
        <v>597</v>
      </c>
      <c r="G65" s="131" t="s">
        <v>535</v>
      </c>
      <c r="H65" s="131" t="s">
        <v>539</v>
      </c>
      <c r="I65" s="134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</row>
    <row r="66" ht="15.75" customHeight="1">
      <c r="A66" s="124">
        <v>65.0</v>
      </c>
      <c r="B66" s="125" t="s">
        <v>182</v>
      </c>
      <c r="C66" s="126">
        <v>2.611108E7</v>
      </c>
      <c r="D66" s="125" t="s">
        <v>191</v>
      </c>
      <c r="E66" s="125" t="s">
        <v>598</v>
      </c>
      <c r="F66" s="127" t="s">
        <v>599</v>
      </c>
      <c r="G66" s="125" t="s">
        <v>479</v>
      </c>
      <c r="H66" s="125" t="s">
        <v>536</v>
      </c>
      <c r="I66" s="128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</row>
    <row r="67" ht="15.75" customHeight="1">
      <c r="A67" s="130">
        <v>66.0</v>
      </c>
      <c r="B67" s="131" t="s">
        <v>182</v>
      </c>
      <c r="C67" s="132">
        <v>2.6186306E7</v>
      </c>
      <c r="D67" s="131" t="s">
        <v>600</v>
      </c>
      <c r="E67" s="131" t="s">
        <v>601</v>
      </c>
      <c r="F67" s="133" t="s">
        <v>602</v>
      </c>
      <c r="G67" s="131" t="s">
        <v>535</v>
      </c>
      <c r="H67" s="131" t="s">
        <v>539</v>
      </c>
      <c r="I67" s="134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</row>
    <row r="68" ht="15.75" customHeight="1">
      <c r="A68" s="124">
        <v>67.0</v>
      </c>
      <c r="B68" s="125" t="s">
        <v>182</v>
      </c>
      <c r="C68" s="126">
        <v>2.6215209E7</v>
      </c>
      <c r="D68" s="125" t="s">
        <v>603</v>
      </c>
      <c r="E68" s="125" t="s">
        <v>604</v>
      </c>
      <c r="F68" s="127" t="s">
        <v>605</v>
      </c>
      <c r="G68" s="125" t="s">
        <v>535</v>
      </c>
      <c r="H68" s="125" t="s">
        <v>539</v>
      </c>
      <c r="I68" s="128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</row>
    <row r="69" ht="15.75" customHeight="1">
      <c r="A69" s="130">
        <v>68.0</v>
      </c>
      <c r="B69" s="131" t="s">
        <v>182</v>
      </c>
      <c r="C69" s="132">
        <v>2.6155028E7</v>
      </c>
      <c r="D69" s="131" t="s">
        <v>606</v>
      </c>
      <c r="E69" s="131" t="s">
        <v>607</v>
      </c>
      <c r="F69" s="133" t="s">
        <v>608</v>
      </c>
      <c r="G69" s="131" t="s">
        <v>535</v>
      </c>
      <c r="H69" s="131" t="s">
        <v>539</v>
      </c>
      <c r="I69" s="134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</row>
    <row r="70" ht="15.75" customHeight="1">
      <c r="A70" s="124">
        <v>69.0</v>
      </c>
      <c r="B70" s="125" t="s">
        <v>182</v>
      </c>
      <c r="C70" s="126">
        <v>2.6108992E7</v>
      </c>
      <c r="D70" s="125" t="s">
        <v>609</v>
      </c>
      <c r="E70" s="125" t="s">
        <v>610</v>
      </c>
      <c r="F70" s="127" t="s">
        <v>611</v>
      </c>
      <c r="G70" s="125" t="s">
        <v>535</v>
      </c>
      <c r="H70" s="125" t="s">
        <v>539</v>
      </c>
      <c r="I70" s="128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</row>
    <row r="71" ht="15.75" customHeight="1">
      <c r="A71" s="130">
        <v>70.0</v>
      </c>
      <c r="B71" s="131" t="s">
        <v>182</v>
      </c>
      <c r="C71" s="132">
        <v>2.6186071E7</v>
      </c>
      <c r="D71" s="131" t="s">
        <v>202</v>
      </c>
      <c r="E71" s="131" t="s">
        <v>612</v>
      </c>
      <c r="F71" s="133" t="s">
        <v>613</v>
      </c>
      <c r="G71" s="131" t="s">
        <v>535</v>
      </c>
      <c r="H71" s="131" t="s">
        <v>539</v>
      </c>
      <c r="I71" s="134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</row>
    <row r="72" ht="15.75" customHeight="1">
      <c r="A72" s="124">
        <v>71.0</v>
      </c>
      <c r="B72" s="125" t="s">
        <v>206</v>
      </c>
      <c r="C72" s="126">
        <v>2.6156288E7</v>
      </c>
      <c r="D72" s="125" t="s">
        <v>207</v>
      </c>
      <c r="E72" s="125" t="s">
        <v>614</v>
      </c>
      <c r="F72" s="127" t="s">
        <v>615</v>
      </c>
      <c r="G72" s="125" t="s">
        <v>535</v>
      </c>
      <c r="H72" s="125" t="s">
        <v>536</v>
      </c>
      <c r="I72" s="128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</row>
    <row r="73" ht="15.75" customHeight="1">
      <c r="A73" s="130">
        <v>72.0</v>
      </c>
      <c r="B73" s="131" t="s">
        <v>206</v>
      </c>
      <c r="C73" s="132">
        <v>2.613769E7</v>
      </c>
      <c r="D73" s="131" t="s">
        <v>210</v>
      </c>
      <c r="E73" s="131" t="s">
        <v>616</v>
      </c>
      <c r="F73" s="133" t="s">
        <v>617</v>
      </c>
      <c r="G73" s="131" t="s">
        <v>535</v>
      </c>
      <c r="H73" s="131" t="s">
        <v>539</v>
      </c>
      <c r="I73" s="134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</row>
    <row r="74" ht="15.75" customHeight="1">
      <c r="A74" s="124">
        <v>73.0</v>
      </c>
      <c r="B74" s="125" t="s">
        <v>206</v>
      </c>
      <c r="C74" s="126">
        <v>2.6158116E7</v>
      </c>
      <c r="D74" s="125" t="s">
        <v>213</v>
      </c>
      <c r="E74" s="125" t="s">
        <v>618</v>
      </c>
      <c r="F74" s="127" t="s">
        <v>619</v>
      </c>
      <c r="G74" s="125" t="s">
        <v>535</v>
      </c>
      <c r="H74" s="125" t="s">
        <v>539</v>
      </c>
      <c r="I74" s="128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</row>
    <row r="75" ht="15.75" customHeight="1">
      <c r="A75" s="130">
        <v>74.0</v>
      </c>
      <c r="B75" s="131" t="s">
        <v>206</v>
      </c>
      <c r="C75" s="132">
        <v>2.6145146E7</v>
      </c>
      <c r="D75" s="131" t="s">
        <v>215</v>
      </c>
      <c r="E75" s="131" t="s">
        <v>620</v>
      </c>
      <c r="F75" s="133" t="s">
        <v>621</v>
      </c>
      <c r="G75" s="131" t="s">
        <v>535</v>
      </c>
      <c r="H75" s="131" t="s">
        <v>539</v>
      </c>
      <c r="I75" s="134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</row>
    <row r="76" ht="15.75" customHeight="1">
      <c r="A76" s="124">
        <v>75.0</v>
      </c>
      <c r="B76" s="125" t="s">
        <v>206</v>
      </c>
      <c r="C76" s="126">
        <v>2.6109344E7</v>
      </c>
      <c r="D76" s="125" t="s">
        <v>218</v>
      </c>
      <c r="E76" s="125" t="s">
        <v>622</v>
      </c>
      <c r="F76" s="127" t="s">
        <v>623</v>
      </c>
      <c r="G76" s="125" t="s">
        <v>479</v>
      </c>
      <c r="H76" s="125" t="s">
        <v>539</v>
      </c>
      <c r="I76" s="128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</row>
    <row r="77" ht="15.75" customHeight="1">
      <c r="A77" s="130">
        <v>76.0</v>
      </c>
      <c r="B77" s="131" t="s">
        <v>206</v>
      </c>
      <c r="C77" s="132">
        <v>2.611092E7</v>
      </c>
      <c r="D77" s="131" t="s">
        <v>220</v>
      </c>
      <c r="E77" s="131" t="s">
        <v>624</v>
      </c>
      <c r="F77" s="133" t="s">
        <v>625</v>
      </c>
      <c r="G77" s="131" t="s">
        <v>535</v>
      </c>
      <c r="H77" s="131" t="s">
        <v>539</v>
      </c>
      <c r="I77" s="134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</row>
    <row r="78" ht="15.75" customHeight="1">
      <c r="A78" s="124">
        <v>77.0</v>
      </c>
      <c r="B78" s="125" t="s">
        <v>206</v>
      </c>
      <c r="C78" s="126">
        <v>2.6183129E7</v>
      </c>
      <c r="D78" s="125" t="s">
        <v>223</v>
      </c>
      <c r="E78" s="125" t="s">
        <v>626</v>
      </c>
      <c r="F78" s="127" t="s">
        <v>627</v>
      </c>
      <c r="G78" s="125" t="s">
        <v>479</v>
      </c>
      <c r="H78" s="125" t="s">
        <v>539</v>
      </c>
      <c r="I78" s="128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</row>
    <row r="79" ht="15.75" customHeight="1">
      <c r="A79" s="130">
        <v>78.0</v>
      </c>
      <c r="B79" s="131" t="s">
        <v>206</v>
      </c>
      <c r="C79" s="132">
        <v>2.6111748E7</v>
      </c>
      <c r="D79" s="131" t="s">
        <v>628</v>
      </c>
      <c r="E79" s="131" t="s">
        <v>629</v>
      </c>
      <c r="F79" s="133" t="s">
        <v>630</v>
      </c>
      <c r="G79" s="131" t="s">
        <v>479</v>
      </c>
      <c r="H79" s="131" t="s">
        <v>539</v>
      </c>
      <c r="I79" s="134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</row>
    <row r="80" ht="15.75" customHeight="1">
      <c r="A80" s="124">
        <v>79.0</v>
      </c>
      <c r="B80" s="125" t="s">
        <v>206</v>
      </c>
      <c r="C80" s="126">
        <v>2.6179563E7</v>
      </c>
      <c r="D80" s="125" t="s">
        <v>228</v>
      </c>
      <c r="E80" s="125" t="s">
        <v>631</v>
      </c>
      <c r="F80" s="127" t="s">
        <v>632</v>
      </c>
      <c r="G80" s="125" t="s">
        <v>535</v>
      </c>
      <c r="H80" s="125" t="s">
        <v>539</v>
      </c>
      <c r="I80" s="128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</row>
    <row r="81" ht="15.75" customHeight="1">
      <c r="A81" s="130">
        <v>80.0</v>
      </c>
      <c r="B81" s="131" t="s">
        <v>206</v>
      </c>
      <c r="C81" s="132">
        <v>2.6174715E7</v>
      </c>
      <c r="D81" s="131" t="s">
        <v>230</v>
      </c>
      <c r="E81" s="131" t="s">
        <v>633</v>
      </c>
      <c r="F81" s="133" t="s">
        <v>634</v>
      </c>
      <c r="G81" s="131" t="s">
        <v>479</v>
      </c>
      <c r="H81" s="131" t="s">
        <v>539</v>
      </c>
      <c r="I81" s="134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</row>
    <row r="82" ht="15.75" customHeight="1">
      <c r="A82" s="124">
        <v>81.0</v>
      </c>
      <c r="B82" s="125" t="s">
        <v>206</v>
      </c>
      <c r="C82" s="126">
        <v>2.6177587E7</v>
      </c>
      <c r="D82" s="125" t="s">
        <v>232</v>
      </c>
      <c r="E82" s="125" t="s">
        <v>635</v>
      </c>
      <c r="F82" s="127" t="s">
        <v>636</v>
      </c>
      <c r="G82" s="125" t="s">
        <v>479</v>
      </c>
      <c r="H82" s="125" t="s">
        <v>539</v>
      </c>
      <c r="I82" s="128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</row>
    <row r="83" ht="15.75" customHeight="1">
      <c r="A83" s="130">
        <v>82.0</v>
      </c>
      <c r="B83" s="131" t="s">
        <v>234</v>
      </c>
      <c r="C83" s="132">
        <v>2.6191296E7</v>
      </c>
      <c r="D83" s="131" t="s">
        <v>637</v>
      </c>
      <c r="E83" s="131" t="s">
        <v>638</v>
      </c>
      <c r="F83" s="133" t="s">
        <v>639</v>
      </c>
      <c r="G83" s="131" t="s">
        <v>535</v>
      </c>
      <c r="H83" s="131" t="s">
        <v>536</v>
      </c>
      <c r="I83" s="134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</row>
    <row r="84" ht="15.75" customHeight="1">
      <c r="A84" s="124">
        <v>83.0</v>
      </c>
      <c r="B84" s="125" t="s">
        <v>234</v>
      </c>
      <c r="C84" s="126">
        <v>2.6183838E7</v>
      </c>
      <c r="D84" s="125" t="s">
        <v>237</v>
      </c>
      <c r="E84" s="125" t="s">
        <v>640</v>
      </c>
      <c r="F84" s="127" t="s">
        <v>641</v>
      </c>
      <c r="G84" s="125" t="s">
        <v>535</v>
      </c>
      <c r="H84" s="125" t="s">
        <v>539</v>
      </c>
      <c r="I84" s="128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</row>
    <row r="85" ht="15.75" customHeight="1">
      <c r="A85" s="130">
        <v>84.0</v>
      </c>
      <c r="B85" s="131" t="s">
        <v>234</v>
      </c>
      <c r="C85" s="132">
        <v>2.618706E7</v>
      </c>
      <c r="D85" s="131" t="s">
        <v>240</v>
      </c>
      <c r="E85" s="131" t="s">
        <v>642</v>
      </c>
      <c r="F85" s="133" t="s">
        <v>643</v>
      </c>
      <c r="G85" s="131" t="s">
        <v>535</v>
      </c>
      <c r="H85" s="131" t="s">
        <v>536</v>
      </c>
      <c r="I85" s="134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</row>
    <row r="86" ht="15.75" customHeight="1">
      <c r="A86" s="124">
        <v>85.0</v>
      </c>
      <c r="B86" s="125" t="s">
        <v>234</v>
      </c>
      <c r="C86" s="126">
        <v>2.618608E7</v>
      </c>
      <c r="D86" s="125" t="s">
        <v>243</v>
      </c>
      <c r="E86" s="125" t="s">
        <v>644</v>
      </c>
      <c r="F86" s="127" t="s">
        <v>645</v>
      </c>
      <c r="G86" s="125" t="s">
        <v>535</v>
      </c>
      <c r="H86" s="125" t="s">
        <v>536</v>
      </c>
      <c r="I86" s="128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</row>
    <row r="87" ht="15.75" customHeight="1">
      <c r="A87" s="130">
        <v>86.0</v>
      </c>
      <c r="B87" s="131" t="s">
        <v>234</v>
      </c>
      <c r="C87" s="132">
        <v>2.6109689E7</v>
      </c>
      <c r="D87" s="131" t="s">
        <v>245</v>
      </c>
      <c r="E87" s="131" t="s">
        <v>646</v>
      </c>
      <c r="F87" s="133" t="s">
        <v>647</v>
      </c>
      <c r="G87" s="131" t="s">
        <v>535</v>
      </c>
      <c r="H87" s="131" t="s">
        <v>539</v>
      </c>
      <c r="I87" s="134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</row>
    <row r="88" ht="15.75" customHeight="1">
      <c r="A88" s="124">
        <v>87.0</v>
      </c>
      <c r="B88" s="125" t="s">
        <v>234</v>
      </c>
      <c r="C88" s="126">
        <v>2.6111659E7</v>
      </c>
      <c r="D88" s="125" t="s">
        <v>247</v>
      </c>
      <c r="E88" s="125" t="s">
        <v>648</v>
      </c>
      <c r="F88" s="127" t="s">
        <v>649</v>
      </c>
      <c r="G88" s="125" t="s">
        <v>535</v>
      </c>
      <c r="H88" s="125" t="s">
        <v>539</v>
      </c>
      <c r="I88" s="128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</row>
    <row r="89" ht="15.75" customHeight="1">
      <c r="A89" s="130">
        <v>88.0</v>
      </c>
      <c r="B89" s="131" t="s">
        <v>234</v>
      </c>
      <c r="C89" s="132">
        <v>2.6174758E7</v>
      </c>
      <c r="D89" s="131" t="s">
        <v>250</v>
      </c>
      <c r="E89" s="131" t="s">
        <v>650</v>
      </c>
      <c r="F89" s="133" t="s">
        <v>651</v>
      </c>
      <c r="G89" s="131" t="s">
        <v>535</v>
      </c>
      <c r="H89" s="131" t="s">
        <v>539</v>
      </c>
      <c r="I89" s="134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</row>
    <row r="90" ht="15.75" customHeight="1">
      <c r="A90" s="124">
        <v>89.0</v>
      </c>
      <c r="B90" s="125" t="s">
        <v>234</v>
      </c>
      <c r="C90" s="126">
        <v>2.6182246E7</v>
      </c>
      <c r="D90" s="125" t="s">
        <v>652</v>
      </c>
      <c r="E90" s="125" t="s">
        <v>653</v>
      </c>
      <c r="F90" s="127" t="s">
        <v>654</v>
      </c>
      <c r="G90" s="125" t="s">
        <v>535</v>
      </c>
      <c r="H90" s="125" t="s">
        <v>539</v>
      </c>
      <c r="I90" s="128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</row>
    <row r="91" ht="15.75" customHeight="1">
      <c r="A91" s="130">
        <v>90.0</v>
      </c>
      <c r="B91" s="131" t="s">
        <v>234</v>
      </c>
      <c r="C91" s="132">
        <v>2.6186101E7</v>
      </c>
      <c r="D91" s="131" t="s">
        <v>252</v>
      </c>
      <c r="E91" s="131" t="s">
        <v>655</v>
      </c>
      <c r="F91" s="133" t="s">
        <v>656</v>
      </c>
      <c r="G91" s="131" t="s">
        <v>535</v>
      </c>
      <c r="H91" s="131" t="s">
        <v>539</v>
      </c>
      <c r="I91" s="134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</row>
    <row r="92" ht="15.75" customHeight="1">
      <c r="A92" s="124">
        <v>91.0</v>
      </c>
      <c r="B92" s="125" t="s">
        <v>234</v>
      </c>
      <c r="C92" s="126">
        <v>2.6109212E7</v>
      </c>
      <c r="D92" s="125" t="s">
        <v>255</v>
      </c>
      <c r="E92" s="125" t="s">
        <v>657</v>
      </c>
      <c r="F92" s="127" t="s">
        <v>658</v>
      </c>
      <c r="G92" s="125" t="s">
        <v>535</v>
      </c>
      <c r="H92" s="125" t="s">
        <v>539</v>
      </c>
      <c r="I92" s="128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</row>
    <row r="93" ht="15.75" customHeight="1">
      <c r="A93" s="130">
        <v>92.0</v>
      </c>
      <c r="B93" s="131" t="s">
        <v>234</v>
      </c>
      <c r="C93" s="132">
        <v>2.6111543E7</v>
      </c>
      <c r="D93" s="131" t="s">
        <v>257</v>
      </c>
      <c r="E93" s="131" t="s">
        <v>659</v>
      </c>
      <c r="F93" s="133" t="s">
        <v>660</v>
      </c>
      <c r="G93" s="131" t="s">
        <v>535</v>
      </c>
      <c r="H93" s="131" t="s">
        <v>539</v>
      </c>
      <c r="I93" s="134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</row>
    <row r="94" ht="15.75" customHeight="1">
      <c r="A94" s="124">
        <v>93.0</v>
      </c>
      <c r="B94" s="125" t="s">
        <v>234</v>
      </c>
      <c r="C94" s="126">
        <v>2.6108844E7</v>
      </c>
      <c r="D94" s="125" t="s">
        <v>259</v>
      </c>
      <c r="E94" s="125" t="s">
        <v>661</v>
      </c>
      <c r="F94" s="127" t="s">
        <v>662</v>
      </c>
      <c r="G94" s="125" t="s">
        <v>535</v>
      </c>
      <c r="H94" s="125" t="s">
        <v>536</v>
      </c>
      <c r="I94" s="128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</row>
    <row r="95" ht="15.75" customHeight="1">
      <c r="A95" s="130">
        <v>94.0</v>
      </c>
      <c r="B95" s="131" t="s">
        <v>234</v>
      </c>
      <c r="C95" s="132">
        <v>2.6111292E7</v>
      </c>
      <c r="D95" s="131" t="s">
        <v>663</v>
      </c>
      <c r="E95" s="131" t="s">
        <v>664</v>
      </c>
      <c r="F95" s="133" t="s">
        <v>665</v>
      </c>
      <c r="G95" s="131" t="s">
        <v>479</v>
      </c>
      <c r="H95" s="131" t="s">
        <v>536</v>
      </c>
      <c r="I95" s="134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</row>
    <row r="96" ht="15.75" customHeight="1">
      <c r="A96" s="124">
        <v>95.0</v>
      </c>
      <c r="B96" s="125" t="s">
        <v>234</v>
      </c>
      <c r="C96" s="126">
        <v>2.6111381E7</v>
      </c>
      <c r="D96" s="125" t="s">
        <v>264</v>
      </c>
      <c r="E96" s="125" t="s">
        <v>666</v>
      </c>
      <c r="F96" s="127" t="s">
        <v>667</v>
      </c>
      <c r="G96" s="125" t="s">
        <v>479</v>
      </c>
      <c r="H96" s="125" t="s">
        <v>536</v>
      </c>
      <c r="I96" s="128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</row>
    <row r="97" ht="15.75" customHeight="1">
      <c r="A97" s="130">
        <v>96.0</v>
      </c>
      <c r="B97" s="131" t="s">
        <v>234</v>
      </c>
      <c r="C97" s="132">
        <v>2.6108763E7</v>
      </c>
      <c r="D97" s="131" t="s">
        <v>267</v>
      </c>
      <c r="E97" s="131" t="s">
        <v>668</v>
      </c>
      <c r="F97" s="133" t="s">
        <v>669</v>
      </c>
      <c r="G97" s="131" t="s">
        <v>535</v>
      </c>
      <c r="H97" s="131" t="s">
        <v>539</v>
      </c>
      <c r="I97" s="134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</row>
    <row r="98" ht="15.75" customHeight="1">
      <c r="A98" s="124">
        <v>97.0</v>
      </c>
      <c r="B98" s="125" t="s">
        <v>234</v>
      </c>
      <c r="C98" s="126">
        <v>2.6111152E7</v>
      </c>
      <c r="D98" s="125" t="s">
        <v>269</v>
      </c>
      <c r="E98" s="125" t="s">
        <v>670</v>
      </c>
      <c r="F98" s="127" t="s">
        <v>671</v>
      </c>
      <c r="G98" s="125" t="s">
        <v>535</v>
      </c>
      <c r="H98" s="125" t="s">
        <v>539</v>
      </c>
      <c r="I98" s="128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</row>
    <row r="99" ht="15.75" customHeight="1">
      <c r="A99" s="130">
        <v>98.0</v>
      </c>
      <c r="B99" s="131" t="s">
        <v>234</v>
      </c>
      <c r="C99" s="132">
        <v>2.6109298E7</v>
      </c>
      <c r="D99" s="131" t="s">
        <v>271</v>
      </c>
      <c r="E99" s="131" t="s">
        <v>672</v>
      </c>
      <c r="F99" s="133" t="s">
        <v>673</v>
      </c>
      <c r="G99" s="131" t="s">
        <v>535</v>
      </c>
      <c r="H99" s="131" t="s">
        <v>539</v>
      </c>
      <c r="I99" s="134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</row>
    <row r="100" ht="15.75" customHeight="1">
      <c r="A100" s="124">
        <v>99.0</v>
      </c>
      <c r="B100" s="125" t="s">
        <v>234</v>
      </c>
      <c r="C100" s="126">
        <v>2.6109581E7</v>
      </c>
      <c r="D100" s="125" t="s">
        <v>273</v>
      </c>
      <c r="E100" s="125" t="s">
        <v>674</v>
      </c>
      <c r="F100" s="127" t="s">
        <v>675</v>
      </c>
      <c r="G100" s="125" t="s">
        <v>535</v>
      </c>
      <c r="H100" s="125" t="s">
        <v>539</v>
      </c>
      <c r="I100" s="128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</row>
    <row r="101" ht="15.75" customHeight="1">
      <c r="A101" s="130">
        <v>100.0</v>
      </c>
      <c r="B101" s="131" t="s">
        <v>234</v>
      </c>
      <c r="C101" s="132">
        <v>2.614761E7</v>
      </c>
      <c r="D101" s="131" t="s">
        <v>275</v>
      </c>
      <c r="E101" s="131" t="s">
        <v>676</v>
      </c>
      <c r="F101" s="133" t="s">
        <v>677</v>
      </c>
      <c r="G101" s="131" t="s">
        <v>535</v>
      </c>
      <c r="H101" s="131" t="s">
        <v>539</v>
      </c>
      <c r="I101" s="134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</row>
    <row r="102" ht="15.75" customHeight="1">
      <c r="A102" s="124">
        <v>101.0</v>
      </c>
      <c r="B102" s="125" t="s">
        <v>234</v>
      </c>
      <c r="C102" s="126">
        <v>2.6171457E7</v>
      </c>
      <c r="D102" s="125" t="s">
        <v>278</v>
      </c>
      <c r="E102" s="125" t="s">
        <v>678</v>
      </c>
      <c r="F102" s="127" t="s">
        <v>679</v>
      </c>
      <c r="G102" s="125" t="s">
        <v>535</v>
      </c>
      <c r="H102" s="125" t="s">
        <v>539</v>
      </c>
      <c r="I102" s="128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</row>
    <row r="103" ht="15.75" customHeight="1">
      <c r="A103" s="130">
        <v>102.0</v>
      </c>
      <c r="B103" s="131" t="s">
        <v>234</v>
      </c>
      <c r="C103" s="132">
        <v>2.6111233E7</v>
      </c>
      <c r="D103" s="131" t="s">
        <v>680</v>
      </c>
      <c r="E103" s="131" t="s">
        <v>681</v>
      </c>
      <c r="F103" s="133" t="s">
        <v>682</v>
      </c>
      <c r="G103" s="131" t="s">
        <v>535</v>
      </c>
      <c r="H103" s="131" t="s">
        <v>539</v>
      </c>
      <c r="I103" s="134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</row>
    <row r="104" ht="15.75" customHeight="1">
      <c r="A104" s="124">
        <v>103.0</v>
      </c>
      <c r="B104" s="125" t="s">
        <v>234</v>
      </c>
      <c r="C104" s="126">
        <v>2.6109794E7</v>
      </c>
      <c r="D104" s="125" t="s">
        <v>287</v>
      </c>
      <c r="E104" s="125" t="s">
        <v>683</v>
      </c>
      <c r="F104" s="127" t="s">
        <v>684</v>
      </c>
      <c r="G104" s="125" t="s">
        <v>479</v>
      </c>
      <c r="H104" s="125" t="s">
        <v>539</v>
      </c>
      <c r="I104" s="128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</row>
    <row r="105" ht="15.75" customHeight="1">
      <c r="A105" s="130">
        <v>104.0</v>
      </c>
      <c r="B105" s="131" t="s">
        <v>234</v>
      </c>
      <c r="C105" s="132">
        <v>2.6109891E7</v>
      </c>
      <c r="D105" s="131" t="s">
        <v>289</v>
      </c>
      <c r="E105" s="131" t="s">
        <v>685</v>
      </c>
      <c r="F105" s="133" t="s">
        <v>686</v>
      </c>
      <c r="G105" s="131" t="s">
        <v>535</v>
      </c>
      <c r="H105" s="131" t="s">
        <v>539</v>
      </c>
      <c r="I105" s="134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</row>
    <row r="106" ht="15.75" customHeight="1">
      <c r="A106" s="124">
        <v>105.0</v>
      </c>
      <c r="B106" s="125" t="s">
        <v>291</v>
      </c>
      <c r="C106" s="126">
        <v>2.61913E7</v>
      </c>
      <c r="D106" s="125" t="s">
        <v>687</v>
      </c>
      <c r="E106" s="125" t="s">
        <v>688</v>
      </c>
      <c r="F106" s="127" t="s">
        <v>689</v>
      </c>
      <c r="G106" s="125" t="s">
        <v>535</v>
      </c>
      <c r="H106" s="125" t="s">
        <v>536</v>
      </c>
      <c r="I106" s="128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</row>
    <row r="107" ht="15.75" customHeight="1">
      <c r="A107" s="130">
        <v>106.0</v>
      </c>
      <c r="B107" s="131" t="s">
        <v>291</v>
      </c>
      <c r="C107" s="132">
        <v>2.6137739E7</v>
      </c>
      <c r="D107" s="131" t="s">
        <v>690</v>
      </c>
      <c r="E107" s="131" t="s">
        <v>691</v>
      </c>
      <c r="F107" s="133" t="s">
        <v>692</v>
      </c>
      <c r="G107" s="131" t="s">
        <v>535</v>
      </c>
      <c r="H107" s="131" t="s">
        <v>539</v>
      </c>
      <c r="I107" s="134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</row>
    <row r="108" ht="15.75" customHeight="1">
      <c r="A108" s="124">
        <v>107.0</v>
      </c>
      <c r="B108" s="125" t="s">
        <v>291</v>
      </c>
      <c r="C108" s="126">
        <v>2.6187078E7</v>
      </c>
      <c r="D108" s="125" t="s">
        <v>295</v>
      </c>
      <c r="E108" s="125" t="s">
        <v>693</v>
      </c>
      <c r="F108" s="127" t="s">
        <v>694</v>
      </c>
      <c r="G108" s="125" t="s">
        <v>535</v>
      </c>
      <c r="H108" s="125" t="s">
        <v>539</v>
      </c>
      <c r="I108" s="128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</row>
    <row r="109" ht="15.75" customHeight="1">
      <c r="A109" s="130">
        <v>108.0</v>
      </c>
      <c r="B109" s="131" t="s">
        <v>291</v>
      </c>
      <c r="C109" s="132">
        <v>2.619242E7</v>
      </c>
      <c r="D109" s="131" t="s">
        <v>695</v>
      </c>
      <c r="E109" s="131" t="s">
        <v>696</v>
      </c>
      <c r="F109" s="133" t="s">
        <v>697</v>
      </c>
      <c r="G109" s="131" t="s">
        <v>535</v>
      </c>
      <c r="H109" s="131" t="s">
        <v>536</v>
      </c>
      <c r="I109" s="134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</row>
    <row r="110" ht="15.75" customHeight="1">
      <c r="A110" s="124">
        <v>109.0</v>
      </c>
      <c r="B110" s="125" t="s">
        <v>291</v>
      </c>
      <c r="C110" s="126">
        <v>2.6108577E7</v>
      </c>
      <c r="D110" s="125" t="s">
        <v>698</v>
      </c>
      <c r="E110" s="125" t="s">
        <v>699</v>
      </c>
      <c r="F110" s="127" t="s">
        <v>700</v>
      </c>
      <c r="G110" s="125" t="s">
        <v>535</v>
      </c>
      <c r="H110" s="125" t="s">
        <v>539</v>
      </c>
      <c r="I110" s="128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</row>
    <row r="111" ht="15.75" customHeight="1">
      <c r="A111" s="130">
        <v>110.0</v>
      </c>
      <c r="B111" s="131" t="s">
        <v>291</v>
      </c>
      <c r="C111" s="132">
        <v>2.6187663E7</v>
      </c>
      <c r="D111" s="131" t="s">
        <v>304</v>
      </c>
      <c r="E111" s="131" t="s">
        <v>701</v>
      </c>
      <c r="F111" s="133" t="s">
        <v>702</v>
      </c>
      <c r="G111" s="131" t="s">
        <v>535</v>
      </c>
      <c r="H111" s="131" t="s">
        <v>536</v>
      </c>
      <c r="I111" s="134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</row>
    <row r="112" ht="15.75" customHeight="1">
      <c r="A112" s="124">
        <v>111.0</v>
      </c>
      <c r="B112" s="125" t="s">
        <v>291</v>
      </c>
      <c r="C112" s="126">
        <v>2.6109328E7</v>
      </c>
      <c r="D112" s="125" t="s">
        <v>306</v>
      </c>
      <c r="E112" s="125" t="s">
        <v>703</v>
      </c>
      <c r="F112" s="127" t="s">
        <v>704</v>
      </c>
      <c r="G112" s="125" t="s">
        <v>535</v>
      </c>
      <c r="H112" s="125" t="s">
        <v>539</v>
      </c>
      <c r="I112" s="128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</row>
    <row r="113" ht="15.75" customHeight="1">
      <c r="A113" s="130">
        <v>112.0</v>
      </c>
      <c r="B113" s="131" t="s">
        <v>291</v>
      </c>
      <c r="C113" s="132">
        <v>2.6111446E7</v>
      </c>
      <c r="D113" s="131" t="s">
        <v>308</v>
      </c>
      <c r="E113" s="131" t="s">
        <v>705</v>
      </c>
      <c r="F113" s="133" t="s">
        <v>706</v>
      </c>
      <c r="G113" s="131" t="s">
        <v>535</v>
      </c>
      <c r="H113" s="131" t="s">
        <v>539</v>
      </c>
      <c r="I113" s="134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</row>
    <row r="114" ht="15.75" customHeight="1">
      <c r="A114" s="124">
        <v>113.0</v>
      </c>
      <c r="B114" s="125" t="s">
        <v>291</v>
      </c>
      <c r="C114" s="126">
        <v>2.6111578E7</v>
      </c>
      <c r="D114" s="125" t="s">
        <v>707</v>
      </c>
      <c r="E114" s="125" t="s">
        <v>708</v>
      </c>
      <c r="F114" s="127" t="s">
        <v>709</v>
      </c>
      <c r="G114" s="125" t="s">
        <v>535</v>
      </c>
      <c r="H114" s="125" t="s">
        <v>536</v>
      </c>
      <c r="I114" s="128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</row>
    <row r="115" ht="15.75" customHeight="1">
      <c r="A115" s="130">
        <v>114.0</v>
      </c>
      <c r="B115" s="131" t="s">
        <v>291</v>
      </c>
      <c r="C115" s="132">
        <v>2.6109476E7</v>
      </c>
      <c r="D115" s="131" t="s">
        <v>313</v>
      </c>
      <c r="E115" s="131" t="s">
        <v>710</v>
      </c>
      <c r="F115" s="133" t="s">
        <v>711</v>
      </c>
      <c r="G115" s="131" t="s">
        <v>535</v>
      </c>
      <c r="H115" s="131" t="s">
        <v>539</v>
      </c>
      <c r="I115" s="134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</row>
    <row r="116" ht="15.75" customHeight="1">
      <c r="A116" s="124">
        <v>115.0</v>
      </c>
      <c r="B116" s="125" t="s">
        <v>291</v>
      </c>
      <c r="C116" s="126">
        <v>2.6155036E7</v>
      </c>
      <c r="D116" s="125" t="s">
        <v>315</v>
      </c>
      <c r="E116" s="125" t="s">
        <v>712</v>
      </c>
      <c r="F116" s="127" t="s">
        <v>713</v>
      </c>
      <c r="G116" s="125" t="s">
        <v>535</v>
      </c>
      <c r="H116" s="125" t="s">
        <v>536</v>
      </c>
      <c r="I116" s="128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</row>
    <row r="117" ht="15.75" customHeight="1">
      <c r="A117" s="130">
        <v>116.0</v>
      </c>
      <c r="B117" s="131" t="s">
        <v>291</v>
      </c>
      <c r="C117" s="132">
        <v>2.6155044E7</v>
      </c>
      <c r="D117" s="131" t="s">
        <v>321</v>
      </c>
      <c r="E117" s="131" t="s">
        <v>714</v>
      </c>
      <c r="F117" s="133" t="s">
        <v>715</v>
      </c>
      <c r="G117" s="131" t="s">
        <v>535</v>
      </c>
      <c r="H117" s="131" t="s">
        <v>539</v>
      </c>
      <c r="I117" s="134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</row>
    <row r="118" ht="15.75" customHeight="1">
      <c r="A118" s="124">
        <v>117.0</v>
      </c>
      <c r="B118" s="125" t="s">
        <v>291</v>
      </c>
      <c r="C118" s="126">
        <v>2.610922E7</v>
      </c>
      <c r="D118" s="125" t="s">
        <v>323</v>
      </c>
      <c r="E118" s="125" t="s">
        <v>716</v>
      </c>
      <c r="F118" s="127" t="s">
        <v>717</v>
      </c>
      <c r="G118" s="125" t="s">
        <v>535</v>
      </c>
      <c r="H118" s="125" t="s">
        <v>539</v>
      </c>
      <c r="I118" s="128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</row>
    <row r="119" ht="15.75" customHeight="1">
      <c r="A119" s="130">
        <v>118.0</v>
      </c>
      <c r="B119" s="131" t="s">
        <v>291</v>
      </c>
      <c r="C119" s="132">
        <v>2.6174731E7</v>
      </c>
      <c r="D119" s="131" t="s">
        <v>325</v>
      </c>
      <c r="E119" s="131" t="s">
        <v>718</v>
      </c>
      <c r="F119" s="133" t="s">
        <v>719</v>
      </c>
      <c r="G119" s="131" t="s">
        <v>535</v>
      </c>
      <c r="H119" s="131" t="s">
        <v>539</v>
      </c>
      <c r="I119" s="134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</row>
    <row r="120" ht="15.75" customHeight="1">
      <c r="A120" s="124">
        <v>119.0</v>
      </c>
      <c r="B120" s="125" t="s">
        <v>291</v>
      </c>
      <c r="C120" s="126">
        <v>2.6110822E7</v>
      </c>
      <c r="D120" s="125" t="s">
        <v>327</v>
      </c>
      <c r="E120" s="125" t="s">
        <v>720</v>
      </c>
      <c r="F120" s="127" t="s">
        <v>721</v>
      </c>
      <c r="G120" s="125" t="s">
        <v>535</v>
      </c>
      <c r="H120" s="125" t="s">
        <v>539</v>
      </c>
      <c r="I120" s="128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</row>
    <row r="121" ht="15.75" customHeight="1">
      <c r="A121" s="135">
        <v>120.0</v>
      </c>
      <c r="B121" s="136" t="s">
        <v>291</v>
      </c>
      <c r="C121" s="137">
        <v>2.6111179E7</v>
      </c>
      <c r="D121" s="136" t="s">
        <v>329</v>
      </c>
      <c r="E121" s="136" t="s">
        <v>722</v>
      </c>
      <c r="F121" s="138" t="s">
        <v>723</v>
      </c>
      <c r="G121" s="131" t="s">
        <v>535</v>
      </c>
      <c r="H121" s="131" t="s">
        <v>539</v>
      </c>
      <c r="I121" s="134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</row>
    <row r="122" ht="15.75" customHeight="1">
      <c r="A122" s="124">
        <v>121.0</v>
      </c>
      <c r="B122" s="125" t="s">
        <v>291</v>
      </c>
      <c r="C122" s="126">
        <v>2.6137755E7</v>
      </c>
      <c r="D122" s="125" t="s">
        <v>724</v>
      </c>
      <c r="E122" s="125" t="s">
        <v>725</v>
      </c>
      <c r="F122" s="127" t="s">
        <v>726</v>
      </c>
      <c r="G122" s="125" t="s">
        <v>535</v>
      </c>
      <c r="H122" s="125" t="s">
        <v>539</v>
      </c>
      <c r="I122" s="128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</row>
    <row r="123" ht="15.75" customHeight="1">
      <c r="A123" s="130">
        <v>122.0</v>
      </c>
      <c r="B123" s="131" t="s">
        <v>291</v>
      </c>
      <c r="C123" s="132">
        <v>2.618311E7</v>
      </c>
      <c r="D123" s="131" t="s">
        <v>727</v>
      </c>
      <c r="E123" s="131" t="s">
        <v>728</v>
      </c>
      <c r="F123" s="133" t="s">
        <v>729</v>
      </c>
      <c r="G123" s="131" t="s">
        <v>535</v>
      </c>
      <c r="H123" s="131" t="s">
        <v>539</v>
      </c>
      <c r="I123" s="134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</row>
    <row r="124" ht="15.75" customHeight="1">
      <c r="A124" s="124">
        <v>123.0</v>
      </c>
      <c r="B124" s="125" t="s">
        <v>291</v>
      </c>
      <c r="C124" s="126">
        <v>2.6188155E7</v>
      </c>
      <c r="D124" s="125" t="s">
        <v>341</v>
      </c>
      <c r="E124" s="125" t="s">
        <v>730</v>
      </c>
      <c r="F124" s="127" t="s">
        <v>731</v>
      </c>
      <c r="G124" s="125" t="s">
        <v>535</v>
      </c>
      <c r="H124" s="125" t="s">
        <v>539</v>
      </c>
      <c r="I124" s="128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</row>
    <row r="125" ht="15.75" customHeight="1">
      <c r="A125" s="130">
        <v>124.0</v>
      </c>
      <c r="B125" s="131" t="s">
        <v>291</v>
      </c>
      <c r="C125" s="132">
        <v>2.6179571E7</v>
      </c>
      <c r="D125" s="131" t="s">
        <v>319</v>
      </c>
      <c r="E125" s="131" t="s">
        <v>732</v>
      </c>
      <c r="F125" s="133" t="s">
        <v>733</v>
      </c>
      <c r="G125" s="131" t="s">
        <v>535</v>
      </c>
      <c r="H125" s="131" t="s">
        <v>539</v>
      </c>
      <c r="I125" s="134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</row>
    <row r="126" ht="15.75" customHeight="1">
      <c r="A126" s="124">
        <v>125.0</v>
      </c>
      <c r="B126" s="125" t="s">
        <v>291</v>
      </c>
      <c r="C126" s="126">
        <v>2.6177528E7</v>
      </c>
      <c r="D126" s="125" t="s">
        <v>343</v>
      </c>
      <c r="E126" s="125" t="s">
        <v>734</v>
      </c>
      <c r="F126" s="127" t="s">
        <v>735</v>
      </c>
      <c r="G126" s="125" t="s">
        <v>535</v>
      </c>
      <c r="H126" s="125" t="s">
        <v>539</v>
      </c>
      <c r="I126" s="128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</row>
    <row r="127" ht="15.75" customHeight="1">
      <c r="A127" s="130">
        <v>126.0</v>
      </c>
      <c r="B127" s="131" t="s">
        <v>291</v>
      </c>
      <c r="C127" s="132">
        <v>2.6186098E7</v>
      </c>
      <c r="D127" s="131" t="s">
        <v>736</v>
      </c>
      <c r="E127" s="131" t="s">
        <v>737</v>
      </c>
      <c r="F127" s="133" t="s">
        <v>738</v>
      </c>
      <c r="G127" s="131" t="s">
        <v>535</v>
      </c>
      <c r="H127" s="131" t="s">
        <v>539</v>
      </c>
      <c r="I127" s="134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</row>
    <row r="128" ht="15.75" customHeight="1">
      <c r="A128" s="124">
        <v>127.0</v>
      </c>
      <c r="B128" s="125" t="s">
        <v>291</v>
      </c>
      <c r="C128" s="126">
        <v>2.6178036E7</v>
      </c>
      <c r="D128" s="125" t="s">
        <v>345</v>
      </c>
      <c r="E128" s="125" t="s">
        <v>739</v>
      </c>
      <c r="F128" s="127" t="s">
        <v>740</v>
      </c>
      <c r="G128" s="125" t="s">
        <v>535</v>
      </c>
      <c r="H128" s="125" t="s">
        <v>539</v>
      </c>
      <c r="I128" s="128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</row>
    <row r="129" ht="15.75" customHeight="1">
      <c r="A129" s="130">
        <v>128.0</v>
      </c>
      <c r="B129" s="131" t="s">
        <v>291</v>
      </c>
      <c r="C129" s="132">
        <v>2.611133E7</v>
      </c>
      <c r="D129" s="131" t="s">
        <v>347</v>
      </c>
      <c r="E129" s="131" t="s">
        <v>741</v>
      </c>
      <c r="F129" s="133" t="s">
        <v>742</v>
      </c>
      <c r="G129" s="131" t="s">
        <v>535</v>
      </c>
      <c r="H129" s="131" t="s">
        <v>539</v>
      </c>
      <c r="I129" s="134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</row>
    <row r="130" ht="15.75" customHeight="1">
      <c r="A130" s="124">
        <v>129.0</v>
      </c>
      <c r="B130" s="125" t="s">
        <v>291</v>
      </c>
      <c r="C130" s="126">
        <v>2.617474E7</v>
      </c>
      <c r="D130" s="125" t="s">
        <v>349</v>
      </c>
      <c r="E130" s="125" t="s">
        <v>743</v>
      </c>
      <c r="F130" s="127" t="s">
        <v>744</v>
      </c>
      <c r="G130" s="125" t="s">
        <v>535</v>
      </c>
      <c r="H130" s="125" t="s">
        <v>539</v>
      </c>
      <c r="I130" s="128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</row>
    <row r="131" ht="15.75" customHeight="1">
      <c r="A131" s="130">
        <v>130.0</v>
      </c>
      <c r="B131" s="131" t="s">
        <v>291</v>
      </c>
      <c r="C131" s="132">
        <v>2.6109905E7</v>
      </c>
      <c r="D131" s="131" t="s">
        <v>351</v>
      </c>
      <c r="E131" s="131" t="s">
        <v>745</v>
      </c>
      <c r="F131" s="133" t="s">
        <v>746</v>
      </c>
      <c r="G131" s="131" t="s">
        <v>535</v>
      </c>
      <c r="H131" s="131" t="s">
        <v>536</v>
      </c>
      <c r="I131" s="134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</row>
    <row r="132" ht="15.75" customHeight="1">
      <c r="A132" s="124">
        <v>131.0</v>
      </c>
      <c r="B132" s="125" t="s">
        <v>291</v>
      </c>
      <c r="C132" s="126">
        <v>2.6171546E7</v>
      </c>
      <c r="D132" s="125" t="s">
        <v>354</v>
      </c>
      <c r="E132" s="125" t="s">
        <v>747</v>
      </c>
      <c r="F132" s="127" t="s">
        <v>748</v>
      </c>
      <c r="G132" s="125" t="s">
        <v>535</v>
      </c>
      <c r="H132" s="125" t="s">
        <v>539</v>
      </c>
      <c r="I132" s="128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</row>
    <row r="133" ht="15.75" customHeight="1">
      <c r="A133" s="130">
        <v>132.0</v>
      </c>
      <c r="B133" s="131" t="s">
        <v>356</v>
      </c>
      <c r="C133" s="132">
        <v>2.6193078E7</v>
      </c>
      <c r="D133" s="131" t="s">
        <v>749</v>
      </c>
      <c r="E133" s="131" t="s">
        <v>750</v>
      </c>
      <c r="F133" s="133" t="s">
        <v>751</v>
      </c>
      <c r="G133" s="131" t="s">
        <v>535</v>
      </c>
      <c r="H133" s="131" t="s">
        <v>536</v>
      </c>
      <c r="I133" s="134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</row>
    <row r="134" ht="15.75" customHeight="1">
      <c r="A134" s="124">
        <v>133.0</v>
      </c>
      <c r="B134" s="125" t="s">
        <v>356</v>
      </c>
      <c r="C134" s="126">
        <v>2.6194643E7</v>
      </c>
      <c r="D134" s="125" t="s">
        <v>453</v>
      </c>
      <c r="E134" s="125" t="s">
        <v>752</v>
      </c>
      <c r="F134" s="127" t="s">
        <v>753</v>
      </c>
      <c r="G134" s="125" t="s">
        <v>535</v>
      </c>
      <c r="H134" s="125" t="s">
        <v>536</v>
      </c>
      <c r="I134" s="128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</row>
    <row r="135" ht="15.75" customHeight="1">
      <c r="A135" s="130">
        <v>134.0</v>
      </c>
      <c r="B135" s="131" t="s">
        <v>356</v>
      </c>
      <c r="C135" s="132">
        <v>2.6109255E7</v>
      </c>
      <c r="D135" s="131" t="s">
        <v>360</v>
      </c>
      <c r="E135" s="131" t="s">
        <v>754</v>
      </c>
      <c r="F135" s="133" t="s">
        <v>755</v>
      </c>
      <c r="G135" s="131" t="s">
        <v>535</v>
      </c>
      <c r="H135" s="131" t="s">
        <v>539</v>
      </c>
      <c r="I135" s="134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</row>
    <row r="136" ht="15.75" customHeight="1">
      <c r="A136" s="124">
        <v>135.0</v>
      </c>
      <c r="B136" s="125" t="s">
        <v>356</v>
      </c>
      <c r="C136" s="126">
        <v>2.610953E7</v>
      </c>
      <c r="D136" s="125" t="s">
        <v>362</v>
      </c>
      <c r="E136" s="125" t="s">
        <v>756</v>
      </c>
      <c r="F136" s="127" t="s">
        <v>757</v>
      </c>
      <c r="G136" s="125" t="s">
        <v>535</v>
      </c>
      <c r="H136" s="125" t="s">
        <v>539</v>
      </c>
      <c r="I136" s="128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</row>
    <row r="137" ht="15.75" customHeight="1">
      <c r="A137" s="130">
        <v>136.0</v>
      </c>
      <c r="B137" s="131" t="s">
        <v>356</v>
      </c>
      <c r="C137" s="132">
        <v>2.6110547E7</v>
      </c>
      <c r="D137" s="131" t="s">
        <v>367</v>
      </c>
      <c r="E137" s="131" t="s">
        <v>758</v>
      </c>
      <c r="F137" s="133" t="s">
        <v>759</v>
      </c>
      <c r="G137" s="131" t="s">
        <v>535</v>
      </c>
      <c r="H137" s="131" t="s">
        <v>539</v>
      </c>
      <c r="I137" s="134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</row>
    <row r="138" ht="15.75" customHeight="1">
      <c r="A138" s="124">
        <v>137.0</v>
      </c>
      <c r="B138" s="125" t="s">
        <v>356</v>
      </c>
      <c r="C138" s="126">
        <v>2.618907E7</v>
      </c>
      <c r="D138" s="125" t="s">
        <v>760</v>
      </c>
      <c r="E138" s="125" t="s">
        <v>761</v>
      </c>
      <c r="F138" s="127" t="s">
        <v>762</v>
      </c>
      <c r="G138" s="125" t="s">
        <v>535</v>
      </c>
      <c r="H138" s="125" t="s">
        <v>536</v>
      </c>
      <c r="I138" s="128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</row>
    <row r="139" ht="15.75" customHeight="1">
      <c r="A139" s="130">
        <v>138.0</v>
      </c>
      <c r="B139" s="131" t="s">
        <v>356</v>
      </c>
      <c r="C139" s="132">
        <v>2.6133765E7</v>
      </c>
      <c r="D139" s="131" t="s">
        <v>373</v>
      </c>
      <c r="E139" s="131" t="s">
        <v>763</v>
      </c>
      <c r="F139" s="133" t="s">
        <v>764</v>
      </c>
      <c r="G139" s="131" t="s">
        <v>535</v>
      </c>
      <c r="H139" s="131" t="s">
        <v>536</v>
      </c>
      <c r="I139" s="134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</row>
    <row r="140" ht="15.75" customHeight="1">
      <c r="A140" s="124">
        <v>139.0</v>
      </c>
      <c r="B140" s="125" t="s">
        <v>356</v>
      </c>
      <c r="C140" s="126">
        <v>2.6110911E7</v>
      </c>
      <c r="D140" s="125" t="s">
        <v>376</v>
      </c>
      <c r="E140" s="125" t="s">
        <v>765</v>
      </c>
      <c r="F140" s="127" t="s">
        <v>766</v>
      </c>
      <c r="G140" s="125" t="s">
        <v>535</v>
      </c>
      <c r="H140" s="125" t="s">
        <v>539</v>
      </c>
      <c r="I140" s="128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</row>
    <row r="141" ht="15.75" customHeight="1">
      <c r="A141" s="130">
        <v>140.0</v>
      </c>
      <c r="B141" s="131" t="s">
        <v>356</v>
      </c>
      <c r="C141" s="132">
        <v>2.6133783E7</v>
      </c>
      <c r="D141" s="131" t="s">
        <v>379</v>
      </c>
      <c r="E141" s="131" t="s">
        <v>767</v>
      </c>
      <c r="F141" s="133" t="s">
        <v>768</v>
      </c>
      <c r="G141" s="131" t="s">
        <v>535</v>
      </c>
      <c r="H141" s="131" t="s">
        <v>539</v>
      </c>
      <c r="I141" s="134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</row>
    <row r="142" ht="15.75" customHeight="1">
      <c r="A142" s="124">
        <v>141.0</v>
      </c>
      <c r="B142" s="125" t="s">
        <v>356</v>
      </c>
      <c r="C142" s="126">
        <v>2.6108895E7</v>
      </c>
      <c r="D142" s="125" t="s">
        <v>382</v>
      </c>
      <c r="E142" s="125" t="s">
        <v>769</v>
      </c>
      <c r="F142" s="127" t="s">
        <v>770</v>
      </c>
      <c r="G142" s="125" t="s">
        <v>535</v>
      </c>
      <c r="H142" s="125" t="s">
        <v>539</v>
      </c>
      <c r="I142" s="128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</row>
    <row r="143" ht="15.75" customHeight="1">
      <c r="A143" s="130">
        <v>142.0</v>
      </c>
      <c r="B143" s="131" t="s">
        <v>356</v>
      </c>
      <c r="C143" s="132">
        <v>2.618812E7</v>
      </c>
      <c r="D143" s="131" t="s">
        <v>384</v>
      </c>
      <c r="E143" s="131" t="s">
        <v>771</v>
      </c>
      <c r="F143" s="133" t="s">
        <v>772</v>
      </c>
      <c r="G143" s="131" t="s">
        <v>535</v>
      </c>
      <c r="H143" s="131" t="s">
        <v>539</v>
      </c>
      <c r="I143" s="134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</row>
    <row r="144" ht="15.75" customHeight="1">
      <c r="A144" s="124">
        <v>143.0</v>
      </c>
      <c r="B144" s="125" t="s">
        <v>356</v>
      </c>
      <c r="C144" s="126">
        <v>2.6109956E7</v>
      </c>
      <c r="D144" s="125" t="s">
        <v>386</v>
      </c>
      <c r="E144" s="125" t="s">
        <v>773</v>
      </c>
      <c r="F144" s="127" t="s">
        <v>774</v>
      </c>
      <c r="G144" s="125" t="s">
        <v>535</v>
      </c>
      <c r="H144" s="125" t="s">
        <v>539</v>
      </c>
      <c r="I144" s="128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</row>
    <row r="145" ht="15.75" customHeight="1">
      <c r="A145" s="130">
        <v>144.0</v>
      </c>
      <c r="B145" s="131" t="s">
        <v>356</v>
      </c>
      <c r="C145" s="132">
        <v>2.610919E7</v>
      </c>
      <c r="D145" s="131" t="s">
        <v>388</v>
      </c>
      <c r="E145" s="131" t="s">
        <v>775</v>
      </c>
      <c r="F145" s="133" t="s">
        <v>776</v>
      </c>
      <c r="G145" s="131" t="s">
        <v>535</v>
      </c>
      <c r="H145" s="131" t="s">
        <v>539</v>
      </c>
      <c r="I145" s="134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</row>
    <row r="146" ht="15.75" customHeight="1">
      <c r="A146" s="124">
        <v>145.0</v>
      </c>
      <c r="B146" s="125" t="s">
        <v>356</v>
      </c>
      <c r="C146" s="126">
        <v>2.6188147E7</v>
      </c>
      <c r="D146" s="125" t="s">
        <v>399</v>
      </c>
      <c r="E146" s="125" t="s">
        <v>777</v>
      </c>
      <c r="F146" s="127" t="s">
        <v>778</v>
      </c>
      <c r="G146" s="125" t="s">
        <v>535</v>
      </c>
      <c r="H146" s="125" t="s">
        <v>539</v>
      </c>
      <c r="I146" s="128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</row>
    <row r="147" ht="15.75" customHeight="1">
      <c r="A147" s="130">
        <v>146.0</v>
      </c>
      <c r="B147" s="131" t="s">
        <v>356</v>
      </c>
      <c r="C147" s="132">
        <v>2.6109417E7</v>
      </c>
      <c r="D147" s="131" t="s">
        <v>391</v>
      </c>
      <c r="E147" s="131" t="s">
        <v>779</v>
      </c>
      <c r="F147" s="133" t="s">
        <v>780</v>
      </c>
      <c r="G147" s="131" t="s">
        <v>535</v>
      </c>
      <c r="H147" s="131" t="s">
        <v>539</v>
      </c>
      <c r="I147" s="134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</row>
    <row r="148" ht="15.75" customHeight="1">
      <c r="A148" s="124">
        <v>147.0</v>
      </c>
      <c r="B148" s="125" t="s">
        <v>356</v>
      </c>
      <c r="C148" s="126">
        <v>2.6109743E7</v>
      </c>
      <c r="D148" s="125" t="s">
        <v>393</v>
      </c>
      <c r="E148" s="125" t="s">
        <v>781</v>
      </c>
      <c r="F148" s="127" t="s">
        <v>782</v>
      </c>
      <c r="G148" s="125" t="s">
        <v>535</v>
      </c>
      <c r="H148" s="125" t="s">
        <v>539</v>
      </c>
      <c r="I148" s="128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</row>
    <row r="149" ht="15.75" customHeight="1">
      <c r="A149" s="130">
        <v>148.0</v>
      </c>
      <c r="B149" s="131" t="s">
        <v>356</v>
      </c>
      <c r="C149" s="132">
        <v>2.6188139E7</v>
      </c>
      <c r="D149" s="131" t="s">
        <v>396</v>
      </c>
      <c r="E149" s="131" t="s">
        <v>783</v>
      </c>
      <c r="F149" s="133" t="s">
        <v>784</v>
      </c>
      <c r="G149" s="131" t="s">
        <v>535</v>
      </c>
      <c r="H149" s="131" t="s">
        <v>539</v>
      </c>
      <c r="I149" s="134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</row>
    <row r="150" ht="15.75" customHeight="1">
      <c r="A150" s="124">
        <v>149.0</v>
      </c>
      <c r="B150" s="125" t="s">
        <v>356</v>
      </c>
      <c r="C150" s="126">
        <v>2.6183137E7</v>
      </c>
      <c r="D150" s="125" t="s">
        <v>401</v>
      </c>
      <c r="E150" s="125" t="s">
        <v>785</v>
      </c>
      <c r="F150" s="127" t="s">
        <v>786</v>
      </c>
      <c r="G150" s="125" t="s">
        <v>535</v>
      </c>
      <c r="H150" s="125" t="s">
        <v>539</v>
      </c>
      <c r="I150" s="128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</row>
    <row r="151" ht="15.75" customHeight="1">
      <c r="A151" s="130">
        <v>150.0</v>
      </c>
      <c r="B151" s="131" t="s">
        <v>356</v>
      </c>
      <c r="C151" s="132">
        <v>2.6137747E7</v>
      </c>
      <c r="D151" s="131" t="s">
        <v>404</v>
      </c>
      <c r="E151" s="131" t="s">
        <v>787</v>
      </c>
      <c r="F151" s="133" t="s">
        <v>788</v>
      </c>
      <c r="G151" s="131" t="s">
        <v>535</v>
      </c>
      <c r="H151" s="131" t="s">
        <v>539</v>
      </c>
      <c r="I151" s="134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</row>
    <row r="152" ht="15.75" customHeight="1">
      <c r="A152" s="139">
        <v>151.0</v>
      </c>
      <c r="B152" s="140" t="s">
        <v>356</v>
      </c>
      <c r="C152" s="141">
        <v>2.6183145E7</v>
      </c>
      <c r="D152" s="125" t="s">
        <v>406</v>
      </c>
      <c r="E152" s="140" t="s">
        <v>789</v>
      </c>
      <c r="F152" s="142" t="s">
        <v>790</v>
      </c>
      <c r="G152" s="140" t="s">
        <v>535</v>
      </c>
      <c r="H152" s="140" t="s">
        <v>539</v>
      </c>
      <c r="I152" s="143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</row>
    <row r="153" ht="15.75" customHeight="1">
      <c r="A153" s="144">
        <v>152.0</v>
      </c>
      <c r="B153" s="145" t="s">
        <v>356</v>
      </c>
      <c r="C153" s="146">
        <v>2.6109166E7</v>
      </c>
      <c r="D153" s="145" t="s">
        <v>408</v>
      </c>
      <c r="E153" s="145" t="s">
        <v>791</v>
      </c>
      <c r="F153" s="147" t="s">
        <v>792</v>
      </c>
      <c r="G153" s="145" t="s">
        <v>535</v>
      </c>
      <c r="H153" s="145" t="s">
        <v>536</v>
      </c>
      <c r="I153" s="148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</row>
    <row r="154" ht="15.75" customHeight="1">
      <c r="A154" s="14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</row>
    <row r="155" ht="15.75" customHeight="1">
      <c r="A155" s="14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</row>
    <row r="156" ht="15.75" customHeight="1">
      <c r="A156" s="14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</row>
    <row r="157" ht="15.75" customHeight="1">
      <c r="A157" s="14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</row>
    <row r="158" ht="15.75" customHeight="1">
      <c r="A158" s="149"/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</row>
    <row r="159" ht="15.75" customHeight="1">
      <c r="A159" s="149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</row>
    <row r="160" ht="15.75" customHeight="1">
      <c r="A160" s="149"/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</row>
    <row r="161" ht="15.75" customHeight="1">
      <c r="A161" s="149"/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</row>
    <row r="162" ht="15.75" customHeight="1">
      <c r="A162" s="149"/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</row>
    <row r="163" ht="15.75" customHeight="1">
      <c r="A163" s="129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</row>
    <row r="164" ht="15.75" customHeight="1">
      <c r="A164" s="129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</row>
    <row r="165" ht="15.75" customHeight="1">
      <c r="A165" s="129"/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</row>
    <row r="166" ht="15.75" customHeight="1">
      <c r="A166" s="129"/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</row>
    <row r="167" ht="15.75" customHeight="1">
      <c r="A167" s="129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</row>
    <row r="168" ht="15.75" customHeight="1">
      <c r="A168" s="129"/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</row>
    <row r="169" ht="15.75" customHeight="1">
      <c r="A169" s="129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</row>
    <row r="170" ht="15.75" customHeight="1">
      <c r="A170" s="129"/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</row>
    <row r="171" ht="15.75" customHeight="1">
      <c r="A171" s="129"/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</row>
    <row r="172" ht="15.75" customHeight="1">
      <c r="A172" s="129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</row>
    <row r="173" ht="15.75" customHeight="1">
      <c r="A173" s="129"/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</row>
    <row r="174" ht="15.75" customHeight="1">
      <c r="A174" s="129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</row>
    <row r="175" ht="15.75" customHeight="1">
      <c r="A175" s="129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</row>
    <row r="176" ht="15.75" customHeight="1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</row>
    <row r="177" ht="15.75" customHeight="1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</row>
    <row r="178" ht="15.75" customHeight="1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</row>
    <row r="179" ht="15.75" customHeight="1">
      <c r="A179" s="129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</row>
    <row r="180" ht="15.75" customHeight="1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</row>
    <row r="181" ht="15.75" customHeight="1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</row>
    <row r="182" ht="15.75" customHeight="1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</row>
    <row r="183" ht="15.75" customHeight="1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</row>
    <row r="184" ht="15.75" customHeight="1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</row>
    <row r="185" ht="15.75" customHeight="1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</row>
    <row r="186" ht="15.75" customHeight="1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</row>
    <row r="187" ht="15.75" customHeight="1">
      <c r="A187" s="129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</row>
    <row r="188" ht="15.75" customHeight="1">
      <c r="A188" s="129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</row>
    <row r="189" ht="15.75" customHeight="1">
      <c r="A189" s="129"/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</row>
    <row r="190" ht="15.75" customHeight="1">
      <c r="A190" s="129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</row>
    <row r="191" ht="15.75" customHeight="1">
      <c r="A191" s="129"/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</row>
    <row r="192" ht="15.75" customHeight="1">
      <c r="A192" s="129"/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</row>
    <row r="193" ht="15.75" customHeight="1">
      <c r="A193" s="129"/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</row>
    <row r="194" ht="15.75" customHeight="1">
      <c r="A194" s="129"/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</row>
    <row r="195" ht="15.75" customHeight="1">
      <c r="A195" s="129"/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</row>
    <row r="196" ht="15.75" customHeight="1">
      <c r="A196" s="129"/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</row>
    <row r="197" ht="15.75" customHeight="1">
      <c r="A197" s="129"/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</row>
    <row r="198" ht="15.75" customHeight="1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</row>
    <row r="199" ht="15.75" customHeight="1">
      <c r="A199" s="129"/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</row>
    <row r="200" ht="15.75" customHeight="1">
      <c r="A200" s="129"/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</row>
    <row r="201" ht="15.75" customHeight="1">
      <c r="A201" s="129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</row>
    <row r="202" ht="15.75" customHeight="1">
      <c r="A202" s="129"/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</row>
    <row r="203" ht="15.75" customHeight="1">
      <c r="A203" s="129"/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</row>
    <row r="204" ht="15.75" customHeight="1">
      <c r="A204" s="129"/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</row>
    <row r="205" ht="15.75" customHeight="1">
      <c r="A205" s="129"/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</row>
    <row r="206" ht="15.75" customHeight="1">
      <c r="A206" s="129"/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</row>
    <row r="207" ht="15.75" customHeight="1">
      <c r="A207" s="129"/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</row>
    <row r="208" ht="15.75" customHeight="1">
      <c r="A208" s="129"/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</row>
    <row r="209" ht="15.75" customHeight="1">
      <c r="A209" s="129"/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</row>
    <row r="210" ht="15.75" customHeight="1">
      <c r="A210" s="129"/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</row>
    <row r="211" ht="15.75" customHeight="1">
      <c r="A211" s="129"/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</row>
    <row r="212" ht="15.75" customHeight="1">
      <c r="A212" s="129"/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</row>
    <row r="213" ht="15.75" customHeight="1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</row>
    <row r="214" ht="15.75" customHeight="1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</row>
    <row r="215" ht="15.75" customHeight="1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</row>
    <row r="216" ht="15.75" customHeight="1">
      <c r="A216" s="129"/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</row>
    <row r="217" ht="15.75" customHeight="1">
      <c r="A217" s="129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</row>
    <row r="218" ht="15.75" customHeight="1">
      <c r="A218" s="129"/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</row>
    <row r="219" ht="15.75" customHeight="1">
      <c r="A219" s="129"/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</row>
    <row r="220" ht="15.75" customHeight="1">
      <c r="A220" s="129"/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</row>
    <row r="221" ht="15.75" customHeight="1">
      <c r="A221" s="129"/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</row>
    <row r="222" ht="15.75" customHeight="1">
      <c r="A222" s="129"/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</row>
    <row r="223" ht="15.75" customHeight="1">
      <c r="A223" s="129"/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</row>
    <row r="224" ht="15.75" customHeight="1">
      <c r="A224" s="129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</row>
    <row r="225" ht="15.75" customHeight="1">
      <c r="A225" s="129"/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</row>
    <row r="226" ht="15.75" customHeight="1">
      <c r="A226" s="129"/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</row>
    <row r="227" ht="15.75" customHeight="1">
      <c r="A227" s="129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</row>
    <row r="228" ht="15.75" customHeight="1">
      <c r="A228" s="129"/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</row>
    <row r="229" ht="15.75" customHeight="1">
      <c r="A229" s="129"/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</row>
    <row r="230" ht="15.75" customHeight="1">
      <c r="A230" s="129"/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</row>
    <row r="231" ht="15.75" customHeight="1">
      <c r="A231" s="129"/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</row>
    <row r="232" ht="15.75" customHeight="1">
      <c r="A232" s="129"/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</row>
    <row r="233" ht="15.75" customHeight="1">
      <c r="A233" s="129"/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</row>
    <row r="234" ht="15.75" customHeight="1">
      <c r="A234" s="129"/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</row>
    <row r="235" ht="15.75" customHeight="1">
      <c r="A235" s="129"/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</row>
    <row r="236" ht="15.75" customHeight="1">
      <c r="A236" s="129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</row>
    <row r="237" ht="15.75" customHeight="1">
      <c r="A237" s="129"/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</row>
    <row r="238" ht="15.75" customHeight="1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</row>
    <row r="239" ht="15.75" customHeight="1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9"/>
    </row>
    <row r="240" ht="15.75" customHeight="1">
      <c r="A240" s="129"/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  <c r="R240" s="129"/>
      <c r="S240" s="129"/>
      <c r="T240" s="129"/>
      <c r="U240" s="129"/>
      <c r="V240" s="129"/>
      <c r="W240" s="129"/>
      <c r="X240" s="129"/>
      <c r="Y240" s="129"/>
      <c r="Z240" s="129"/>
    </row>
    <row r="241" ht="15.75" customHeight="1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  <c r="Z241" s="129"/>
    </row>
    <row r="242" ht="15.75" customHeight="1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  <c r="Z242" s="129"/>
    </row>
    <row r="243" ht="15.75" customHeight="1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</row>
    <row r="244" ht="15.75" customHeight="1">
      <c r="A244" s="129"/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</row>
    <row r="245" ht="15.75" customHeight="1">
      <c r="A245" s="129"/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</row>
    <row r="246" ht="15.75" customHeight="1">
      <c r="A246" s="129"/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  <c r="Z246" s="129"/>
    </row>
    <row r="247" ht="15.75" customHeight="1">
      <c r="A247" s="129"/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</row>
    <row r="248" ht="15.75" customHeight="1">
      <c r="A248" s="129"/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  <c r="Z248" s="129"/>
    </row>
    <row r="249" ht="15.75" customHeight="1">
      <c r="A249" s="129"/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  <c r="P249" s="129"/>
      <c r="Q249" s="129"/>
      <c r="R249" s="129"/>
      <c r="S249" s="129"/>
      <c r="T249" s="129"/>
      <c r="U249" s="129"/>
      <c r="V249" s="129"/>
      <c r="W249" s="129"/>
      <c r="X249" s="129"/>
      <c r="Y249" s="129"/>
      <c r="Z249" s="129"/>
    </row>
    <row r="250" ht="15.75" customHeight="1">
      <c r="A250" s="129"/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</row>
    <row r="251" ht="15.75" customHeight="1">
      <c r="A251" s="129"/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/>
      <c r="R251" s="129"/>
      <c r="S251" s="129"/>
      <c r="T251" s="129"/>
      <c r="U251" s="129"/>
      <c r="V251" s="129"/>
      <c r="W251" s="129"/>
      <c r="X251" s="129"/>
      <c r="Y251" s="129"/>
      <c r="Z251" s="129"/>
    </row>
    <row r="252" ht="15.75" customHeight="1">
      <c r="A252" s="129"/>
      <c r="B252" s="129"/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</row>
    <row r="253" ht="15.75" customHeight="1">
      <c r="A253" s="129"/>
      <c r="B253" s="129"/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</row>
    <row r="254" ht="15.75" customHeight="1">
      <c r="A254" s="129"/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</row>
    <row r="255" ht="15.75" customHeight="1">
      <c r="A255" s="129"/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</row>
    <row r="256" ht="15.75" customHeight="1">
      <c r="A256" s="129"/>
      <c r="B256" s="129"/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29"/>
      <c r="U256" s="129"/>
      <c r="V256" s="129"/>
      <c r="W256" s="129"/>
      <c r="X256" s="129"/>
      <c r="Y256" s="129"/>
      <c r="Z256" s="129"/>
    </row>
    <row r="257" ht="15.75" customHeight="1">
      <c r="A257" s="129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  <c r="R257" s="129"/>
      <c r="S257" s="129"/>
      <c r="T257" s="129"/>
      <c r="U257" s="129"/>
      <c r="V257" s="129"/>
      <c r="W257" s="129"/>
      <c r="X257" s="129"/>
      <c r="Y257" s="129"/>
      <c r="Z257" s="129"/>
    </row>
    <row r="258" ht="15.75" customHeight="1">
      <c r="A258" s="129"/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</row>
    <row r="259" ht="15.75" customHeight="1">
      <c r="A259" s="129"/>
      <c r="B259" s="129"/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29"/>
      <c r="U259" s="129"/>
      <c r="V259" s="129"/>
      <c r="W259" s="129"/>
      <c r="X259" s="129"/>
      <c r="Y259" s="129"/>
      <c r="Z259" s="129"/>
    </row>
    <row r="260" ht="15.75" customHeight="1">
      <c r="A260" s="129"/>
      <c r="B260" s="129"/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/>
      <c r="X260" s="129"/>
      <c r="Y260" s="129"/>
      <c r="Z260" s="129"/>
    </row>
    <row r="261" ht="15.75" customHeight="1">
      <c r="A261" s="129"/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/>
      <c r="Z261" s="129"/>
    </row>
    <row r="262" ht="15.75" customHeight="1">
      <c r="A262" s="129"/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</row>
    <row r="263" ht="15.75" customHeight="1">
      <c r="A263" s="129"/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  <c r="Z263" s="129"/>
    </row>
    <row r="264" ht="15.75" customHeight="1">
      <c r="A264" s="129"/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/>
      <c r="W264" s="129"/>
      <c r="X264" s="129"/>
      <c r="Y264" s="129"/>
      <c r="Z264" s="129"/>
    </row>
    <row r="265" ht="15.75" customHeight="1">
      <c r="A265" s="129"/>
      <c r="B265" s="129"/>
      <c r="C265" s="129"/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</row>
    <row r="266" ht="15.75" customHeight="1">
      <c r="A266" s="129"/>
      <c r="B266" s="129"/>
      <c r="C266" s="129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  <c r="P266" s="129"/>
      <c r="Q266" s="129"/>
      <c r="R266" s="129"/>
      <c r="S266" s="129"/>
      <c r="T266" s="129"/>
      <c r="U266" s="129"/>
      <c r="V266" s="129"/>
      <c r="W266" s="129"/>
      <c r="X266" s="129"/>
      <c r="Y266" s="129"/>
      <c r="Z266" s="129"/>
    </row>
    <row r="267" ht="15.75" customHeight="1">
      <c r="A267" s="129"/>
      <c r="B267" s="129"/>
      <c r="C267" s="129"/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  <c r="P267" s="129"/>
      <c r="Q267" s="129"/>
      <c r="R267" s="129"/>
      <c r="S267" s="129"/>
      <c r="T267" s="129"/>
      <c r="U267" s="129"/>
      <c r="V267" s="129"/>
      <c r="W267" s="129"/>
      <c r="X267" s="129"/>
      <c r="Y267" s="129"/>
      <c r="Z267" s="129"/>
    </row>
    <row r="268" ht="15.75" customHeight="1">
      <c r="A268" s="129"/>
      <c r="B268" s="129"/>
      <c r="C268" s="129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  <c r="P268" s="129"/>
      <c r="Q268" s="129"/>
      <c r="R268" s="129"/>
      <c r="S268" s="129"/>
      <c r="T268" s="129"/>
      <c r="U268" s="129"/>
      <c r="V268" s="129"/>
      <c r="W268" s="129"/>
      <c r="X268" s="129"/>
      <c r="Y268" s="129"/>
      <c r="Z268" s="129"/>
    </row>
    <row r="269" ht="15.75" customHeight="1">
      <c r="A269" s="129"/>
      <c r="B269" s="129"/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/>
      <c r="Y269" s="129"/>
      <c r="Z269" s="129"/>
    </row>
    <row r="270" ht="15.75" customHeight="1">
      <c r="A270" s="129"/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</row>
    <row r="271" ht="15.75" customHeight="1">
      <c r="A271" s="129"/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</row>
    <row r="272" ht="15.75" customHeight="1">
      <c r="A272" s="129"/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</row>
    <row r="273" ht="15.75" customHeight="1">
      <c r="A273" s="129"/>
      <c r="B273" s="129"/>
      <c r="C273" s="129"/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</row>
    <row r="274" ht="15.75" customHeight="1">
      <c r="A274" s="129"/>
      <c r="B274" s="129"/>
      <c r="C274" s="129"/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  <c r="P274" s="129"/>
      <c r="Q274" s="129"/>
      <c r="R274" s="129"/>
      <c r="S274" s="129"/>
      <c r="T274" s="129"/>
      <c r="U274" s="129"/>
      <c r="V274" s="129"/>
      <c r="W274" s="129"/>
      <c r="X274" s="129"/>
      <c r="Y274" s="129"/>
      <c r="Z274" s="129"/>
    </row>
    <row r="275" ht="15.75" customHeight="1">
      <c r="A275" s="129"/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/>
      <c r="W275" s="129"/>
      <c r="X275" s="129"/>
      <c r="Y275" s="129"/>
      <c r="Z275" s="129"/>
    </row>
    <row r="276" ht="15.75" customHeight="1">
      <c r="A276" s="129"/>
      <c r="B276" s="129"/>
      <c r="C276" s="129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  <c r="R276" s="129"/>
      <c r="S276" s="129"/>
      <c r="T276" s="129"/>
      <c r="U276" s="129"/>
      <c r="V276" s="129"/>
      <c r="W276" s="129"/>
      <c r="X276" s="129"/>
      <c r="Y276" s="129"/>
      <c r="Z276" s="129"/>
    </row>
    <row r="277" ht="15.75" customHeight="1">
      <c r="A277" s="129"/>
      <c r="B277" s="129"/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/>
      <c r="X277" s="129"/>
      <c r="Y277" s="129"/>
      <c r="Z277" s="129"/>
    </row>
    <row r="278" ht="15.75" customHeight="1">
      <c r="A278" s="129"/>
      <c r="B278" s="129"/>
      <c r="C278" s="129"/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  <c r="R278" s="129"/>
      <c r="S278" s="129"/>
      <c r="T278" s="129"/>
      <c r="U278" s="129"/>
      <c r="V278" s="129"/>
      <c r="W278" s="129"/>
      <c r="X278" s="129"/>
      <c r="Y278" s="129"/>
      <c r="Z278" s="129"/>
    </row>
    <row r="279" ht="15.75" customHeight="1">
      <c r="A279" s="129"/>
      <c r="B279" s="129"/>
      <c r="C279" s="129"/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/>
      <c r="X279" s="129"/>
      <c r="Y279" s="129"/>
      <c r="Z279" s="129"/>
    </row>
    <row r="280" ht="15.75" customHeight="1">
      <c r="A280" s="129"/>
      <c r="B280" s="129"/>
      <c r="C280" s="129"/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/>
      <c r="V280" s="129"/>
      <c r="W280" s="129"/>
      <c r="X280" s="129"/>
      <c r="Y280" s="129"/>
      <c r="Z280" s="129"/>
    </row>
    <row r="281" ht="15.75" customHeight="1">
      <c r="A281" s="129"/>
      <c r="B281" s="129"/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</row>
    <row r="282" ht="15.75" customHeight="1">
      <c r="A282" s="129"/>
      <c r="B282" s="129"/>
      <c r="C282" s="129"/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/>
    </row>
    <row r="283" ht="15.75" customHeight="1">
      <c r="A283" s="129"/>
      <c r="B283" s="129"/>
      <c r="C283" s="129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29"/>
      <c r="U283" s="129"/>
      <c r="V283" s="129"/>
      <c r="W283" s="129"/>
      <c r="X283" s="129"/>
      <c r="Y283" s="129"/>
      <c r="Z283" s="129"/>
    </row>
    <row r="284" ht="15.75" customHeight="1">
      <c r="A284" s="129"/>
      <c r="B284" s="129"/>
      <c r="C284" s="129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  <c r="W284" s="129"/>
      <c r="X284" s="129"/>
      <c r="Y284" s="129"/>
      <c r="Z284" s="129"/>
    </row>
    <row r="285" ht="15.75" customHeight="1">
      <c r="A285" s="129"/>
      <c r="B285" s="129"/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</row>
    <row r="286" ht="15.75" customHeight="1">
      <c r="A286" s="129"/>
      <c r="B286" s="129"/>
      <c r="C286" s="129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  <c r="P286" s="129"/>
      <c r="Q286" s="129"/>
      <c r="R286" s="129"/>
      <c r="S286" s="129"/>
      <c r="T286" s="129"/>
      <c r="U286" s="129"/>
      <c r="V286" s="129"/>
      <c r="W286" s="129"/>
      <c r="X286" s="129"/>
      <c r="Y286" s="129"/>
      <c r="Z286" s="129"/>
    </row>
    <row r="287" ht="15.75" customHeight="1">
      <c r="A287" s="129"/>
      <c r="B287" s="129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/>
      <c r="V287" s="129"/>
      <c r="W287" s="129"/>
      <c r="X287" s="129"/>
      <c r="Y287" s="129"/>
      <c r="Z287" s="129"/>
    </row>
    <row r="288" ht="15.75" customHeight="1">
      <c r="A288" s="129"/>
      <c r="B288" s="129"/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29"/>
      <c r="U288" s="129"/>
      <c r="V288" s="129"/>
      <c r="W288" s="129"/>
      <c r="X288" s="129"/>
      <c r="Y288" s="129"/>
      <c r="Z288" s="129"/>
    </row>
    <row r="289" ht="15.75" customHeight="1">
      <c r="A289" s="129"/>
      <c r="B289" s="129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/>
      <c r="X289" s="129"/>
      <c r="Y289" s="129"/>
      <c r="Z289" s="129"/>
    </row>
    <row r="290" ht="15.75" customHeight="1">
      <c r="A290" s="129"/>
      <c r="B290" s="129"/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129"/>
      <c r="Z290" s="129"/>
    </row>
    <row r="291" ht="15.75" customHeight="1">
      <c r="A291" s="129"/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</row>
    <row r="292" ht="15.75" customHeight="1">
      <c r="A292" s="129"/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129"/>
      <c r="Z292" s="129"/>
    </row>
    <row r="293" ht="15.75" customHeight="1">
      <c r="A293" s="129"/>
      <c r="B293" s="129"/>
      <c r="C293" s="129"/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/>
      <c r="W293" s="129"/>
      <c r="X293" s="129"/>
      <c r="Y293" s="129"/>
      <c r="Z293" s="129"/>
    </row>
    <row r="294" ht="15.75" customHeight="1">
      <c r="A294" s="129"/>
      <c r="B294" s="129"/>
      <c r="C294" s="129"/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29"/>
      <c r="U294" s="129"/>
      <c r="V294" s="129"/>
      <c r="W294" s="129"/>
      <c r="X294" s="129"/>
      <c r="Y294" s="129"/>
      <c r="Z294" s="129"/>
    </row>
    <row r="295" ht="15.75" customHeight="1">
      <c r="A295" s="129"/>
      <c r="B295" s="129"/>
      <c r="C295" s="129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  <c r="R295" s="129"/>
      <c r="S295" s="129"/>
      <c r="T295" s="129"/>
      <c r="U295" s="129"/>
      <c r="V295" s="129"/>
      <c r="W295" s="129"/>
      <c r="X295" s="129"/>
      <c r="Y295" s="129"/>
      <c r="Z295" s="129"/>
    </row>
    <row r="296" ht="15.75" customHeight="1">
      <c r="A296" s="129"/>
      <c r="B296" s="129"/>
      <c r="C296" s="129"/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  <c r="W296" s="129"/>
      <c r="X296" s="129"/>
      <c r="Y296" s="129"/>
      <c r="Z296" s="129"/>
    </row>
    <row r="297" ht="15.75" customHeight="1">
      <c r="A297" s="129"/>
      <c r="B297" s="129"/>
      <c r="C297" s="129"/>
      <c r="D297" s="129"/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</row>
    <row r="298" ht="15.75" customHeight="1">
      <c r="A298" s="129"/>
      <c r="B298" s="129"/>
      <c r="C298" s="129"/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29"/>
      <c r="W298" s="129"/>
      <c r="X298" s="129"/>
      <c r="Y298" s="129"/>
      <c r="Z298" s="129"/>
    </row>
    <row r="299" ht="15.75" customHeight="1">
      <c r="A299" s="129"/>
      <c r="B299" s="129"/>
      <c r="C299" s="129"/>
      <c r="D299" s="129"/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  <c r="O299" s="129"/>
      <c r="P299" s="129"/>
      <c r="Q299" s="129"/>
      <c r="R299" s="129"/>
      <c r="S299" s="129"/>
      <c r="T299" s="129"/>
      <c r="U299" s="129"/>
      <c r="V299" s="129"/>
      <c r="W299" s="129"/>
      <c r="X299" s="129"/>
      <c r="Y299" s="129"/>
      <c r="Z299" s="129"/>
    </row>
    <row r="300" ht="15.75" customHeight="1">
      <c r="A300" s="129"/>
      <c r="B300" s="129"/>
      <c r="C300" s="129"/>
      <c r="D300" s="129"/>
      <c r="E300" s="129"/>
      <c r="F300" s="129"/>
      <c r="G300" s="129"/>
      <c r="H300" s="129"/>
      <c r="I300" s="129"/>
      <c r="J300" s="129"/>
      <c r="K300" s="129"/>
      <c r="L300" s="129"/>
      <c r="M300" s="129"/>
      <c r="N300" s="129"/>
      <c r="O300" s="129"/>
      <c r="P300" s="129"/>
      <c r="Q300" s="129"/>
      <c r="R300" s="129"/>
      <c r="S300" s="129"/>
      <c r="T300" s="129"/>
      <c r="U300" s="129"/>
      <c r="V300" s="129"/>
      <c r="W300" s="129"/>
      <c r="X300" s="129"/>
      <c r="Y300" s="129"/>
      <c r="Z300" s="129"/>
    </row>
    <row r="301" ht="15.75" customHeight="1">
      <c r="A301" s="129"/>
      <c r="B301" s="129"/>
      <c r="C301" s="129"/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29"/>
      <c r="U301" s="129"/>
      <c r="V301" s="129"/>
      <c r="W301" s="129"/>
      <c r="X301" s="129"/>
      <c r="Y301" s="129"/>
      <c r="Z301" s="129"/>
    </row>
    <row r="302" ht="15.75" customHeight="1">
      <c r="A302" s="129"/>
      <c r="B302" s="129"/>
      <c r="C302" s="129"/>
      <c r="D302" s="129"/>
      <c r="E302" s="129"/>
      <c r="F302" s="129"/>
      <c r="G302" s="129"/>
      <c r="H302" s="129"/>
      <c r="I302" s="129"/>
      <c r="J302" s="129"/>
      <c r="K302" s="129"/>
      <c r="L302" s="129"/>
      <c r="M302" s="129"/>
      <c r="N302" s="129"/>
      <c r="O302" s="129"/>
      <c r="P302" s="129"/>
      <c r="Q302" s="129"/>
      <c r="R302" s="129"/>
      <c r="S302" s="129"/>
      <c r="T302" s="129"/>
      <c r="U302" s="129"/>
      <c r="V302" s="129"/>
      <c r="W302" s="129"/>
      <c r="X302" s="129"/>
      <c r="Y302" s="129"/>
      <c r="Z302" s="129"/>
    </row>
    <row r="303" ht="15.75" customHeight="1">
      <c r="A303" s="129"/>
      <c r="B303" s="129"/>
      <c r="C303" s="129"/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  <c r="O303" s="129"/>
      <c r="P303" s="129"/>
      <c r="Q303" s="129"/>
      <c r="R303" s="129"/>
      <c r="S303" s="129"/>
      <c r="T303" s="129"/>
      <c r="U303" s="129"/>
      <c r="V303" s="129"/>
      <c r="W303" s="129"/>
      <c r="X303" s="129"/>
      <c r="Y303" s="129"/>
      <c r="Z303" s="129"/>
    </row>
    <row r="304" ht="15.75" customHeight="1">
      <c r="A304" s="129"/>
      <c r="B304" s="129"/>
      <c r="C304" s="129"/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29"/>
      <c r="O304" s="129"/>
      <c r="P304" s="129"/>
      <c r="Q304" s="129"/>
      <c r="R304" s="129"/>
      <c r="S304" s="129"/>
      <c r="T304" s="129"/>
      <c r="U304" s="129"/>
      <c r="V304" s="129"/>
      <c r="W304" s="129"/>
      <c r="X304" s="129"/>
      <c r="Y304" s="129"/>
      <c r="Z304" s="129"/>
    </row>
    <row r="305" ht="15.75" customHeight="1">
      <c r="A305" s="129"/>
      <c r="B305" s="129"/>
      <c r="C305" s="129"/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29"/>
      <c r="P305" s="129"/>
      <c r="Q305" s="129"/>
      <c r="R305" s="129"/>
      <c r="S305" s="129"/>
      <c r="T305" s="129"/>
      <c r="U305" s="129"/>
      <c r="V305" s="129"/>
      <c r="W305" s="129"/>
      <c r="X305" s="129"/>
      <c r="Y305" s="129"/>
      <c r="Z305" s="129"/>
    </row>
    <row r="306" ht="15.75" customHeight="1">
      <c r="A306" s="129"/>
      <c r="B306" s="129"/>
      <c r="C306" s="129"/>
      <c r="D306" s="129"/>
      <c r="E306" s="129"/>
      <c r="F306" s="129"/>
      <c r="G306" s="129"/>
      <c r="H306" s="129"/>
      <c r="I306" s="129"/>
      <c r="J306" s="129"/>
      <c r="K306" s="129"/>
      <c r="L306" s="129"/>
      <c r="M306" s="129"/>
      <c r="N306" s="129"/>
      <c r="O306" s="129"/>
      <c r="P306" s="129"/>
      <c r="Q306" s="129"/>
      <c r="R306" s="129"/>
      <c r="S306" s="129"/>
      <c r="T306" s="129"/>
      <c r="U306" s="129"/>
      <c r="V306" s="129"/>
      <c r="W306" s="129"/>
      <c r="X306" s="129"/>
      <c r="Y306" s="129"/>
      <c r="Z306" s="129"/>
    </row>
    <row r="307" ht="15.75" customHeight="1">
      <c r="A307" s="129"/>
      <c r="B307" s="129"/>
      <c r="C307" s="129"/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  <c r="O307" s="129"/>
      <c r="P307" s="129"/>
      <c r="Q307" s="129"/>
      <c r="R307" s="129"/>
      <c r="S307" s="129"/>
      <c r="T307" s="129"/>
      <c r="U307" s="129"/>
      <c r="V307" s="129"/>
      <c r="W307" s="129"/>
      <c r="X307" s="129"/>
      <c r="Y307" s="129"/>
      <c r="Z307" s="129"/>
    </row>
    <row r="308" ht="15.75" customHeight="1">
      <c r="A308" s="129"/>
      <c r="B308" s="129"/>
      <c r="C308" s="129"/>
      <c r="D308" s="129"/>
      <c r="E308" s="129"/>
      <c r="F308" s="129"/>
      <c r="G308" s="129"/>
      <c r="H308" s="129"/>
      <c r="I308" s="129"/>
      <c r="J308" s="129"/>
      <c r="K308" s="129"/>
      <c r="L308" s="129"/>
      <c r="M308" s="129"/>
      <c r="N308" s="129"/>
      <c r="O308" s="129"/>
      <c r="P308" s="129"/>
      <c r="Q308" s="129"/>
      <c r="R308" s="129"/>
      <c r="S308" s="129"/>
      <c r="T308" s="129"/>
      <c r="U308" s="129"/>
      <c r="V308" s="129"/>
      <c r="W308" s="129"/>
      <c r="X308" s="129"/>
      <c r="Y308" s="129"/>
      <c r="Z308" s="129"/>
    </row>
    <row r="309" ht="15.75" customHeight="1">
      <c r="A309" s="129"/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29"/>
      <c r="P309" s="129"/>
      <c r="Q309" s="129"/>
      <c r="R309" s="129"/>
      <c r="S309" s="129"/>
      <c r="T309" s="129"/>
      <c r="U309" s="129"/>
      <c r="V309" s="129"/>
      <c r="W309" s="129"/>
      <c r="X309" s="129"/>
      <c r="Y309" s="129"/>
      <c r="Z309" s="129"/>
    </row>
    <row r="310" ht="15.75" customHeight="1">
      <c r="A310" s="129"/>
      <c r="B310" s="129"/>
      <c r="C310" s="129"/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29"/>
      <c r="O310" s="129"/>
      <c r="P310" s="129"/>
      <c r="Q310" s="129"/>
      <c r="R310" s="129"/>
      <c r="S310" s="129"/>
      <c r="T310" s="129"/>
      <c r="U310" s="129"/>
      <c r="V310" s="129"/>
      <c r="W310" s="129"/>
      <c r="X310" s="129"/>
      <c r="Y310" s="129"/>
      <c r="Z310" s="129"/>
    </row>
    <row r="311" ht="15.75" customHeight="1">
      <c r="A311" s="129"/>
      <c r="B311" s="129"/>
      <c r="C311" s="129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29"/>
      <c r="P311" s="129"/>
      <c r="Q311" s="129"/>
      <c r="R311" s="129"/>
      <c r="S311" s="129"/>
      <c r="T311" s="129"/>
      <c r="U311" s="129"/>
      <c r="V311" s="129"/>
      <c r="W311" s="129"/>
      <c r="X311" s="129"/>
      <c r="Y311" s="129"/>
      <c r="Z311" s="129"/>
    </row>
    <row r="312" ht="15.75" customHeight="1">
      <c r="A312" s="129"/>
      <c r="B312" s="129"/>
      <c r="C312" s="129"/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29"/>
      <c r="U312" s="129"/>
      <c r="V312" s="129"/>
      <c r="W312" s="129"/>
      <c r="X312" s="129"/>
      <c r="Y312" s="129"/>
      <c r="Z312" s="129"/>
    </row>
    <row r="313" ht="15.75" customHeight="1">
      <c r="A313" s="129"/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  <c r="X313" s="129"/>
      <c r="Y313" s="129"/>
      <c r="Z313" s="129"/>
    </row>
    <row r="314" ht="15.75" customHeight="1">
      <c r="A314" s="129"/>
      <c r="B314" s="129"/>
      <c r="C314" s="129"/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29"/>
      <c r="O314" s="129"/>
      <c r="P314" s="129"/>
      <c r="Q314" s="129"/>
      <c r="R314" s="129"/>
      <c r="S314" s="129"/>
      <c r="T314" s="129"/>
      <c r="U314" s="129"/>
      <c r="V314" s="129"/>
      <c r="W314" s="129"/>
      <c r="X314" s="129"/>
      <c r="Y314" s="129"/>
      <c r="Z314" s="129"/>
    </row>
    <row r="315" ht="15.75" customHeight="1">
      <c r="A315" s="129"/>
      <c r="B315" s="129"/>
      <c r="C315" s="129"/>
      <c r="D315" s="129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29"/>
      <c r="P315" s="129"/>
      <c r="Q315" s="129"/>
      <c r="R315" s="129"/>
      <c r="S315" s="129"/>
      <c r="T315" s="129"/>
      <c r="U315" s="129"/>
      <c r="V315" s="129"/>
      <c r="W315" s="129"/>
      <c r="X315" s="129"/>
      <c r="Y315" s="129"/>
      <c r="Z315" s="129"/>
    </row>
    <row r="316" ht="15.75" customHeight="1">
      <c r="A316" s="129"/>
      <c r="B316" s="129"/>
      <c r="C316" s="129"/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29"/>
      <c r="O316" s="129"/>
      <c r="P316" s="129"/>
      <c r="Q316" s="129"/>
      <c r="R316" s="129"/>
      <c r="S316" s="129"/>
      <c r="T316" s="129"/>
      <c r="U316" s="129"/>
      <c r="V316" s="129"/>
      <c r="W316" s="129"/>
      <c r="X316" s="129"/>
      <c r="Y316" s="129"/>
      <c r="Z316" s="129"/>
    </row>
    <row r="317" ht="15.75" customHeight="1">
      <c r="A317" s="129"/>
      <c r="B317" s="129"/>
      <c r="C317" s="129"/>
      <c r="D317" s="129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29"/>
      <c r="P317" s="129"/>
      <c r="Q317" s="129"/>
      <c r="R317" s="129"/>
      <c r="S317" s="129"/>
      <c r="T317" s="129"/>
      <c r="U317" s="129"/>
      <c r="V317" s="129"/>
      <c r="W317" s="129"/>
      <c r="X317" s="129"/>
      <c r="Y317" s="129"/>
      <c r="Z317" s="129"/>
    </row>
    <row r="318" ht="15.75" customHeight="1">
      <c r="A318" s="129"/>
      <c r="B318" s="129"/>
      <c r="C318" s="129"/>
      <c r="D318" s="129"/>
      <c r="E318" s="129"/>
      <c r="F318" s="129"/>
      <c r="G318" s="129"/>
      <c r="H318" s="129"/>
      <c r="I318" s="129"/>
      <c r="J318" s="129"/>
      <c r="K318" s="129"/>
      <c r="L318" s="129"/>
      <c r="M318" s="129"/>
      <c r="N318" s="129"/>
      <c r="O318" s="129"/>
      <c r="P318" s="129"/>
      <c r="Q318" s="129"/>
      <c r="R318" s="129"/>
      <c r="S318" s="129"/>
      <c r="T318" s="129"/>
      <c r="U318" s="129"/>
      <c r="V318" s="129"/>
      <c r="W318" s="129"/>
      <c r="X318" s="129"/>
      <c r="Y318" s="129"/>
      <c r="Z318" s="129"/>
    </row>
    <row r="319" ht="15.75" customHeight="1">
      <c r="A319" s="129"/>
      <c r="B319" s="129"/>
      <c r="C319" s="129"/>
      <c r="D319" s="129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29"/>
      <c r="P319" s="129"/>
      <c r="Q319" s="129"/>
      <c r="R319" s="129"/>
      <c r="S319" s="129"/>
      <c r="T319" s="129"/>
      <c r="U319" s="129"/>
      <c r="V319" s="129"/>
      <c r="W319" s="129"/>
      <c r="X319" s="129"/>
      <c r="Y319" s="129"/>
      <c r="Z319" s="129"/>
    </row>
    <row r="320" ht="15.75" customHeight="1">
      <c r="A320" s="129"/>
      <c r="B320" s="129"/>
      <c r="C320" s="129"/>
      <c r="D320" s="129"/>
      <c r="E320" s="129"/>
      <c r="F320" s="129"/>
      <c r="G320" s="129"/>
      <c r="H320" s="129"/>
      <c r="I320" s="129"/>
      <c r="J320" s="129"/>
      <c r="K320" s="129"/>
      <c r="L320" s="129"/>
      <c r="M320" s="129"/>
      <c r="N320" s="129"/>
      <c r="O320" s="129"/>
      <c r="P320" s="129"/>
      <c r="Q320" s="129"/>
      <c r="R320" s="129"/>
      <c r="S320" s="129"/>
      <c r="T320" s="129"/>
      <c r="U320" s="129"/>
      <c r="V320" s="129"/>
      <c r="W320" s="129"/>
      <c r="X320" s="129"/>
      <c r="Y320" s="129"/>
      <c r="Z320" s="129"/>
    </row>
    <row r="321" ht="15.75" customHeight="1">
      <c r="A321" s="129"/>
      <c r="B321" s="129"/>
      <c r="C321" s="129"/>
      <c r="D321" s="129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29"/>
      <c r="P321" s="129"/>
      <c r="Q321" s="129"/>
      <c r="R321" s="129"/>
      <c r="S321" s="129"/>
      <c r="T321" s="129"/>
      <c r="U321" s="129"/>
      <c r="V321" s="129"/>
      <c r="W321" s="129"/>
      <c r="X321" s="129"/>
      <c r="Y321" s="129"/>
      <c r="Z321" s="129"/>
    </row>
    <row r="322" ht="15.75" customHeight="1">
      <c r="A322" s="129"/>
      <c r="B322" s="129"/>
      <c r="C322" s="129"/>
      <c r="D322" s="129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129"/>
      <c r="R322" s="129"/>
      <c r="S322" s="129"/>
      <c r="T322" s="129"/>
      <c r="U322" s="129"/>
      <c r="V322" s="129"/>
      <c r="W322" s="129"/>
      <c r="X322" s="129"/>
      <c r="Y322" s="129"/>
      <c r="Z322" s="129"/>
    </row>
    <row r="323" ht="15.75" customHeight="1">
      <c r="A323" s="129"/>
      <c r="B323" s="129"/>
      <c r="C323" s="129"/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129"/>
      <c r="P323" s="129"/>
      <c r="Q323" s="129"/>
      <c r="R323" s="129"/>
      <c r="S323" s="129"/>
      <c r="T323" s="129"/>
      <c r="U323" s="129"/>
      <c r="V323" s="129"/>
      <c r="W323" s="129"/>
      <c r="X323" s="129"/>
      <c r="Y323" s="129"/>
      <c r="Z323" s="129"/>
    </row>
    <row r="324" ht="15.75" customHeight="1">
      <c r="A324" s="129"/>
      <c r="B324" s="129"/>
      <c r="C324" s="129"/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29"/>
      <c r="U324" s="129"/>
      <c r="V324" s="129"/>
      <c r="W324" s="129"/>
      <c r="X324" s="129"/>
      <c r="Y324" s="129"/>
      <c r="Z324" s="129"/>
    </row>
    <row r="325" ht="15.75" customHeight="1">
      <c r="A325" s="129"/>
      <c r="B325" s="129"/>
      <c r="C325" s="129"/>
      <c r="D325" s="129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29"/>
      <c r="P325" s="129"/>
      <c r="Q325" s="129"/>
      <c r="R325" s="129"/>
      <c r="S325" s="129"/>
      <c r="T325" s="129"/>
      <c r="U325" s="129"/>
      <c r="V325" s="129"/>
      <c r="W325" s="129"/>
      <c r="X325" s="129"/>
      <c r="Y325" s="129"/>
      <c r="Z325" s="129"/>
    </row>
    <row r="326" ht="15.75" customHeight="1">
      <c r="A326" s="129"/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29"/>
      <c r="U326" s="129"/>
      <c r="V326" s="129"/>
      <c r="W326" s="129"/>
      <c r="X326" s="129"/>
      <c r="Y326" s="129"/>
      <c r="Z326" s="129"/>
    </row>
    <row r="327" ht="15.75" customHeight="1">
      <c r="A327" s="129"/>
      <c r="B327" s="129"/>
      <c r="C327" s="129"/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29"/>
      <c r="O327" s="129"/>
      <c r="P327" s="129"/>
      <c r="Q327" s="129"/>
      <c r="R327" s="129"/>
      <c r="S327" s="129"/>
      <c r="T327" s="129"/>
      <c r="U327" s="129"/>
      <c r="V327" s="129"/>
      <c r="W327" s="129"/>
      <c r="X327" s="129"/>
      <c r="Y327" s="129"/>
      <c r="Z327" s="129"/>
    </row>
    <row r="328" ht="15.75" customHeight="1">
      <c r="A328" s="129"/>
      <c r="B328" s="129"/>
      <c r="C328" s="129"/>
      <c r="D328" s="129"/>
      <c r="E328" s="129"/>
      <c r="F328" s="129"/>
      <c r="G328" s="129"/>
      <c r="H328" s="129"/>
      <c r="I328" s="129"/>
      <c r="J328" s="129"/>
      <c r="K328" s="129"/>
      <c r="L328" s="129"/>
      <c r="M328" s="129"/>
      <c r="N328" s="129"/>
      <c r="O328" s="129"/>
      <c r="P328" s="129"/>
      <c r="Q328" s="129"/>
      <c r="R328" s="129"/>
      <c r="S328" s="129"/>
      <c r="T328" s="129"/>
      <c r="U328" s="129"/>
      <c r="V328" s="129"/>
      <c r="W328" s="129"/>
      <c r="X328" s="129"/>
      <c r="Y328" s="129"/>
      <c r="Z328" s="129"/>
    </row>
    <row r="329" ht="15.75" customHeight="1">
      <c r="A329" s="129"/>
      <c r="B329" s="129"/>
      <c r="C329" s="129"/>
      <c r="D329" s="129"/>
      <c r="E329" s="129"/>
      <c r="F329" s="129"/>
      <c r="G329" s="129"/>
      <c r="H329" s="129"/>
      <c r="I329" s="129"/>
      <c r="J329" s="129"/>
      <c r="K329" s="129"/>
      <c r="L329" s="129"/>
      <c r="M329" s="129"/>
      <c r="N329" s="129"/>
      <c r="O329" s="129"/>
      <c r="P329" s="129"/>
      <c r="Q329" s="129"/>
      <c r="R329" s="129"/>
      <c r="S329" s="129"/>
      <c r="T329" s="129"/>
      <c r="U329" s="129"/>
      <c r="V329" s="129"/>
      <c r="W329" s="129"/>
      <c r="X329" s="129"/>
      <c r="Y329" s="129"/>
      <c r="Z329" s="129"/>
    </row>
    <row r="330" ht="15.75" customHeight="1">
      <c r="A330" s="129"/>
      <c r="B330" s="129"/>
      <c r="C330" s="129"/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29"/>
      <c r="O330" s="129"/>
      <c r="P330" s="129"/>
      <c r="Q330" s="129"/>
      <c r="R330" s="129"/>
      <c r="S330" s="129"/>
      <c r="T330" s="129"/>
      <c r="U330" s="129"/>
      <c r="V330" s="129"/>
      <c r="W330" s="129"/>
      <c r="X330" s="129"/>
      <c r="Y330" s="129"/>
      <c r="Z330" s="129"/>
    </row>
    <row r="331" ht="15.75" customHeight="1">
      <c r="A331" s="129"/>
      <c r="B331" s="129"/>
      <c r="C331" s="129"/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29"/>
      <c r="P331" s="129"/>
      <c r="Q331" s="129"/>
      <c r="R331" s="129"/>
      <c r="S331" s="129"/>
      <c r="T331" s="129"/>
      <c r="U331" s="129"/>
      <c r="V331" s="129"/>
      <c r="W331" s="129"/>
      <c r="X331" s="129"/>
      <c r="Y331" s="129"/>
      <c r="Z331" s="129"/>
    </row>
    <row r="332" ht="15.75" customHeight="1">
      <c r="A332" s="129"/>
      <c r="B332" s="129"/>
      <c r="C332" s="129"/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  <c r="R332" s="129"/>
      <c r="S332" s="129"/>
      <c r="T332" s="129"/>
      <c r="U332" s="129"/>
      <c r="V332" s="129"/>
      <c r="W332" s="129"/>
      <c r="X332" s="129"/>
      <c r="Y332" s="129"/>
      <c r="Z332" s="129"/>
    </row>
    <row r="333" ht="15.75" customHeight="1">
      <c r="A333" s="129"/>
      <c r="B333" s="129"/>
      <c r="C333" s="129"/>
      <c r="D333" s="129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29"/>
      <c r="P333" s="129"/>
      <c r="Q333" s="129"/>
      <c r="R333" s="129"/>
      <c r="S333" s="129"/>
      <c r="T333" s="129"/>
      <c r="U333" s="129"/>
      <c r="V333" s="129"/>
      <c r="W333" s="129"/>
      <c r="X333" s="129"/>
      <c r="Y333" s="129"/>
      <c r="Z333" s="129"/>
    </row>
    <row r="334" ht="15.75" customHeight="1">
      <c r="A334" s="129"/>
      <c r="B334" s="129"/>
      <c r="C334" s="129"/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29"/>
      <c r="O334" s="129"/>
      <c r="P334" s="129"/>
      <c r="Q334" s="129"/>
      <c r="R334" s="129"/>
      <c r="S334" s="129"/>
      <c r="T334" s="129"/>
      <c r="U334" s="129"/>
      <c r="V334" s="129"/>
      <c r="W334" s="129"/>
      <c r="X334" s="129"/>
      <c r="Y334" s="129"/>
      <c r="Z334" s="129"/>
    </row>
    <row r="335" ht="15.75" customHeight="1">
      <c r="A335" s="129"/>
      <c r="B335" s="129"/>
      <c r="C335" s="129"/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29"/>
      <c r="P335" s="129"/>
      <c r="Q335" s="129"/>
      <c r="R335" s="129"/>
      <c r="S335" s="129"/>
      <c r="T335" s="129"/>
      <c r="U335" s="129"/>
      <c r="V335" s="129"/>
      <c r="W335" s="129"/>
      <c r="X335" s="129"/>
      <c r="Y335" s="129"/>
      <c r="Z335" s="129"/>
    </row>
    <row r="336" ht="15.75" customHeight="1">
      <c r="A336" s="129"/>
      <c r="B336" s="129"/>
      <c r="C336" s="129"/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29"/>
      <c r="O336" s="129"/>
      <c r="P336" s="129"/>
      <c r="Q336" s="129"/>
      <c r="R336" s="129"/>
      <c r="S336" s="129"/>
      <c r="T336" s="129"/>
      <c r="U336" s="129"/>
      <c r="V336" s="129"/>
      <c r="W336" s="129"/>
      <c r="X336" s="129"/>
      <c r="Y336" s="129"/>
      <c r="Z336" s="129"/>
    </row>
    <row r="337" ht="15.75" customHeight="1">
      <c r="A337" s="129"/>
      <c r="B337" s="129"/>
      <c r="C337" s="129"/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29"/>
      <c r="P337" s="129"/>
      <c r="Q337" s="129"/>
      <c r="R337" s="129"/>
      <c r="S337" s="129"/>
      <c r="T337" s="129"/>
      <c r="U337" s="129"/>
      <c r="V337" s="129"/>
      <c r="W337" s="129"/>
      <c r="X337" s="129"/>
      <c r="Y337" s="129"/>
      <c r="Z337" s="129"/>
    </row>
    <row r="338" ht="15.75" customHeight="1">
      <c r="A338" s="129"/>
      <c r="B338" s="129"/>
      <c r="C338" s="129"/>
      <c r="D338" s="129"/>
      <c r="E338" s="129"/>
      <c r="F338" s="129"/>
      <c r="G338" s="129"/>
      <c r="H338" s="129"/>
      <c r="I338" s="129"/>
      <c r="J338" s="129"/>
      <c r="K338" s="129"/>
      <c r="L338" s="129"/>
      <c r="M338" s="129"/>
      <c r="N338" s="129"/>
      <c r="O338" s="129"/>
      <c r="P338" s="129"/>
      <c r="Q338" s="129"/>
      <c r="R338" s="129"/>
      <c r="S338" s="129"/>
      <c r="T338" s="129"/>
      <c r="U338" s="129"/>
      <c r="V338" s="129"/>
      <c r="W338" s="129"/>
      <c r="X338" s="129"/>
      <c r="Y338" s="129"/>
      <c r="Z338" s="129"/>
    </row>
    <row r="339" ht="15.75" customHeight="1">
      <c r="A339" s="129"/>
      <c r="B339" s="129"/>
      <c r="C339" s="129"/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29"/>
      <c r="P339" s="129"/>
      <c r="Q339" s="129"/>
      <c r="R339" s="129"/>
      <c r="S339" s="129"/>
      <c r="T339" s="129"/>
      <c r="U339" s="129"/>
      <c r="V339" s="129"/>
      <c r="W339" s="129"/>
      <c r="X339" s="129"/>
      <c r="Y339" s="129"/>
      <c r="Z339" s="129"/>
    </row>
    <row r="340" ht="15.75" customHeight="1">
      <c r="A340" s="129"/>
      <c r="B340" s="129"/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  <c r="P340" s="129"/>
      <c r="Q340" s="129"/>
      <c r="R340" s="129"/>
      <c r="S340" s="129"/>
      <c r="T340" s="129"/>
      <c r="U340" s="129"/>
      <c r="V340" s="129"/>
      <c r="W340" s="129"/>
      <c r="X340" s="129"/>
      <c r="Y340" s="129"/>
      <c r="Z340" s="129"/>
    </row>
    <row r="341" ht="15.75" customHeight="1">
      <c r="A341" s="129"/>
      <c r="B341" s="129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</row>
    <row r="342" ht="15.75" customHeight="1">
      <c r="A342" s="129"/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  <c r="Z342" s="129"/>
    </row>
    <row r="343" ht="15.75" customHeight="1">
      <c r="A343" s="129"/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29"/>
      <c r="P343" s="129"/>
      <c r="Q343" s="129"/>
      <c r="R343" s="129"/>
      <c r="S343" s="129"/>
      <c r="T343" s="129"/>
      <c r="U343" s="129"/>
      <c r="V343" s="129"/>
      <c r="W343" s="129"/>
      <c r="X343" s="129"/>
      <c r="Y343" s="129"/>
      <c r="Z343" s="129"/>
    </row>
    <row r="344" ht="15.75" customHeight="1">
      <c r="A344" s="129"/>
      <c r="B344" s="129"/>
      <c r="C344" s="129"/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/>
      <c r="R344" s="129"/>
      <c r="S344" s="129"/>
      <c r="T344" s="129"/>
      <c r="U344" s="129"/>
      <c r="V344" s="129"/>
      <c r="W344" s="129"/>
      <c r="X344" s="129"/>
      <c r="Y344" s="129"/>
      <c r="Z344" s="129"/>
    </row>
    <row r="345" ht="15.75" customHeight="1">
      <c r="A345" s="129"/>
      <c r="B345" s="129"/>
      <c r="C345" s="129"/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29"/>
      <c r="P345" s="129"/>
      <c r="Q345" s="129"/>
      <c r="R345" s="129"/>
      <c r="S345" s="129"/>
      <c r="T345" s="129"/>
      <c r="U345" s="129"/>
      <c r="V345" s="129"/>
      <c r="W345" s="129"/>
      <c r="X345" s="129"/>
      <c r="Y345" s="129"/>
      <c r="Z345" s="129"/>
    </row>
    <row r="346" ht="15.75" customHeight="1">
      <c r="A346" s="129"/>
      <c r="B346" s="129"/>
      <c r="C346" s="129"/>
      <c r="D346" s="129"/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29"/>
      <c r="P346" s="129"/>
      <c r="Q346" s="129"/>
      <c r="R346" s="129"/>
      <c r="S346" s="129"/>
      <c r="T346" s="129"/>
      <c r="U346" s="129"/>
      <c r="V346" s="129"/>
      <c r="W346" s="129"/>
      <c r="X346" s="129"/>
      <c r="Y346" s="129"/>
      <c r="Z346" s="129"/>
    </row>
    <row r="347" ht="15.75" customHeight="1">
      <c r="A347" s="129"/>
      <c r="B347" s="129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29"/>
      <c r="P347" s="129"/>
      <c r="Q347" s="129"/>
      <c r="R347" s="129"/>
      <c r="S347" s="129"/>
      <c r="T347" s="129"/>
      <c r="U347" s="129"/>
      <c r="V347" s="129"/>
      <c r="W347" s="129"/>
      <c r="X347" s="129"/>
      <c r="Y347" s="129"/>
      <c r="Z347" s="129"/>
    </row>
    <row r="348" ht="15.75" customHeight="1">
      <c r="A348" s="129"/>
      <c r="B348" s="129"/>
      <c r="C348" s="129"/>
      <c r="D348" s="129"/>
      <c r="E348" s="129"/>
      <c r="F348" s="129"/>
      <c r="G348" s="129"/>
      <c r="H348" s="129"/>
      <c r="I348" s="129"/>
      <c r="J348" s="129"/>
      <c r="K348" s="129"/>
      <c r="L348" s="129"/>
      <c r="M348" s="129"/>
      <c r="N348" s="129"/>
      <c r="O348" s="129"/>
      <c r="P348" s="129"/>
      <c r="Q348" s="129"/>
      <c r="R348" s="129"/>
      <c r="S348" s="129"/>
      <c r="T348" s="129"/>
      <c r="U348" s="129"/>
      <c r="V348" s="129"/>
      <c r="W348" s="129"/>
      <c r="X348" s="129"/>
      <c r="Y348" s="129"/>
      <c r="Z348" s="129"/>
    </row>
    <row r="349" ht="15.75" customHeight="1">
      <c r="A349" s="129"/>
      <c r="B349" s="129"/>
      <c r="C349" s="129"/>
      <c r="D349" s="129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29"/>
      <c r="P349" s="129"/>
      <c r="Q349" s="129"/>
      <c r="R349" s="129"/>
      <c r="S349" s="129"/>
      <c r="T349" s="129"/>
      <c r="U349" s="129"/>
      <c r="V349" s="129"/>
      <c r="W349" s="129"/>
      <c r="X349" s="129"/>
      <c r="Y349" s="129"/>
      <c r="Z349" s="129"/>
    </row>
    <row r="350" ht="15.75" customHeight="1">
      <c r="A350" s="129"/>
      <c r="B350" s="129"/>
      <c r="C350" s="129"/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29"/>
      <c r="O350" s="129"/>
      <c r="P350" s="129"/>
      <c r="Q350" s="129"/>
      <c r="R350" s="129"/>
      <c r="S350" s="129"/>
      <c r="T350" s="129"/>
      <c r="U350" s="129"/>
      <c r="V350" s="129"/>
      <c r="W350" s="129"/>
      <c r="X350" s="129"/>
      <c r="Y350" s="129"/>
      <c r="Z350" s="129"/>
    </row>
    <row r="351" ht="15.75" customHeight="1">
      <c r="A351" s="129"/>
      <c r="B351" s="129"/>
      <c r="C351" s="129"/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29"/>
      <c r="U351" s="129"/>
      <c r="V351" s="129"/>
      <c r="W351" s="129"/>
      <c r="X351" s="129"/>
      <c r="Y351" s="129"/>
      <c r="Z351" s="129"/>
    </row>
    <row r="352" ht="15.75" customHeight="1">
      <c r="A352" s="129"/>
      <c r="B352" s="129"/>
      <c r="C352" s="129"/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29"/>
      <c r="O352" s="129"/>
      <c r="P352" s="129"/>
      <c r="Q352" s="129"/>
      <c r="R352" s="129"/>
      <c r="S352" s="129"/>
      <c r="T352" s="129"/>
      <c r="U352" s="129"/>
      <c r="V352" s="129"/>
      <c r="W352" s="129"/>
      <c r="X352" s="129"/>
      <c r="Y352" s="129"/>
      <c r="Z352" s="129"/>
    </row>
    <row r="353" ht="15.75" customHeight="1">
      <c r="A353" s="129"/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29"/>
      <c r="V353" s="129"/>
      <c r="W353" s="129"/>
      <c r="X353" s="129"/>
      <c r="Y353" s="129"/>
      <c r="Z353" s="129"/>
    </row>
    <row r="354" ht="15.75" customHeight="1">
      <c r="A354" s="129"/>
      <c r="B354" s="129"/>
      <c r="C354" s="129"/>
      <c r="D354" s="129"/>
      <c r="E354" s="129"/>
      <c r="F354" s="129"/>
      <c r="G354" s="129"/>
      <c r="H354" s="129"/>
      <c r="I354" s="129"/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/>
      <c r="X354" s="129"/>
      <c r="Y354" s="129"/>
      <c r="Z354" s="129"/>
    </row>
    <row r="355" ht="15.75" customHeight="1">
      <c r="A355" s="129"/>
      <c r="B355" s="129"/>
      <c r="C355" s="129"/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29"/>
      <c r="P355" s="129"/>
      <c r="Q355" s="129"/>
      <c r="R355" s="129"/>
      <c r="S355" s="129"/>
      <c r="T355" s="129"/>
      <c r="U355" s="129"/>
      <c r="V355" s="129"/>
      <c r="W355" s="129"/>
      <c r="X355" s="129"/>
      <c r="Y355" s="129"/>
      <c r="Z355" s="129"/>
    </row>
    <row r="356" ht="15.75" customHeight="1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/>
      <c r="T356" s="129"/>
      <c r="U356" s="129"/>
      <c r="V356" s="129"/>
      <c r="W356" s="129"/>
      <c r="X356" s="129"/>
      <c r="Y356" s="129"/>
      <c r="Z356" s="129"/>
    </row>
    <row r="357" ht="15.75" customHeight="1">
      <c r="A357" s="129"/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  <c r="V357" s="129"/>
      <c r="W357" s="129"/>
      <c r="X357" s="129"/>
      <c r="Y357" s="129"/>
      <c r="Z357" s="129"/>
    </row>
    <row r="358" ht="15.75" customHeight="1">
      <c r="A358" s="129"/>
      <c r="B358" s="129"/>
      <c r="C358" s="129"/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  <c r="O358" s="129"/>
      <c r="P358" s="129"/>
      <c r="Q358" s="129"/>
      <c r="R358" s="129"/>
      <c r="S358" s="129"/>
      <c r="T358" s="129"/>
      <c r="U358" s="129"/>
      <c r="V358" s="129"/>
      <c r="W358" s="129"/>
      <c r="X358" s="129"/>
      <c r="Y358" s="129"/>
      <c r="Z358" s="129"/>
    </row>
    <row r="359" ht="15.75" customHeight="1">
      <c r="A359" s="129"/>
      <c r="B359" s="129"/>
      <c r="C359" s="129"/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  <c r="R359" s="129"/>
      <c r="S359" s="129"/>
      <c r="T359" s="129"/>
      <c r="U359" s="129"/>
      <c r="V359" s="129"/>
      <c r="W359" s="129"/>
      <c r="X359" s="129"/>
      <c r="Y359" s="129"/>
      <c r="Z359" s="129"/>
    </row>
    <row r="360" ht="15.75" customHeight="1">
      <c r="A360" s="129"/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29"/>
      <c r="P360" s="129"/>
      <c r="Q360" s="129"/>
      <c r="R360" s="129"/>
      <c r="S360" s="129"/>
      <c r="T360" s="129"/>
      <c r="U360" s="129"/>
      <c r="V360" s="129"/>
      <c r="W360" s="129"/>
      <c r="X360" s="129"/>
      <c r="Y360" s="129"/>
      <c r="Z360" s="129"/>
    </row>
    <row r="361" ht="15.75" customHeight="1">
      <c r="A361" s="129"/>
      <c r="B361" s="129"/>
      <c r="C361" s="129"/>
      <c r="D361" s="129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29"/>
      <c r="P361" s="129"/>
      <c r="Q361" s="129"/>
      <c r="R361" s="129"/>
      <c r="S361" s="129"/>
      <c r="T361" s="129"/>
      <c r="U361" s="129"/>
      <c r="V361" s="129"/>
      <c r="W361" s="129"/>
      <c r="X361" s="129"/>
      <c r="Y361" s="129"/>
      <c r="Z361" s="129"/>
    </row>
    <row r="362" ht="15.75" customHeight="1">
      <c r="A362" s="129"/>
      <c r="B362" s="129"/>
      <c r="C362" s="129"/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29"/>
      <c r="O362" s="129"/>
      <c r="P362" s="129"/>
      <c r="Q362" s="129"/>
      <c r="R362" s="129"/>
      <c r="S362" s="129"/>
      <c r="T362" s="129"/>
      <c r="U362" s="129"/>
      <c r="V362" s="129"/>
      <c r="W362" s="129"/>
      <c r="X362" s="129"/>
      <c r="Y362" s="129"/>
      <c r="Z362" s="129"/>
    </row>
    <row r="363" ht="15.75" customHeight="1">
      <c r="A363" s="129"/>
      <c r="B363" s="129"/>
      <c r="C363" s="129"/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  <c r="O363" s="129"/>
      <c r="P363" s="129"/>
      <c r="Q363" s="129"/>
      <c r="R363" s="129"/>
      <c r="S363" s="129"/>
      <c r="T363" s="129"/>
      <c r="U363" s="129"/>
      <c r="V363" s="129"/>
      <c r="W363" s="129"/>
      <c r="X363" s="129"/>
      <c r="Y363" s="129"/>
      <c r="Z363" s="129"/>
    </row>
    <row r="364" ht="15.75" customHeight="1">
      <c r="A364" s="129"/>
      <c r="B364" s="129"/>
      <c r="C364" s="129"/>
      <c r="D364" s="129"/>
      <c r="E364" s="129"/>
      <c r="F364" s="129"/>
      <c r="G364" s="129"/>
      <c r="H364" s="129"/>
      <c r="I364" s="129"/>
      <c r="J364" s="129"/>
      <c r="K364" s="129"/>
      <c r="L364" s="129"/>
      <c r="M364" s="129"/>
      <c r="N364" s="129"/>
      <c r="O364" s="129"/>
      <c r="P364" s="129"/>
      <c r="Q364" s="129"/>
      <c r="R364" s="129"/>
      <c r="S364" s="129"/>
      <c r="T364" s="129"/>
      <c r="U364" s="129"/>
      <c r="V364" s="129"/>
      <c r="W364" s="129"/>
      <c r="X364" s="129"/>
      <c r="Y364" s="129"/>
      <c r="Z364" s="129"/>
    </row>
    <row r="365" ht="15.75" customHeight="1">
      <c r="A365" s="129"/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  <c r="X365" s="129"/>
      <c r="Y365" s="129"/>
      <c r="Z365" s="129"/>
    </row>
    <row r="366" ht="15.75" customHeight="1">
      <c r="A366" s="129"/>
      <c r="B366" s="129"/>
      <c r="C366" s="129"/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29"/>
      <c r="O366" s="129"/>
      <c r="P366" s="129"/>
      <c r="Q366" s="129"/>
      <c r="R366" s="129"/>
      <c r="S366" s="129"/>
      <c r="T366" s="129"/>
      <c r="U366" s="129"/>
      <c r="V366" s="129"/>
      <c r="W366" s="129"/>
      <c r="X366" s="129"/>
      <c r="Y366" s="129"/>
      <c r="Z366" s="129"/>
    </row>
    <row r="367" ht="15.75" customHeight="1">
      <c r="A367" s="129"/>
      <c r="B367" s="129"/>
      <c r="C367" s="129"/>
      <c r="D367" s="129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  <c r="O367" s="129"/>
      <c r="P367" s="129"/>
      <c r="Q367" s="129"/>
      <c r="R367" s="129"/>
      <c r="S367" s="129"/>
      <c r="T367" s="129"/>
      <c r="U367" s="129"/>
      <c r="V367" s="129"/>
      <c r="W367" s="129"/>
      <c r="X367" s="129"/>
      <c r="Y367" s="129"/>
      <c r="Z367" s="129"/>
    </row>
    <row r="368" ht="15.75" customHeight="1">
      <c r="A368" s="129"/>
      <c r="B368" s="129"/>
      <c r="C368" s="129"/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29"/>
      <c r="O368" s="129"/>
      <c r="P368" s="129"/>
      <c r="Q368" s="129"/>
      <c r="R368" s="129"/>
      <c r="S368" s="129"/>
      <c r="T368" s="129"/>
      <c r="U368" s="129"/>
      <c r="V368" s="129"/>
      <c r="W368" s="129"/>
      <c r="X368" s="129"/>
      <c r="Y368" s="129"/>
      <c r="Z368" s="129"/>
    </row>
    <row r="369" ht="15.75" customHeight="1">
      <c r="A369" s="129"/>
      <c r="B369" s="129"/>
      <c r="C369" s="129"/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29"/>
      <c r="P369" s="129"/>
      <c r="Q369" s="129"/>
      <c r="R369" s="129"/>
      <c r="S369" s="129"/>
      <c r="T369" s="129"/>
      <c r="U369" s="129"/>
      <c r="V369" s="129"/>
      <c r="W369" s="129"/>
      <c r="X369" s="129"/>
      <c r="Y369" s="129"/>
      <c r="Z369" s="129"/>
    </row>
    <row r="370" ht="15.75" customHeight="1">
      <c r="A370" s="129"/>
      <c r="B370" s="129"/>
      <c r="C370" s="129"/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29"/>
      <c r="O370" s="129"/>
      <c r="P370" s="129"/>
      <c r="Q370" s="129"/>
      <c r="R370" s="129"/>
      <c r="S370" s="129"/>
      <c r="T370" s="129"/>
      <c r="U370" s="129"/>
      <c r="V370" s="129"/>
      <c r="W370" s="129"/>
      <c r="X370" s="129"/>
      <c r="Y370" s="129"/>
      <c r="Z370" s="129"/>
    </row>
    <row r="371" ht="15.75" customHeight="1">
      <c r="A371" s="129"/>
      <c r="B371" s="129"/>
      <c r="C371" s="129"/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29"/>
      <c r="P371" s="129"/>
      <c r="Q371" s="129"/>
      <c r="R371" s="129"/>
      <c r="S371" s="129"/>
      <c r="T371" s="129"/>
      <c r="U371" s="129"/>
      <c r="V371" s="129"/>
      <c r="W371" s="129"/>
      <c r="X371" s="129"/>
      <c r="Y371" s="129"/>
      <c r="Z371" s="129"/>
    </row>
    <row r="372" ht="15.75" customHeight="1">
      <c r="A372" s="129"/>
      <c r="B372" s="129"/>
      <c r="C372" s="129"/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29"/>
      <c r="O372" s="129"/>
      <c r="P372" s="129"/>
      <c r="Q372" s="129"/>
      <c r="R372" s="129"/>
      <c r="S372" s="129"/>
      <c r="T372" s="129"/>
      <c r="U372" s="129"/>
      <c r="V372" s="129"/>
      <c r="W372" s="129"/>
      <c r="X372" s="129"/>
      <c r="Y372" s="129"/>
      <c r="Z372" s="129"/>
    </row>
    <row r="373" ht="15.75" customHeight="1">
      <c r="A373" s="129"/>
      <c r="B373" s="129"/>
      <c r="C373" s="129"/>
      <c r="D373" s="129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  <c r="O373" s="129"/>
      <c r="P373" s="129"/>
      <c r="Q373" s="129"/>
      <c r="R373" s="129"/>
      <c r="S373" s="129"/>
      <c r="T373" s="129"/>
      <c r="U373" s="129"/>
      <c r="V373" s="129"/>
      <c r="W373" s="129"/>
      <c r="X373" s="129"/>
      <c r="Y373" s="129"/>
      <c r="Z373" s="129"/>
    </row>
    <row r="374" ht="15.75" customHeight="1">
      <c r="A374" s="129"/>
      <c r="B374" s="129"/>
      <c r="C374" s="129"/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29"/>
      <c r="O374" s="129"/>
      <c r="P374" s="129"/>
      <c r="Q374" s="129"/>
      <c r="R374" s="129"/>
      <c r="S374" s="129"/>
      <c r="T374" s="129"/>
      <c r="U374" s="129"/>
      <c r="V374" s="129"/>
      <c r="W374" s="129"/>
      <c r="X374" s="129"/>
      <c r="Y374" s="129"/>
      <c r="Z374" s="129"/>
    </row>
    <row r="375" ht="15.75" customHeight="1">
      <c r="A375" s="129"/>
      <c r="B375" s="129"/>
      <c r="C375" s="129"/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29"/>
      <c r="P375" s="129"/>
      <c r="Q375" s="129"/>
      <c r="R375" s="129"/>
      <c r="S375" s="129"/>
      <c r="T375" s="129"/>
      <c r="U375" s="129"/>
      <c r="V375" s="129"/>
      <c r="W375" s="129"/>
      <c r="X375" s="129"/>
      <c r="Y375" s="129"/>
      <c r="Z375" s="129"/>
    </row>
    <row r="376" ht="15.75" customHeight="1">
      <c r="A376" s="129"/>
      <c r="B376" s="129"/>
      <c r="C376" s="129"/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  <c r="O376" s="129"/>
      <c r="P376" s="129"/>
      <c r="Q376" s="129"/>
      <c r="R376" s="129"/>
      <c r="S376" s="129"/>
      <c r="T376" s="129"/>
      <c r="U376" s="129"/>
      <c r="V376" s="129"/>
      <c r="W376" s="129"/>
      <c r="X376" s="129"/>
      <c r="Y376" s="129"/>
      <c r="Z376" s="129"/>
    </row>
    <row r="377" ht="15.75" customHeight="1">
      <c r="A377" s="129"/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29"/>
    </row>
    <row r="378" ht="15.75" customHeight="1">
      <c r="A378" s="129"/>
      <c r="B378" s="129"/>
      <c r="C378" s="129"/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29"/>
      <c r="O378" s="129"/>
      <c r="P378" s="129"/>
      <c r="Q378" s="129"/>
      <c r="R378" s="129"/>
      <c r="S378" s="129"/>
      <c r="T378" s="129"/>
      <c r="U378" s="129"/>
      <c r="V378" s="129"/>
      <c r="W378" s="129"/>
      <c r="X378" s="129"/>
      <c r="Y378" s="129"/>
      <c r="Z378" s="129"/>
    </row>
    <row r="379" ht="15.75" customHeight="1">
      <c r="A379" s="129"/>
      <c r="B379" s="129"/>
      <c r="C379" s="129"/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29"/>
    </row>
    <row r="380" ht="15.75" customHeight="1">
      <c r="A380" s="129"/>
      <c r="B380" s="129"/>
      <c r="C380" s="129"/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29"/>
      <c r="O380" s="129"/>
      <c r="P380" s="129"/>
      <c r="Q380" s="129"/>
      <c r="R380" s="129"/>
      <c r="S380" s="129"/>
      <c r="T380" s="129"/>
      <c r="U380" s="129"/>
      <c r="V380" s="129"/>
      <c r="W380" s="129"/>
      <c r="X380" s="129"/>
      <c r="Y380" s="129"/>
      <c r="Z380" s="129"/>
    </row>
    <row r="381" ht="15.75" customHeight="1">
      <c r="A381" s="129"/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</row>
    <row r="382" ht="15.75" customHeight="1">
      <c r="A382" s="129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</row>
    <row r="383" ht="15.75" customHeight="1">
      <c r="A383" s="129"/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</row>
    <row r="384" ht="15.75" customHeight="1">
      <c r="A384" s="129"/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/>
    </row>
    <row r="385" ht="15.75" customHeight="1">
      <c r="A385" s="129"/>
      <c r="B385" s="129"/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</row>
    <row r="386" ht="15.75" customHeight="1">
      <c r="A386" s="129"/>
      <c r="B386" s="129"/>
      <c r="C386" s="129"/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29"/>
      <c r="O386" s="129"/>
      <c r="P386" s="129"/>
      <c r="Q386" s="129"/>
      <c r="R386" s="129"/>
      <c r="S386" s="129"/>
      <c r="T386" s="129"/>
      <c r="U386" s="129"/>
      <c r="V386" s="129"/>
      <c r="W386" s="129"/>
      <c r="X386" s="129"/>
      <c r="Y386" s="129"/>
      <c r="Z386" s="129"/>
    </row>
    <row r="387" ht="15.75" customHeight="1">
      <c r="A387" s="129"/>
      <c r="B387" s="129"/>
      <c r="C387" s="129"/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29"/>
      <c r="O387" s="129"/>
      <c r="P387" s="129"/>
      <c r="Q387" s="129"/>
      <c r="R387" s="129"/>
      <c r="S387" s="129"/>
      <c r="T387" s="129"/>
      <c r="U387" s="129"/>
      <c r="V387" s="129"/>
      <c r="W387" s="129"/>
      <c r="X387" s="129"/>
      <c r="Y387" s="129"/>
      <c r="Z387" s="129"/>
    </row>
    <row r="388" ht="15.75" customHeight="1">
      <c r="A388" s="129"/>
      <c r="B388" s="129"/>
      <c r="C388" s="129"/>
      <c r="D388" s="129"/>
      <c r="E388" s="129"/>
      <c r="F388" s="129"/>
      <c r="G388" s="129"/>
      <c r="H388" s="129"/>
      <c r="I388" s="129"/>
      <c r="J388" s="129"/>
      <c r="K388" s="129"/>
      <c r="L388" s="129"/>
      <c r="M388" s="129"/>
      <c r="N388" s="129"/>
      <c r="O388" s="129"/>
      <c r="P388" s="129"/>
      <c r="Q388" s="129"/>
      <c r="R388" s="129"/>
      <c r="S388" s="129"/>
      <c r="T388" s="129"/>
      <c r="U388" s="129"/>
      <c r="V388" s="129"/>
      <c r="W388" s="129"/>
      <c r="X388" s="129"/>
      <c r="Y388" s="129"/>
      <c r="Z388" s="129"/>
    </row>
    <row r="389" ht="15.75" customHeight="1">
      <c r="A389" s="129"/>
      <c r="B389" s="129"/>
      <c r="C389" s="129"/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29"/>
      <c r="O389" s="129"/>
      <c r="P389" s="129"/>
      <c r="Q389" s="129"/>
      <c r="R389" s="129"/>
      <c r="S389" s="129"/>
      <c r="T389" s="129"/>
      <c r="U389" s="129"/>
      <c r="V389" s="129"/>
      <c r="W389" s="129"/>
      <c r="X389" s="129"/>
      <c r="Y389" s="129"/>
      <c r="Z389" s="129"/>
    </row>
    <row r="390" ht="15.75" customHeight="1">
      <c r="A390" s="129"/>
      <c r="B390" s="129"/>
      <c r="C390" s="129"/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29"/>
      <c r="O390" s="129"/>
      <c r="P390" s="129"/>
      <c r="Q390" s="129"/>
      <c r="R390" s="129"/>
      <c r="S390" s="129"/>
      <c r="T390" s="129"/>
      <c r="U390" s="129"/>
      <c r="V390" s="129"/>
      <c r="W390" s="129"/>
      <c r="X390" s="129"/>
      <c r="Y390" s="129"/>
      <c r="Z390" s="129"/>
    </row>
    <row r="391" ht="15.75" customHeight="1">
      <c r="A391" s="129"/>
      <c r="B391" s="129"/>
      <c r="C391" s="129"/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29"/>
      <c r="P391" s="129"/>
      <c r="Q391" s="129"/>
      <c r="R391" s="129"/>
      <c r="S391" s="129"/>
      <c r="T391" s="129"/>
      <c r="U391" s="129"/>
      <c r="V391" s="129"/>
      <c r="W391" s="129"/>
      <c r="X391" s="129"/>
      <c r="Y391" s="129"/>
      <c r="Z391" s="129"/>
    </row>
    <row r="392" ht="15.75" customHeight="1">
      <c r="A392" s="129"/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  <c r="R392" s="129"/>
      <c r="S392" s="129"/>
      <c r="T392" s="129"/>
      <c r="U392" s="129"/>
      <c r="V392" s="129"/>
      <c r="W392" s="129"/>
      <c r="X392" s="129"/>
      <c r="Y392" s="129"/>
      <c r="Z392" s="129"/>
    </row>
    <row r="393" ht="15.75" customHeight="1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  <c r="Z393" s="129"/>
    </row>
    <row r="394" ht="15.75" customHeight="1">
      <c r="A394" s="129"/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29"/>
      <c r="P394" s="129"/>
      <c r="Q394" s="129"/>
      <c r="R394" s="129"/>
      <c r="S394" s="129"/>
      <c r="T394" s="129"/>
      <c r="U394" s="129"/>
      <c r="V394" s="129"/>
      <c r="W394" s="129"/>
      <c r="X394" s="129"/>
      <c r="Y394" s="129"/>
      <c r="Z394" s="129"/>
    </row>
    <row r="395" ht="15.75" customHeight="1">
      <c r="A395" s="129"/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/>
      <c r="Y395" s="129"/>
      <c r="Z395" s="129"/>
    </row>
    <row r="396" ht="15.75" customHeight="1">
      <c r="A396" s="129"/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/>
      <c r="X396" s="129"/>
      <c r="Y396" s="129"/>
      <c r="Z396" s="129"/>
    </row>
    <row r="397" ht="15.75" customHeight="1">
      <c r="A397" s="129"/>
      <c r="B397" s="129"/>
      <c r="C397" s="129"/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29"/>
      <c r="P397" s="129"/>
      <c r="Q397" s="129"/>
      <c r="R397" s="129"/>
      <c r="S397" s="129"/>
      <c r="T397" s="129"/>
      <c r="U397" s="129"/>
      <c r="V397" s="129"/>
      <c r="W397" s="129"/>
      <c r="X397" s="129"/>
      <c r="Y397" s="129"/>
      <c r="Z397" s="129"/>
    </row>
    <row r="398" ht="15.75" customHeight="1">
      <c r="A398" s="129"/>
      <c r="B398" s="129"/>
      <c r="C398" s="129"/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29"/>
      <c r="U398" s="129"/>
      <c r="V398" s="129"/>
      <c r="W398" s="129"/>
      <c r="X398" s="129"/>
      <c r="Y398" s="129"/>
      <c r="Z398" s="129"/>
    </row>
    <row r="399" ht="15.75" customHeight="1">
      <c r="A399" s="129"/>
      <c r="B399" s="129"/>
      <c r="C399" s="129"/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29"/>
      <c r="P399" s="129"/>
      <c r="Q399" s="129"/>
      <c r="R399" s="129"/>
      <c r="S399" s="129"/>
      <c r="T399" s="129"/>
      <c r="U399" s="129"/>
      <c r="V399" s="129"/>
      <c r="W399" s="129"/>
      <c r="X399" s="129"/>
      <c r="Y399" s="129"/>
      <c r="Z399" s="129"/>
    </row>
    <row r="400" ht="15.75" customHeight="1">
      <c r="A400" s="129"/>
      <c r="B400" s="129"/>
      <c r="C400" s="129"/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129"/>
      <c r="R400" s="129"/>
      <c r="S400" s="129"/>
      <c r="T400" s="129"/>
      <c r="U400" s="129"/>
      <c r="V400" s="129"/>
      <c r="W400" s="129"/>
      <c r="X400" s="129"/>
      <c r="Y400" s="129"/>
      <c r="Z400" s="129"/>
    </row>
    <row r="401" ht="15.75" customHeight="1">
      <c r="A401" s="129"/>
      <c r="B401" s="129"/>
      <c r="C401" s="129"/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29"/>
      <c r="P401" s="129"/>
      <c r="Q401" s="129"/>
      <c r="R401" s="129"/>
      <c r="S401" s="129"/>
      <c r="T401" s="129"/>
      <c r="U401" s="129"/>
      <c r="V401" s="129"/>
      <c r="W401" s="129"/>
      <c r="X401" s="129"/>
      <c r="Y401" s="129"/>
      <c r="Z401" s="129"/>
    </row>
    <row r="402" ht="15.75" customHeight="1">
      <c r="A402" s="129"/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  <c r="O402" s="129"/>
      <c r="P402" s="129"/>
      <c r="Q402" s="129"/>
      <c r="R402" s="129"/>
      <c r="S402" s="129"/>
      <c r="T402" s="129"/>
      <c r="U402" s="129"/>
      <c r="V402" s="129"/>
      <c r="W402" s="129"/>
      <c r="X402" s="129"/>
      <c r="Y402" s="129"/>
      <c r="Z402" s="129"/>
    </row>
    <row r="403" ht="15.75" customHeight="1">
      <c r="A403" s="129"/>
      <c r="B403" s="129"/>
      <c r="C403" s="129"/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29"/>
      <c r="P403" s="129"/>
      <c r="Q403" s="129"/>
      <c r="R403" s="129"/>
      <c r="S403" s="129"/>
      <c r="T403" s="129"/>
      <c r="U403" s="129"/>
      <c r="V403" s="129"/>
      <c r="W403" s="129"/>
      <c r="X403" s="129"/>
      <c r="Y403" s="129"/>
      <c r="Z403" s="129"/>
    </row>
    <row r="404" ht="15.75" customHeight="1">
      <c r="A404" s="129"/>
      <c r="B404" s="129"/>
      <c r="C404" s="129"/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29"/>
      <c r="O404" s="129"/>
      <c r="P404" s="129"/>
      <c r="Q404" s="129"/>
      <c r="R404" s="129"/>
      <c r="S404" s="129"/>
      <c r="T404" s="129"/>
      <c r="U404" s="129"/>
      <c r="V404" s="129"/>
      <c r="W404" s="129"/>
      <c r="X404" s="129"/>
      <c r="Y404" s="129"/>
      <c r="Z404" s="129"/>
    </row>
    <row r="405" ht="15.75" customHeight="1">
      <c r="A405" s="129"/>
      <c r="B405" s="129"/>
      <c r="C405" s="129"/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29"/>
      <c r="P405" s="129"/>
      <c r="Q405" s="129"/>
      <c r="R405" s="129"/>
      <c r="S405" s="129"/>
      <c r="T405" s="129"/>
      <c r="U405" s="129"/>
      <c r="V405" s="129"/>
      <c r="W405" s="129"/>
      <c r="X405" s="129"/>
      <c r="Y405" s="129"/>
      <c r="Z405" s="129"/>
    </row>
    <row r="406" ht="15.75" customHeight="1">
      <c r="A406" s="129"/>
      <c r="B406" s="129"/>
      <c r="C406" s="129"/>
      <c r="D406" s="129"/>
      <c r="E406" s="129"/>
      <c r="F406" s="129"/>
      <c r="G406" s="129"/>
      <c r="H406" s="129"/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29"/>
      <c r="U406" s="129"/>
      <c r="V406" s="129"/>
      <c r="W406" s="129"/>
      <c r="X406" s="129"/>
      <c r="Y406" s="129"/>
      <c r="Z406" s="129"/>
    </row>
    <row r="407" ht="15.75" customHeight="1">
      <c r="A407" s="129"/>
      <c r="B407" s="129"/>
      <c r="C407" s="129"/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  <c r="O407" s="129"/>
      <c r="P407" s="129"/>
      <c r="Q407" s="129"/>
      <c r="R407" s="129"/>
      <c r="S407" s="129"/>
      <c r="T407" s="129"/>
      <c r="U407" s="129"/>
      <c r="V407" s="129"/>
      <c r="W407" s="129"/>
      <c r="X407" s="129"/>
      <c r="Y407" s="129"/>
      <c r="Z407" s="129"/>
    </row>
    <row r="408" ht="15.75" customHeight="1">
      <c r="A408" s="129"/>
      <c r="B408" s="129"/>
      <c r="C408" s="129"/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29"/>
      <c r="O408" s="129"/>
      <c r="P408" s="129"/>
      <c r="Q408" s="129"/>
      <c r="R408" s="129"/>
      <c r="S408" s="129"/>
      <c r="T408" s="129"/>
      <c r="U408" s="129"/>
      <c r="V408" s="129"/>
      <c r="W408" s="129"/>
      <c r="X408" s="129"/>
      <c r="Y408" s="129"/>
      <c r="Z408" s="129"/>
    </row>
    <row r="409" ht="15.75" customHeight="1">
      <c r="A409" s="129"/>
      <c r="B409" s="129"/>
      <c r="C409" s="129"/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29"/>
      <c r="P409" s="129"/>
      <c r="Q409" s="129"/>
      <c r="R409" s="129"/>
      <c r="S409" s="129"/>
      <c r="T409" s="129"/>
      <c r="U409" s="129"/>
      <c r="V409" s="129"/>
      <c r="W409" s="129"/>
      <c r="X409" s="129"/>
      <c r="Y409" s="129"/>
      <c r="Z409" s="129"/>
    </row>
    <row r="410" ht="15.75" customHeight="1">
      <c r="A410" s="129"/>
      <c r="B410" s="129"/>
      <c r="C410" s="129"/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29"/>
      <c r="O410" s="129"/>
      <c r="P410" s="129"/>
      <c r="Q410" s="129"/>
      <c r="R410" s="129"/>
      <c r="S410" s="129"/>
      <c r="T410" s="129"/>
      <c r="U410" s="129"/>
      <c r="V410" s="129"/>
      <c r="W410" s="129"/>
      <c r="X410" s="129"/>
      <c r="Y410" s="129"/>
      <c r="Z410" s="129"/>
    </row>
    <row r="411" ht="15.75" customHeight="1">
      <c r="A411" s="129"/>
      <c r="B411" s="129"/>
      <c r="C411" s="129"/>
      <c r="D411" s="129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  <c r="O411" s="129"/>
      <c r="P411" s="129"/>
      <c r="Q411" s="129"/>
      <c r="R411" s="129"/>
      <c r="S411" s="129"/>
      <c r="T411" s="129"/>
      <c r="U411" s="129"/>
      <c r="V411" s="129"/>
      <c r="W411" s="129"/>
      <c r="X411" s="129"/>
      <c r="Y411" s="129"/>
      <c r="Z411" s="129"/>
    </row>
    <row r="412" ht="15.75" customHeight="1">
      <c r="A412" s="129"/>
      <c r="B412" s="129"/>
      <c r="C412" s="129"/>
      <c r="D412" s="129"/>
      <c r="E412" s="129"/>
      <c r="F412" s="129"/>
      <c r="G412" s="129"/>
      <c r="H412" s="129"/>
      <c r="I412" s="129"/>
      <c r="J412" s="129"/>
      <c r="K412" s="129"/>
      <c r="L412" s="129"/>
      <c r="M412" s="129"/>
      <c r="N412" s="129"/>
      <c r="O412" s="129"/>
      <c r="P412" s="129"/>
      <c r="Q412" s="129"/>
      <c r="R412" s="129"/>
      <c r="S412" s="129"/>
      <c r="T412" s="129"/>
      <c r="U412" s="129"/>
      <c r="V412" s="129"/>
      <c r="W412" s="129"/>
      <c r="X412" s="129"/>
      <c r="Y412" s="129"/>
      <c r="Z412" s="129"/>
    </row>
    <row r="413" ht="15.75" customHeight="1">
      <c r="A413" s="129"/>
      <c r="B413" s="129"/>
      <c r="C413" s="129"/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29"/>
      <c r="P413" s="129"/>
      <c r="Q413" s="129"/>
      <c r="R413" s="129"/>
      <c r="S413" s="129"/>
      <c r="T413" s="129"/>
      <c r="U413" s="129"/>
      <c r="V413" s="129"/>
      <c r="W413" s="129"/>
      <c r="X413" s="129"/>
      <c r="Y413" s="129"/>
      <c r="Z413" s="129"/>
    </row>
    <row r="414" ht="15.75" customHeight="1">
      <c r="A414" s="129"/>
      <c r="B414" s="129"/>
      <c r="C414" s="129"/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29"/>
      <c r="O414" s="129"/>
      <c r="P414" s="129"/>
      <c r="Q414" s="129"/>
      <c r="R414" s="129"/>
      <c r="S414" s="129"/>
      <c r="T414" s="129"/>
      <c r="U414" s="129"/>
      <c r="V414" s="129"/>
      <c r="W414" s="129"/>
      <c r="X414" s="129"/>
      <c r="Y414" s="129"/>
      <c r="Z414" s="129"/>
    </row>
    <row r="415" ht="15.75" customHeight="1">
      <c r="A415" s="129"/>
      <c r="B415" s="129"/>
      <c r="C415" s="129"/>
      <c r="D415" s="129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29"/>
      <c r="P415" s="129"/>
      <c r="Q415" s="129"/>
      <c r="R415" s="129"/>
      <c r="S415" s="129"/>
      <c r="T415" s="129"/>
      <c r="U415" s="129"/>
      <c r="V415" s="129"/>
      <c r="W415" s="129"/>
      <c r="X415" s="129"/>
      <c r="Y415" s="129"/>
      <c r="Z415" s="129"/>
    </row>
    <row r="416" ht="15.75" customHeight="1">
      <c r="A416" s="129"/>
      <c r="B416" s="129"/>
      <c r="C416" s="129"/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29"/>
      <c r="O416" s="129"/>
      <c r="P416" s="129"/>
      <c r="Q416" s="129"/>
      <c r="R416" s="129"/>
      <c r="S416" s="129"/>
      <c r="T416" s="129"/>
      <c r="U416" s="129"/>
      <c r="V416" s="129"/>
      <c r="W416" s="129"/>
      <c r="X416" s="129"/>
      <c r="Y416" s="129"/>
      <c r="Z416" s="129"/>
    </row>
    <row r="417" ht="15.75" customHeight="1">
      <c r="A417" s="129"/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  <c r="P417" s="129"/>
      <c r="Q417" s="129"/>
      <c r="R417" s="129"/>
      <c r="S417" s="129"/>
      <c r="T417" s="129"/>
      <c r="U417" s="129"/>
      <c r="V417" s="129"/>
      <c r="W417" s="129"/>
      <c r="X417" s="129"/>
      <c r="Y417" s="129"/>
      <c r="Z417" s="129"/>
    </row>
    <row r="418" ht="15.75" customHeight="1">
      <c r="A418" s="129"/>
      <c r="B418" s="129"/>
      <c r="C418" s="129"/>
      <c r="D418" s="129"/>
      <c r="E418" s="129"/>
      <c r="F418" s="129"/>
      <c r="G418" s="129"/>
      <c r="H418" s="129"/>
      <c r="I418" s="129"/>
      <c r="J418" s="129"/>
      <c r="K418" s="129"/>
      <c r="L418" s="129"/>
      <c r="M418" s="129"/>
      <c r="N418" s="129"/>
      <c r="O418" s="129"/>
      <c r="P418" s="129"/>
      <c r="Q418" s="129"/>
      <c r="R418" s="129"/>
      <c r="S418" s="129"/>
      <c r="T418" s="129"/>
      <c r="U418" s="129"/>
      <c r="V418" s="129"/>
      <c r="W418" s="129"/>
      <c r="X418" s="129"/>
      <c r="Y418" s="129"/>
      <c r="Z418" s="129"/>
    </row>
    <row r="419" ht="15.75" customHeight="1">
      <c r="A419" s="129"/>
      <c r="B419" s="129"/>
      <c r="C419" s="129"/>
      <c r="D419" s="129"/>
      <c r="E419" s="129"/>
      <c r="F419" s="129"/>
      <c r="G419" s="129"/>
      <c r="H419" s="129"/>
      <c r="I419" s="129"/>
      <c r="J419" s="129"/>
      <c r="K419" s="129"/>
      <c r="L419" s="129"/>
      <c r="M419" s="129"/>
      <c r="N419" s="129"/>
      <c r="O419" s="129"/>
      <c r="P419" s="129"/>
      <c r="Q419" s="129"/>
      <c r="R419" s="129"/>
      <c r="S419" s="129"/>
      <c r="T419" s="129"/>
      <c r="U419" s="129"/>
      <c r="V419" s="129"/>
      <c r="W419" s="129"/>
      <c r="X419" s="129"/>
      <c r="Y419" s="129"/>
      <c r="Z419" s="129"/>
    </row>
    <row r="420" ht="15.75" customHeight="1">
      <c r="A420" s="129"/>
      <c r="B420" s="129"/>
      <c r="C420" s="129"/>
      <c r="D420" s="129"/>
      <c r="E420" s="129"/>
      <c r="F420" s="129"/>
      <c r="G420" s="129"/>
      <c r="H420" s="129"/>
      <c r="I420" s="129"/>
      <c r="J420" s="129"/>
      <c r="K420" s="129"/>
      <c r="L420" s="129"/>
      <c r="M420" s="129"/>
      <c r="N420" s="129"/>
      <c r="O420" s="129"/>
      <c r="P420" s="129"/>
      <c r="Q420" s="129"/>
      <c r="R420" s="129"/>
      <c r="S420" s="129"/>
      <c r="T420" s="129"/>
      <c r="U420" s="129"/>
      <c r="V420" s="129"/>
      <c r="W420" s="129"/>
      <c r="X420" s="129"/>
      <c r="Y420" s="129"/>
      <c r="Z420" s="129"/>
    </row>
    <row r="421" ht="15.75" customHeight="1">
      <c r="A421" s="129"/>
      <c r="B421" s="129"/>
      <c r="C421" s="129"/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  <c r="O421" s="129"/>
      <c r="P421" s="129"/>
      <c r="Q421" s="129"/>
      <c r="R421" s="129"/>
      <c r="S421" s="129"/>
      <c r="T421" s="129"/>
      <c r="U421" s="129"/>
      <c r="V421" s="129"/>
      <c r="W421" s="129"/>
      <c r="X421" s="129"/>
      <c r="Y421" s="129"/>
      <c r="Z421" s="129"/>
    </row>
    <row r="422" ht="15.75" customHeight="1">
      <c r="A422" s="129"/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  <c r="P422" s="129"/>
      <c r="Q422" s="129"/>
      <c r="R422" s="129"/>
      <c r="S422" s="129"/>
      <c r="T422" s="129"/>
      <c r="U422" s="129"/>
      <c r="V422" s="129"/>
      <c r="W422" s="129"/>
      <c r="X422" s="129"/>
      <c r="Y422" s="129"/>
      <c r="Z422" s="129"/>
    </row>
    <row r="423" ht="15.75" customHeight="1">
      <c r="A423" s="129"/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/>
      <c r="T423" s="129"/>
      <c r="U423" s="129"/>
      <c r="V423" s="129"/>
      <c r="W423" s="129"/>
      <c r="X423" s="129"/>
      <c r="Y423" s="129"/>
      <c r="Z423" s="129"/>
    </row>
    <row r="424" ht="15.75" customHeight="1">
      <c r="A424" s="129"/>
      <c r="B424" s="129"/>
      <c r="C424" s="129"/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29"/>
      <c r="O424" s="129"/>
      <c r="P424" s="129"/>
      <c r="Q424" s="129"/>
      <c r="R424" s="129"/>
      <c r="S424" s="129"/>
      <c r="T424" s="129"/>
      <c r="U424" s="129"/>
      <c r="V424" s="129"/>
      <c r="W424" s="129"/>
      <c r="X424" s="129"/>
      <c r="Y424" s="129"/>
      <c r="Z424" s="129"/>
    </row>
    <row r="425" ht="15.75" customHeight="1">
      <c r="A425" s="129"/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  <c r="P425" s="129"/>
      <c r="Q425" s="129"/>
      <c r="R425" s="129"/>
      <c r="S425" s="129"/>
      <c r="T425" s="129"/>
      <c r="U425" s="129"/>
      <c r="V425" s="129"/>
      <c r="W425" s="129"/>
      <c r="X425" s="129"/>
      <c r="Y425" s="129"/>
      <c r="Z425" s="129"/>
    </row>
    <row r="426" ht="15.75" customHeight="1">
      <c r="A426" s="129"/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</row>
    <row r="427" ht="15.75" customHeight="1">
      <c r="A427" s="129"/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/>
      <c r="R427" s="129"/>
      <c r="S427" s="129"/>
      <c r="T427" s="129"/>
      <c r="U427" s="129"/>
      <c r="V427" s="129"/>
      <c r="W427" s="129"/>
      <c r="X427" s="129"/>
      <c r="Y427" s="129"/>
      <c r="Z427" s="129"/>
    </row>
    <row r="428" ht="15.75" customHeight="1">
      <c r="A428" s="129"/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</row>
    <row r="429" ht="15.75" customHeight="1">
      <c r="A429" s="129"/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</row>
    <row r="430" ht="15.75" customHeight="1">
      <c r="A430" s="129"/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/>
      <c r="Y430" s="129"/>
      <c r="Z430" s="129"/>
    </row>
    <row r="431" ht="15.75" customHeight="1">
      <c r="A431" s="129"/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  <c r="Q431" s="129"/>
      <c r="R431" s="129"/>
      <c r="S431" s="129"/>
      <c r="T431" s="129"/>
      <c r="U431" s="129"/>
      <c r="V431" s="129"/>
      <c r="W431" s="129"/>
      <c r="X431" s="129"/>
      <c r="Y431" s="129"/>
      <c r="Z431" s="129"/>
    </row>
    <row r="432" ht="15.75" customHeight="1">
      <c r="A432" s="129"/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  <c r="Z432" s="129"/>
    </row>
    <row r="433" ht="15.75" customHeight="1">
      <c r="A433" s="129"/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</row>
    <row r="434" ht="15.75" customHeight="1">
      <c r="A434" s="129"/>
      <c r="B434" s="129"/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/>
      <c r="W434" s="129"/>
      <c r="X434" s="129"/>
      <c r="Y434" s="129"/>
      <c r="Z434" s="129"/>
    </row>
    <row r="435" ht="15.75" customHeight="1">
      <c r="A435" s="129"/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/>
      <c r="W435" s="129"/>
      <c r="X435" s="129"/>
      <c r="Y435" s="129"/>
      <c r="Z435" s="129"/>
    </row>
    <row r="436" ht="15.75" customHeight="1">
      <c r="A436" s="129"/>
      <c r="B436" s="129"/>
      <c r="C436" s="129"/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29"/>
      <c r="O436" s="129"/>
      <c r="P436" s="129"/>
      <c r="Q436" s="129"/>
      <c r="R436" s="129"/>
      <c r="S436" s="129"/>
      <c r="T436" s="129"/>
      <c r="U436" s="129"/>
      <c r="V436" s="129"/>
      <c r="W436" s="129"/>
      <c r="X436" s="129"/>
      <c r="Y436" s="129"/>
      <c r="Z436" s="129"/>
    </row>
    <row r="437" ht="15.75" customHeight="1">
      <c r="A437" s="129"/>
      <c r="B437" s="129"/>
      <c r="C437" s="129"/>
      <c r="D437" s="129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29"/>
      <c r="P437" s="129"/>
      <c r="Q437" s="129"/>
      <c r="R437" s="129"/>
      <c r="S437" s="129"/>
      <c r="T437" s="129"/>
      <c r="U437" s="129"/>
      <c r="V437" s="129"/>
      <c r="W437" s="129"/>
      <c r="X437" s="129"/>
      <c r="Y437" s="129"/>
      <c r="Z437" s="129"/>
    </row>
    <row r="438" ht="15.75" customHeight="1">
      <c r="A438" s="129"/>
      <c r="B438" s="129"/>
      <c r="C438" s="129"/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29"/>
      <c r="O438" s="129"/>
      <c r="P438" s="129"/>
      <c r="Q438" s="129"/>
      <c r="R438" s="129"/>
      <c r="S438" s="129"/>
      <c r="T438" s="129"/>
      <c r="U438" s="129"/>
      <c r="V438" s="129"/>
      <c r="W438" s="129"/>
      <c r="X438" s="129"/>
      <c r="Y438" s="129"/>
      <c r="Z438" s="129"/>
    </row>
    <row r="439" ht="15.75" customHeight="1">
      <c r="A439" s="129"/>
      <c r="B439" s="129"/>
      <c r="C439" s="129"/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29"/>
      <c r="P439" s="129"/>
      <c r="Q439" s="129"/>
      <c r="R439" s="129"/>
      <c r="S439" s="129"/>
      <c r="T439" s="129"/>
      <c r="U439" s="129"/>
      <c r="V439" s="129"/>
      <c r="W439" s="129"/>
      <c r="X439" s="129"/>
      <c r="Y439" s="129"/>
      <c r="Z439" s="129"/>
    </row>
    <row r="440" ht="15.75" customHeight="1">
      <c r="A440" s="129"/>
      <c r="B440" s="129"/>
      <c r="C440" s="129"/>
      <c r="D440" s="129"/>
      <c r="E440" s="129"/>
      <c r="F440" s="129"/>
      <c r="G440" s="129"/>
      <c r="H440" s="129"/>
      <c r="I440" s="129"/>
      <c r="J440" s="129"/>
      <c r="K440" s="129"/>
      <c r="L440" s="129"/>
      <c r="M440" s="129"/>
      <c r="N440" s="129"/>
      <c r="O440" s="129"/>
      <c r="P440" s="129"/>
      <c r="Q440" s="129"/>
      <c r="R440" s="129"/>
      <c r="S440" s="129"/>
      <c r="T440" s="129"/>
      <c r="U440" s="129"/>
      <c r="V440" s="129"/>
      <c r="W440" s="129"/>
      <c r="X440" s="129"/>
      <c r="Y440" s="129"/>
      <c r="Z440" s="129"/>
    </row>
    <row r="441" ht="15.75" customHeight="1">
      <c r="A441" s="129"/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</row>
    <row r="442" ht="15.75" customHeight="1">
      <c r="A442" s="129"/>
      <c r="B442" s="129"/>
      <c r="C442" s="129"/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  <c r="P442" s="129"/>
      <c r="Q442" s="129"/>
      <c r="R442" s="129"/>
      <c r="S442" s="129"/>
      <c r="T442" s="129"/>
      <c r="U442" s="129"/>
      <c r="V442" s="129"/>
      <c r="W442" s="129"/>
      <c r="X442" s="129"/>
      <c r="Y442" s="129"/>
      <c r="Z442" s="129"/>
    </row>
    <row r="443" ht="15.75" customHeight="1">
      <c r="A443" s="129"/>
      <c r="B443" s="129"/>
      <c r="C443" s="129"/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29"/>
      <c r="P443" s="129"/>
      <c r="Q443" s="129"/>
      <c r="R443" s="129"/>
      <c r="S443" s="129"/>
      <c r="T443" s="129"/>
      <c r="U443" s="129"/>
      <c r="V443" s="129"/>
      <c r="W443" s="129"/>
      <c r="X443" s="129"/>
      <c r="Y443" s="129"/>
      <c r="Z443" s="129"/>
    </row>
    <row r="444" ht="15.75" customHeight="1">
      <c r="A444" s="129"/>
      <c r="B444" s="129"/>
      <c r="C444" s="129"/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29"/>
      <c r="O444" s="129"/>
      <c r="P444" s="129"/>
      <c r="Q444" s="129"/>
      <c r="R444" s="129"/>
      <c r="S444" s="129"/>
      <c r="T444" s="129"/>
      <c r="U444" s="129"/>
      <c r="V444" s="129"/>
      <c r="W444" s="129"/>
      <c r="X444" s="129"/>
      <c r="Y444" s="129"/>
      <c r="Z444" s="129"/>
    </row>
    <row r="445" ht="15.75" customHeight="1">
      <c r="A445" s="129"/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  <c r="P445" s="129"/>
      <c r="Q445" s="129"/>
      <c r="R445" s="129"/>
      <c r="S445" s="129"/>
      <c r="T445" s="129"/>
      <c r="U445" s="129"/>
      <c r="V445" s="129"/>
      <c r="W445" s="129"/>
      <c r="X445" s="129"/>
      <c r="Y445" s="129"/>
      <c r="Z445" s="129"/>
    </row>
    <row r="446" ht="15.75" customHeight="1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  <c r="P446" s="129"/>
      <c r="Q446" s="129"/>
      <c r="R446" s="129"/>
      <c r="S446" s="129"/>
      <c r="T446" s="129"/>
      <c r="U446" s="129"/>
      <c r="V446" s="129"/>
      <c r="W446" s="129"/>
      <c r="X446" s="129"/>
      <c r="Y446" s="129"/>
      <c r="Z446" s="129"/>
    </row>
    <row r="447" ht="15.75" customHeight="1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  <c r="Z447" s="129"/>
    </row>
    <row r="448" ht="15.75" customHeight="1">
      <c r="A448" s="129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</row>
    <row r="449" ht="15.75" customHeight="1">
      <c r="A449" s="129"/>
      <c r="B449" s="129"/>
      <c r="C449" s="129"/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  <c r="O449" s="129"/>
      <c r="P449" s="129"/>
      <c r="Q449" s="129"/>
      <c r="R449" s="129"/>
      <c r="S449" s="129"/>
      <c r="T449" s="129"/>
      <c r="U449" s="129"/>
      <c r="V449" s="129"/>
      <c r="W449" s="129"/>
      <c r="X449" s="129"/>
      <c r="Y449" s="129"/>
      <c r="Z449" s="129"/>
    </row>
    <row r="450" ht="15.75" customHeight="1">
      <c r="A450" s="129"/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</row>
    <row r="451" ht="15.75" customHeight="1">
      <c r="A451" s="129"/>
      <c r="B451" s="129"/>
      <c r="C451" s="129"/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29"/>
      <c r="P451" s="129"/>
      <c r="Q451" s="129"/>
      <c r="R451" s="129"/>
      <c r="S451" s="129"/>
      <c r="T451" s="129"/>
      <c r="U451" s="129"/>
      <c r="V451" s="129"/>
      <c r="W451" s="129"/>
      <c r="X451" s="129"/>
      <c r="Y451" s="129"/>
      <c r="Z451" s="129"/>
    </row>
    <row r="452" ht="15.75" customHeight="1">
      <c r="A452" s="129"/>
      <c r="B452" s="129"/>
      <c r="C452" s="129"/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29"/>
      <c r="O452" s="129"/>
      <c r="P452" s="129"/>
      <c r="Q452" s="129"/>
      <c r="R452" s="129"/>
      <c r="S452" s="129"/>
      <c r="T452" s="129"/>
      <c r="U452" s="129"/>
      <c r="V452" s="129"/>
      <c r="W452" s="129"/>
      <c r="X452" s="129"/>
      <c r="Y452" s="129"/>
      <c r="Z452" s="129"/>
    </row>
    <row r="453" ht="15.75" customHeight="1">
      <c r="A453" s="129"/>
      <c r="B453" s="129"/>
      <c r="C453" s="129"/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29"/>
      <c r="P453" s="129"/>
      <c r="Q453" s="129"/>
      <c r="R453" s="129"/>
      <c r="S453" s="129"/>
      <c r="T453" s="129"/>
      <c r="U453" s="129"/>
      <c r="V453" s="129"/>
      <c r="W453" s="129"/>
      <c r="X453" s="129"/>
      <c r="Y453" s="129"/>
      <c r="Z453" s="129"/>
    </row>
    <row r="454" ht="15.75" customHeight="1">
      <c r="A454" s="129"/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29"/>
      <c r="P454" s="129"/>
      <c r="Q454" s="129"/>
      <c r="R454" s="129"/>
      <c r="S454" s="129"/>
      <c r="T454" s="129"/>
      <c r="U454" s="129"/>
      <c r="V454" s="129"/>
      <c r="W454" s="129"/>
      <c r="X454" s="129"/>
      <c r="Y454" s="129"/>
      <c r="Z454" s="129"/>
    </row>
    <row r="455" ht="15.75" customHeight="1">
      <c r="A455" s="129"/>
      <c r="B455" s="129"/>
      <c r="C455" s="129"/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29"/>
      <c r="P455" s="129"/>
      <c r="Q455" s="129"/>
      <c r="R455" s="129"/>
      <c r="S455" s="129"/>
      <c r="T455" s="129"/>
      <c r="U455" s="129"/>
      <c r="V455" s="129"/>
      <c r="W455" s="129"/>
      <c r="X455" s="129"/>
      <c r="Y455" s="129"/>
      <c r="Z455" s="129"/>
    </row>
    <row r="456" ht="15.75" customHeight="1">
      <c r="A456" s="129"/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29"/>
      <c r="P456" s="129"/>
      <c r="Q456" s="129"/>
      <c r="R456" s="129"/>
      <c r="S456" s="129"/>
      <c r="T456" s="129"/>
      <c r="U456" s="129"/>
      <c r="V456" s="129"/>
      <c r="W456" s="129"/>
      <c r="X456" s="129"/>
      <c r="Y456" s="129"/>
      <c r="Z456" s="129"/>
    </row>
    <row r="457" ht="15.75" customHeight="1">
      <c r="A457" s="129"/>
      <c r="B457" s="129"/>
      <c r="C457" s="129"/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29"/>
      <c r="P457" s="129"/>
      <c r="Q457" s="129"/>
      <c r="R457" s="129"/>
      <c r="S457" s="129"/>
      <c r="T457" s="129"/>
      <c r="U457" s="129"/>
      <c r="V457" s="129"/>
      <c r="W457" s="129"/>
      <c r="X457" s="129"/>
      <c r="Y457" s="129"/>
      <c r="Z457" s="129"/>
    </row>
    <row r="458" ht="15.75" customHeight="1">
      <c r="A458" s="129"/>
      <c r="B458" s="129"/>
      <c r="C458" s="129"/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29"/>
      <c r="O458" s="129"/>
      <c r="P458" s="129"/>
      <c r="Q458" s="129"/>
      <c r="R458" s="129"/>
      <c r="S458" s="129"/>
      <c r="T458" s="129"/>
      <c r="U458" s="129"/>
      <c r="V458" s="129"/>
      <c r="W458" s="129"/>
      <c r="X458" s="129"/>
      <c r="Y458" s="129"/>
      <c r="Z458" s="129"/>
    </row>
    <row r="459" ht="15.75" customHeight="1">
      <c r="A459" s="129"/>
      <c r="B459" s="129"/>
      <c r="C459" s="129"/>
      <c r="D459" s="129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29"/>
      <c r="P459" s="129"/>
      <c r="Q459" s="129"/>
      <c r="R459" s="129"/>
      <c r="S459" s="129"/>
      <c r="T459" s="129"/>
      <c r="U459" s="129"/>
      <c r="V459" s="129"/>
      <c r="W459" s="129"/>
      <c r="X459" s="129"/>
      <c r="Y459" s="129"/>
      <c r="Z459" s="129"/>
    </row>
    <row r="460" ht="15.75" customHeight="1">
      <c r="A460" s="129"/>
      <c r="B460" s="129"/>
      <c r="C460" s="129"/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29"/>
      <c r="O460" s="129"/>
      <c r="P460" s="129"/>
      <c r="Q460" s="129"/>
      <c r="R460" s="129"/>
      <c r="S460" s="129"/>
      <c r="T460" s="129"/>
      <c r="U460" s="129"/>
      <c r="V460" s="129"/>
      <c r="W460" s="129"/>
      <c r="X460" s="129"/>
      <c r="Y460" s="129"/>
      <c r="Z460" s="129"/>
    </row>
    <row r="461" ht="15.75" customHeight="1">
      <c r="A461" s="129"/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</row>
    <row r="462" ht="15.75" customHeight="1">
      <c r="A462" s="129"/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/>
      <c r="X462" s="129"/>
      <c r="Y462" s="129"/>
      <c r="Z462" s="129"/>
    </row>
    <row r="463" ht="15.75" customHeight="1">
      <c r="A463" s="129"/>
      <c r="B463" s="129"/>
      <c r="C463" s="129"/>
      <c r="D463" s="129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29"/>
      <c r="P463" s="129"/>
      <c r="Q463" s="129"/>
      <c r="R463" s="129"/>
      <c r="S463" s="129"/>
      <c r="T463" s="129"/>
      <c r="U463" s="129"/>
      <c r="V463" s="129"/>
      <c r="W463" s="129"/>
      <c r="X463" s="129"/>
      <c r="Y463" s="129"/>
      <c r="Z463" s="129"/>
    </row>
    <row r="464" ht="15.75" customHeight="1">
      <c r="A464" s="129"/>
      <c r="B464" s="129"/>
      <c r="C464" s="129"/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29"/>
      <c r="O464" s="129"/>
      <c r="P464" s="129"/>
      <c r="Q464" s="129"/>
      <c r="R464" s="129"/>
      <c r="S464" s="129"/>
      <c r="T464" s="129"/>
      <c r="U464" s="129"/>
      <c r="V464" s="129"/>
      <c r="W464" s="129"/>
      <c r="X464" s="129"/>
      <c r="Y464" s="129"/>
      <c r="Z464" s="129"/>
    </row>
    <row r="465" ht="15.75" customHeight="1">
      <c r="A465" s="129"/>
      <c r="B465" s="129"/>
      <c r="C465" s="129"/>
      <c r="D465" s="129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29"/>
      <c r="P465" s="129"/>
      <c r="Q465" s="129"/>
      <c r="R465" s="129"/>
      <c r="S465" s="129"/>
      <c r="T465" s="129"/>
      <c r="U465" s="129"/>
      <c r="V465" s="129"/>
      <c r="W465" s="129"/>
      <c r="X465" s="129"/>
      <c r="Y465" s="129"/>
      <c r="Z465" s="129"/>
    </row>
    <row r="466" ht="15.75" customHeight="1">
      <c r="A466" s="129"/>
      <c r="B466" s="129"/>
      <c r="C466" s="129"/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29"/>
      <c r="O466" s="129"/>
      <c r="P466" s="129"/>
      <c r="Q466" s="129"/>
      <c r="R466" s="129"/>
      <c r="S466" s="129"/>
      <c r="T466" s="129"/>
      <c r="U466" s="129"/>
      <c r="V466" s="129"/>
      <c r="W466" s="129"/>
      <c r="X466" s="129"/>
      <c r="Y466" s="129"/>
      <c r="Z466" s="129"/>
    </row>
    <row r="467" ht="15.75" customHeight="1">
      <c r="A467" s="129"/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  <c r="R467" s="129"/>
      <c r="S467" s="129"/>
      <c r="T467" s="129"/>
      <c r="U467" s="129"/>
      <c r="V467" s="129"/>
      <c r="W467" s="129"/>
      <c r="X467" s="129"/>
      <c r="Y467" s="129"/>
      <c r="Z467" s="129"/>
    </row>
    <row r="468" ht="15.75" customHeight="1">
      <c r="A468" s="129"/>
      <c r="B468" s="129"/>
      <c r="C468" s="129"/>
      <c r="D468" s="129"/>
      <c r="E468" s="129"/>
      <c r="F468" s="129"/>
      <c r="G468" s="129"/>
      <c r="H468" s="129"/>
      <c r="I468" s="129"/>
      <c r="J468" s="129"/>
      <c r="K468" s="129"/>
      <c r="L468" s="129"/>
      <c r="M468" s="129"/>
      <c r="N468" s="129"/>
      <c r="O468" s="129"/>
      <c r="P468" s="129"/>
      <c r="Q468" s="129"/>
      <c r="R468" s="129"/>
      <c r="S468" s="129"/>
      <c r="T468" s="129"/>
      <c r="U468" s="129"/>
      <c r="V468" s="129"/>
      <c r="W468" s="129"/>
      <c r="X468" s="129"/>
      <c r="Y468" s="129"/>
      <c r="Z468" s="129"/>
    </row>
    <row r="469" ht="15.75" customHeight="1">
      <c r="A469" s="129"/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  <c r="X469" s="129"/>
      <c r="Y469" s="129"/>
      <c r="Z469" s="129"/>
    </row>
    <row r="470" ht="15.75" customHeight="1">
      <c r="A470" s="129"/>
      <c r="B470" s="129"/>
      <c r="C470" s="129"/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  <c r="O470" s="129"/>
      <c r="P470" s="129"/>
      <c r="Q470" s="129"/>
      <c r="R470" s="129"/>
      <c r="S470" s="129"/>
      <c r="T470" s="129"/>
      <c r="U470" s="129"/>
      <c r="V470" s="129"/>
      <c r="W470" s="129"/>
      <c r="X470" s="129"/>
      <c r="Y470" s="129"/>
      <c r="Z470" s="129"/>
    </row>
    <row r="471" ht="15.75" customHeight="1">
      <c r="A471" s="129"/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  <c r="R471" s="129"/>
      <c r="S471" s="129"/>
      <c r="T471" s="129"/>
      <c r="U471" s="129"/>
      <c r="V471" s="129"/>
      <c r="W471" s="129"/>
      <c r="X471" s="129"/>
      <c r="Y471" s="129"/>
      <c r="Z471" s="129"/>
    </row>
    <row r="472" ht="15.75" customHeight="1">
      <c r="A472" s="129"/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29"/>
      <c r="P472" s="129"/>
      <c r="Q472" s="129"/>
      <c r="R472" s="129"/>
      <c r="S472" s="129"/>
      <c r="T472" s="129"/>
      <c r="U472" s="129"/>
      <c r="V472" s="129"/>
      <c r="W472" s="129"/>
      <c r="X472" s="129"/>
      <c r="Y472" s="129"/>
      <c r="Z472" s="129"/>
    </row>
    <row r="473" ht="15.75" customHeight="1">
      <c r="A473" s="129"/>
      <c r="B473" s="129"/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29"/>
      <c r="P473" s="129"/>
      <c r="Q473" s="129"/>
      <c r="R473" s="129"/>
      <c r="S473" s="129"/>
      <c r="T473" s="129"/>
      <c r="U473" s="129"/>
      <c r="V473" s="129"/>
      <c r="W473" s="129"/>
      <c r="X473" s="129"/>
      <c r="Y473" s="129"/>
      <c r="Z473" s="129"/>
    </row>
    <row r="474" ht="15.75" customHeight="1">
      <c r="A474" s="129"/>
      <c r="B474" s="129"/>
      <c r="C474" s="129"/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29"/>
      <c r="O474" s="129"/>
      <c r="P474" s="129"/>
      <c r="Q474" s="129"/>
      <c r="R474" s="129"/>
      <c r="S474" s="129"/>
      <c r="T474" s="129"/>
      <c r="U474" s="129"/>
      <c r="V474" s="129"/>
      <c r="W474" s="129"/>
      <c r="X474" s="129"/>
      <c r="Y474" s="129"/>
      <c r="Z474" s="129"/>
    </row>
    <row r="475" ht="15.75" customHeight="1">
      <c r="A475" s="129"/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  <c r="Z475" s="129"/>
    </row>
    <row r="476" ht="15.75" customHeight="1">
      <c r="A476" s="129"/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/>
      <c r="Y476" s="129"/>
      <c r="Z476" s="129"/>
    </row>
    <row r="477" ht="15.75" customHeight="1">
      <c r="A477" s="129"/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/>
      <c r="Y477" s="129"/>
      <c r="Z477" s="129"/>
    </row>
    <row r="478" ht="15.75" customHeight="1">
      <c r="A478" s="129"/>
      <c r="B478" s="129"/>
      <c r="C478" s="129"/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29"/>
      <c r="O478" s="129"/>
      <c r="P478" s="129"/>
      <c r="Q478" s="129"/>
      <c r="R478" s="129"/>
      <c r="S478" s="129"/>
      <c r="T478" s="129"/>
      <c r="U478" s="129"/>
      <c r="V478" s="129"/>
      <c r="W478" s="129"/>
      <c r="X478" s="129"/>
      <c r="Y478" s="129"/>
      <c r="Z478" s="129"/>
    </row>
    <row r="479" ht="15.75" customHeight="1">
      <c r="A479" s="129"/>
      <c r="B479" s="129"/>
      <c r="C479" s="129"/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29"/>
      <c r="O479" s="129"/>
      <c r="P479" s="129"/>
      <c r="Q479" s="129"/>
      <c r="R479" s="129"/>
      <c r="S479" s="129"/>
      <c r="T479" s="129"/>
      <c r="U479" s="129"/>
      <c r="V479" s="129"/>
      <c r="W479" s="129"/>
      <c r="X479" s="129"/>
      <c r="Y479" s="129"/>
      <c r="Z479" s="129"/>
    </row>
    <row r="480" ht="15.75" customHeight="1">
      <c r="A480" s="129"/>
      <c r="B480" s="129"/>
      <c r="C480" s="129"/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29"/>
      <c r="O480" s="129"/>
      <c r="P480" s="129"/>
      <c r="Q480" s="129"/>
      <c r="R480" s="129"/>
      <c r="S480" s="129"/>
      <c r="T480" s="129"/>
      <c r="U480" s="129"/>
      <c r="V480" s="129"/>
      <c r="W480" s="129"/>
      <c r="X480" s="129"/>
      <c r="Y480" s="129"/>
      <c r="Z480" s="129"/>
    </row>
    <row r="481" ht="15.75" customHeight="1">
      <c r="A481" s="129"/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  <c r="R481" s="129"/>
      <c r="S481" s="129"/>
      <c r="T481" s="129"/>
      <c r="U481" s="129"/>
      <c r="V481" s="129"/>
      <c r="W481" s="129"/>
      <c r="X481" s="129"/>
      <c r="Y481" s="129"/>
      <c r="Z481" s="129"/>
    </row>
    <row r="482" ht="15.75" customHeight="1">
      <c r="A482" s="129"/>
      <c r="B482" s="129"/>
      <c r="C482" s="129"/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29"/>
      <c r="O482" s="129"/>
      <c r="P482" s="129"/>
      <c r="Q482" s="129"/>
      <c r="R482" s="129"/>
      <c r="S482" s="129"/>
      <c r="T482" s="129"/>
      <c r="U482" s="129"/>
      <c r="V482" s="129"/>
      <c r="W482" s="129"/>
      <c r="X482" s="129"/>
      <c r="Y482" s="129"/>
      <c r="Z482" s="129"/>
    </row>
    <row r="483" ht="15.75" customHeight="1">
      <c r="A483" s="129"/>
      <c r="B483" s="129"/>
      <c r="C483" s="129"/>
      <c r="D483" s="129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29"/>
      <c r="P483" s="129"/>
      <c r="Q483" s="129"/>
      <c r="R483" s="129"/>
      <c r="S483" s="129"/>
      <c r="T483" s="129"/>
      <c r="U483" s="129"/>
      <c r="V483" s="129"/>
      <c r="W483" s="129"/>
      <c r="X483" s="129"/>
      <c r="Y483" s="129"/>
      <c r="Z483" s="129"/>
    </row>
    <row r="484" ht="15.75" customHeight="1">
      <c r="A484" s="129"/>
      <c r="B484" s="129"/>
      <c r="C484" s="129"/>
      <c r="D484" s="129"/>
      <c r="E484" s="129"/>
      <c r="F484" s="129"/>
      <c r="G484" s="129"/>
      <c r="H484" s="129"/>
      <c r="I484" s="129"/>
      <c r="J484" s="129"/>
      <c r="K484" s="129"/>
      <c r="L484" s="129"/>
      <c r="M484" s="129"/>
      <c r="N484" s="129"/>
      <c r="O484" s="129"/>
      <c r="P484" s="129"/>
      <c r="Q484" s="129"/>
      <c r="R484" s="129"/>
      <c r="S484" s="129"/>
      <c r="T484" s="129"/>
      <c r="U484" s="129"/>
      <c r="V484" s="129"/>
      <c r="W484" s="129"/>
      <c r="X484" s="129"/>
      <c r="Y484" s="129"/>
      <c r="Z484" s="129"/>
    </row>
    <row r="485" ht="15.75" customHeight="1">
      <c r="A485" s="129"/>
      <c r="B485" s="129"/>
      <c r="C485" s="129"/>
      <c r="D485" s="129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129"/>
      <c r="R485" s="129"/>
      <c r="S485" s="129"/>
      <c r="T485" s="129"/>
      <c r="U485" s="129"/>
      <c r="V485" s="129"/>
      <c r="W485" s="129"/>
      <c r="X485" s="129"/>
      <c r="Y485" s="129"/>
      <c r="Z485" s="129"/>
    </row>
    <row r="486" ht="15.75" customHeight="1">
      <c r="A486" s="129"/>
      <c r="B486" s="129"/>
      <c r="C486" s="129"/>
      <c r="D486" s="129"/>
      <c r="E486" s="129"/>
      <c r="F486" s="129"/>
      <c r="G486" s="129"/>
      <c r="H486" s="129"/>
      <c r="I486" s="129"/>
      <c r="J486" s="129"/>
      <c r="K486" s="129"/>
      <c r="L486" s="129"/>
      <c r="M486" s="129"/>
      <c r="N486" s="129"/>
      <c r="O486" s="129"/>
      <c r="P486" s="129"/>
      <c r="Q486" s="129"/>
      <c r="R486" s="129"/>
      <c r="S486" s="129"/>
      <c r="T486" s="129"/>
      <c r="U486" s="129"/>
      <c r="V486" s="129"/>
      <c r="W486" s="129"/>
      <c r="X486" s="129"/>
      <c r="Y486" s="129"/>
      <c r="Z486" s="129"/>
    </row>
    <row r="487" ht="15.75" customHeight="1">
      <c r="A487" s="129"/>
      <c r="B487" s="129"/>
      <c r="C487" s="129"/>
      <c r="D487" s="129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29"/>
      <c r="P487" s="129"/>
      <c r="Q487" s="129"/>
      <c r="R487" s="129"/>
      <c r="S487" s="129"/>
      <c r="T487" s="129"/>
      <c r="U487" s="129"/>
      <c r="V487" s="129"/>
      <c r="W487" s="129"/>
      <c r="X487" s="129"/>
      <c r="Y487" s="129"/>
      <c r="Z487" s="129"/>
    </row>
    <row r="488" ht="15.75" customHeight="1">
      <c r="A488" s="129"/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</row>
    <row r="489" ht="15.75" customHeight="1">
      <c r="A489" s="129"/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  <c r="Z489" s="129"/>
    </row>
    <row r="490" ht="15.75" customHeight="1">
      <c r="A490" s="129"/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  <c r="Z490" s="129"/>
    </row>
    <row r="491" ht="15.75" customHeight="1">
      <c r="A491" s="129"/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  <c r="Z491" s="129"/>
    </row>
    <row r="492" ht="15.75" customHeight="1">
      <c r="A492" s="129"/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</row>
    <row r="493" ht="15.75" customHeight="1">
      <c r="A493" s="129"/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  <c r="Z493" s="129"/>
    </row>
    <row r="494" ht="15.75" customHeight="1">
      <c r="A494" s="129"/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</row>
    <row r="495" ht="15.75" customHeight="1">
      <c r="A495" s="129"/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</row>
    <row r="496" ht="15.75" customHeight="1">
      <c r="A496" s="129"/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</row>
    <row r="497" ht="15.75" customHeight="1">
      <c r="A497" s="129"/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</row>
    <row r="498" ht="15.75" customHeight="1">
      <c r="A498" s="129"/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  <c r="Z498" s="129"/>
    </row>
    <row r="499" ht="15.75" customHeight="1">
      <c r="A499" s="129"/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</row>
    <row r="500" ht="15.75" customHeight="1">
      <c r="A500" s="129"/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</row>
    <row r="501" ht="15.75" customHeight="1">
      <c r="A501" s="129"/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</row>
    <row r="502" ht="15.75" customHeight="1">
      <c r="A502" s="129"/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  <c r="Z502" s="129"/>
    </row>
    <row r="503" ht="15.75" customHeight="1">
      <c r="A503" s="129"/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  <c r="Z503" s="129"/>
    </row>
    <row r="504" ht="15.75" customHeight="1">
      <c r="A504" s="129"/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</row>
    <row r="505" ht="15.75" customHeight="1">
      <c r="A505" s="129"/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</row>
    <row r="506" ht="15.75" customHeight="1">
      <c r="A506" s="129"/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</row>
    <row r="507" ht="15.75" customHeight="1">
      <c r="A507" s="129"/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  <c r="Z507" s="129"/>
    </row>
    <row r="508" ht="15.75" customHeight="1">
      <c r="A508" s="129"/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</row>
    <row r="509" ht="15.75" customHeight="1">
      <c r="A509" s="129"/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  <c r="Z509" s="129"/>
    </row>
    <row r="510" ht="15.75" customHeight="1">
      <c r="A510" s="129"/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</row>
    <row r="511" ht="15.75" customHeight="1">
      <c r="A511" s="129"/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  <c r="Z511" s="129"/>
    </row>
    <row r="512" ht="15.75" customHeight="1">
      <c r="A512" s="129"/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  <c r="Z512" s="129"/>
    </row>
    <row r="513" ht="15.75" customHeight="1">
      <c r="A513" s="129"/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</row>
    <row r="514" ht="15.75" customHeight="1">
      <c r="A514" s="129"/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</row>
    <row r="515" ht="15.75" customHeight="1">
      <c r="A515" s="129"/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</row>
    <row r="516" ht="15.75" customHeight="1">
      <c r="A516" s="129"/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</row>
    <row r="517" ht="15.75" customHeight="1">
      <c r="A517" s="129"/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  <c r="Z517" s="129"/>
    </row>
    <row r="518" ht="15.75" customHeight="1">
      <c r="A518" s="129"/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  <c r="Z518" s="129"/>
    </row>
    <row r="519" ht="15.75" customHeight="1">
      <c r="A519" s="129"/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  <c r="Z519" s="129"/>
    </row>
    <row r="520" ht="15.75" customHeight="1">
      <c r="A520" s="129"/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</row>
    <row r="521" ht="15.75" customHeight="1">
      <c r="A521" s="129"/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  <c r="Z521" s="129"/>
    </row>
    <row r="522" ht="15.75" customHeight="1">
      <c r="A522" s="129"/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</row>
    <row r="523" ht="15.75" customHeight="1">
      <c r="A523" s="129"/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</row>
    <row r="524" ht="15.75" customHeight="1">
      <c r="A524" s="129"/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</row>
    <row r="525" ht="15.75" customHeight="1">
      <c r="A525" s="129"/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</row>
    <row r="526" ht="15.75" customHeight="1">
      <c r="A526" s="129"/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</row>
    <row r="527" ht="15.75" customHeight="1">
      <c r="A527" s="129"/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  <c r="Z527" s="129"/>
    </row>
    <row r="528" ht="15.75" customHeight="1">
      <c r="A528" s="129"/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  <c r="Z528" s="129"/>
    </row>
    <row r="529" ht="15.75" customHeight="1">
      <c r="A529" s="129"/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  <c r="Z529" s="129"/>
    </row>
    <row r="530" ht="15.75" customHeight="1">
      <c r="A530" s="129"/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</row>
    <row r="531" ht="15.75" customHeight="1">
      <c r="A531" s="129"/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</row>
    <row r="532" ht="15.75" customHeight="1">
      <c r="A532" s="129"/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</row>
    <row r="533" ht="15.75" customHeight="1">
      <c r="A533" s="129"/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</row>
    <row r="534" ht="15.75" customHeight="1">
      <c r="A534" s="129"/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</row>
    <row r="535" ht="15.75" customHeight="1">
      <c r="A535" s="129"/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</row>
    <row r="536" ht="15.75" customHeight="1">
      <c r="A536" s="129"/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  <c r="Z536" s="129"/>
    </row>
    <row r="537" ht="15.75" customHeight="1">
      <c r="A537" s="129"/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  <c r="Z537" s="129"/>
    </row>
    <row r="538" ht="15.75" customHeight="1">
      <c r="A538" s="129"/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  <c r="Z538" s="129"/>
    </row>
    <row r="539" ht="15.75" customHeight="1">
      <c r="A539" s="129"/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</row>
    <row r="540" ht="15.75" customHeight="1">
      <c r="A540" s="129"/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</row>
    <row r="541" ht="15.75" customHeight="1">
      <c r="A541" s="129"/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  <c r="Z541" s="129"/>
    </row>
    <row r="542" ht="15.75" customHeight="1">
      <c r="A542" s="129"/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</row>
    <row r="543" ht="15.75" customHeight="1">
      <c r="A543" s="129"/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  <c r="Z543" s="129"/>
    </row>
    <row r="544" ht="15.75" customHeight="1">
      <c r="A544" s="129"/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  <c r="Z544" s="129"/>
    </row>
    <row r="545" ht="15.75" customHeight="1">
      <c r="A545" s="129"/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  <c r="Z545" s="129"/>
    </row>
    <row r="546" ht="15.75" customHeight="1">
      <c r="A546" s="129"/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</row>
    <row r="547" ht="15.75" customHeight="1">
      <c r="A547" s="129"/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  <c r="Z547" s="129"/>
    </row>
    <row r="548" ht="15.75" customHeight="1">
      <c r="A548" s="129"/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  <c r="Z548" s="129"/>
    </row>
    <row r="549" ht="15.75" customHeight="1">
      <c r="A549" s="129"/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</row>
    <row r="550" ht="15.75" customHeight="1">
      <c r="A550" s="129"/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</row>
    <row r="551" ht="15.75" customHeight="1">
      <c r="A551" s="129"/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  <c r="Z551" s="129"/>
    </row>
    <row r="552" ht="15.75" customHeight="1">
      <c r="A552" s="129"/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  <c r="Z552" s="129"/>
    </row>
    <row r="553" ht="15.75" customHeight="1">
      <c r="A553" s="129"/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  <c r="Z553" s="129"/>
    </row>
    <row r="554" ht="15.75" customHeight="1">
      <c r="A554" s="129"/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  <c r="Z554" s="129"/>
    </row>
    <row r="555" ht="15.75" customHeight="1">
      <c r="A555" s="129"/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</row>
    <row r="556" ht="15.75" customHeight="1">
      <c r="A556" s="129"/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  <c r="Z556" s="129"/>
    </row>
    <row r="557" ht="15.75" customHeight="1">
      <c r="A557" s="129"/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  <c r="Z557" s="129"/>
    </row>
    <row r="558" ht="15.75" customHeight="1">
      <c r="A558" s="129"/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</row>
    <row r="559" ht="15.75" customHeight="1">
      <c r="A559" s="129"/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</row>
    <row r="560" ht="15.75" customHeight="1">
      <c r="A560" s="129"/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</row>
    <row r="561" ht="15.75" customHeight="1">
      <c r="A561" s="129"/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</row>
    <row r="562" ht="15.75" customHeight="1">
      <c r="A562" s="129"/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  <c r="Z562" s="129"/>
    </row>
    <row r="563" ht="15.75" customHeight="1">
      <c r="A563" s="129"/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</row>
    <row r="564" ht="15.75" customHeight="1">
      <c r="A564" s="129"/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</row>
    <row r="565" ht="15.75" customHeight="1">
      <c r="A565" s="129"/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</row>
    <row r="566" ht="15.75" customHeight="1">
      <c r="A566" s="129"/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</row>
    <row r="567" ht="15.75" customHeight="1">
      <c r="A567" s="129"/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</row>
    <row r="568" ht="15.75" customHeight="1">
      <c r="A568" s="129"/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</row>
    <row r="569" ht="15.75" customHeight="1">
      <c r="A569" s="129"/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</row>
    <row r="570" ht="15.75" customHeight="1">
      <c r="A570" s="129"/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</row>
    <row r="571" ht="15.75" customHeight="1">
      <c r="A571" s="129"/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</row>
    <row r="572" ht="15.75" customHeight="1">
      <c r="A572" s="129"/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  <c r="Z572" s="129"/>
    </row>
    <row r="573" ht="15.75" customHeight="1">
      <c r="A573" s="129"/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  <c r="Z573" s="129"/>
    </row>
    <row r="574" ht="15.75" customHeight="1">
      <c r="A574" s="129"/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</row>
    <row r="575" ht="15.75" customHeight="1">
      <c r="A575" s="129"/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</row>
    <row r="576" ht="15.75" customHeight="1">
      <c r="A576" s="129"/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</row>
    <row r="577" ht="15.75" customHeight="1">
      <c r="A577" s="129"/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</row>
    <row r="578" ht="15.75" customHeight="1">
      <c r="A578" s="129"/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</row>
    <row r="579" ht="15.75" customHeight="1">
      <c r="A579" s="129"/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</row>
    <row r="580" ht="15.75" customHeight="1">
      <c r="A580" s="129"/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</row>
    <row r="581" ht="15.75" customHeight="1">
      <c r="A581" s="129"/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</row>
    <row r="582" ht="15.75" customHeight="1">
      <c r="A582" s="129"/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</row>
    <row r="583" ht="15.75" customHeight="1">
      <c r="A583" s="129"/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</row>
    <row r="584" ht="15.75" customHeight="1">
      <c r="A584" s="129"/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</row>
    <row r="585" ht="15.75" customHeight="1">
      <c r="A585" s="129"/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</row>
    <row r="586" ht="15.75" customHeight="1">
      <c r="A586" s="129"/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</row>
    <row r="587" ht="15.75" customHeight="1">
      <c r="A587" s="129"/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</row>
    <row r="588" ht="15.75" customHeight="1">
      <c r="A588" s="129"/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</row>
    <row r="589" ht="15.75" customHeight="1">
      <c r="A589" s="129"/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</row>
    <row r="590" ht="15.75" customHeight="1">
      <c r="A590" s="129"/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</row>
    <row r="591" ht="15.75" customHeight="1">
      <c r="A591" s="129"/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</row>
    <row r="592" ht="15.75" customHeight="1">
      <c r="A592" s="129"/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</row>
    <row r="593" ht="15.75" customHeight="1">
      <c r="A593" s="129"/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</row>
    <row r="594" ht="15.75" customHeight="1">
      <c r="A594" s="129"/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</row>
    <row r="595" ht="15.75" customHeight="1">
      <c r="A595" s="129"/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</row>
    <row r="596" ht="15.75" customHeight="1">
      <c r="A596" s="129"/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</row>
    <row r="597" ht="15.75" customHeight="1">
      <c r="A597" s="129"/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</row>
    <row r="598" ht="15.75" customHeight="1">
      <c r="A598" s="129"/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</row>
    <row r="599" ht="15.75" customHeight="1">
      <c r="A599" s="129"/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</row>
    <row r="600" ht="15.75" customHeight="1">
      <c r="A600" s="129"/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</row>
    <row r="601" ht="15.75" customHeight="1">
      <c r="A601" s="129"/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</row>
    <row r="602" ht="15.75" customHeight="1">
      <c r="A602" s="129"/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</row>
    <row r="603" ht="15.75" customHeight="1">
      <c r="A603" s="129"/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</row>
    <row r="604" ht="15.75" customHeight="1">
      <c r="A604" s="129"/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</row>
    <row r="605" ht="15.75" customHeight="1">
      <c r="A605" s="129"/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</row>
    <row r="606" ht="15.75" customHeight="1">
      <c r="A606" s="129"/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</row>
    <row r="607" ht="15.75" customHeight="1">
      <c r="A607" s="129"/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</row>
    <row r="608" ht="15.75" customHeight="1">
      <c r="A608" s="129"/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</row>
    <row r="609" ht="15.75" customHeight="1">
      <c r="A609" s="129"/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</row>
    <row r="610" ht="15.75" customHeight="1">
      <c r="A610" s="129"/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</row>
    <row r="611" ht="15.75" customHeight="1">
      <c r="A611" s="129"/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</row>
    <row r="612" ht="15.75" customHeight="1">
      <c r="A612" s="129"/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</row>
    <row r="613" ht="15.75" customHeight="1">
      <c r="A613" s="129"/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</row>
    <row r="614" ht="15.75" customHeight="1">
      <c r="A614" s="129"/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</row>
    <row r="615" ht="15.75" customHeight="1">
      <c r="A615" s="129"/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</row>
    <row r="616" ht="15.75" customHeight="1">
      <c r="A616" s="129"/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</row>
    <row r="617" ht="15.75" customHeight="1">
      <c r="A617" s="129"/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</row>
    <row r="618" ht="15.75" customHeight="1">
      <c r="A618" s="129"/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</row>
    <row r="619" ht="15.75" customHeight="1">
      <c r="A619" s="129"/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</row>
    <row r="620" ht="15.75" customHeight="1">
      <c r="A620" s="129"/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</row>
    <row r="621" ht="15.75" customHeight="1">
      <c r="A621" s="129"/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</row>
    <row r="622" ht="15.75" customHeight="1">
      <c r="A622" s="129"/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</row>
    <row r="623" ht="15.75" customHeight="1">
      <c r="A623" s="129"/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</row>
    <row r="624" ht="15.75" customHeight="1">
      <c r="A624" s="129"/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</row>
    <row r="625" ht="15.75" customHeight="1">
      <c r="A625" s="129"/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</row>
    <row r="626" ht="15.75" customHeight="1">
      <c r="A626" s="129"/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</row>
    <row r="627" ht="15.75" customHeight="1">
      <c r="A627" s="129"/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</row>
    <row r="628" ht="15.75" customHeight="1">
      <c r="A628" s="129"/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</row>
    <row r="629" ht="15.75" customHeight="1">
      <c r="A629" s="129"/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</row>
    <row r="630" ht="15.75" customHeight="1">
      <c r="A630" s="129"/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</row>
    <row r="631" ht="15.75" customHeight="1">
      <c r="A631" s="129"/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</row>
    <row r="632" ht="15.75" customHeight="1">
      <c r="A632" s="129"/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</row>
    <row r="633" ht="15.75" customHeight="1">
      <c r="A633" s="129"/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</row>
    <row r="634" ht="15.75" customHeight="1">
      <c r="A634" s="129"/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</row>
    <row r="635" ht="15.75" customHeight="1">
      <c r="A635" s="129"/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</row>
    <row r="636" ht="15.75" customHeight="1">
      <c r="A636" s="129"/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</row>
    <row r="637" ht="15.75" customHeight="1">
      <c r="A637" s="129"/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</row>
    <row r="638" ht="15.75" customHeight="1">
      <c r="A638" s="129"/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</row>
    <row r="639" ht="15.75" customHeight="1">
      <c r="A639" s="129"/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</row>
    <row r="640" ht="15.75" customHeight="1">
      <c r="A640" s="129"/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</row>
    <row r="641" ht="15.75" customHeight="1">
      <c r="A641" s="129"/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</row>
    <row r="642" ht="15.75" customHeight="1">
      <c r="A642" s="129"/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</row>
    <row r="643" ht="15.75" customHeight="1">
      <c r="A643" s="129"/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</row>
    <row r="644" ht="15.75" customHeight="1">
      <c r="A644" s="129"/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</row>
    <row r="645" ht="15.75" customHeight="1">
      <c r="A645" s="129"/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</row>
    <row r="646" ht="15.75" customHeight="1">
      <c r="A646" s="129"/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</row>
    <row r="647" ht="15.75" customHeight="1">
      <c r="A647" s="129"/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</row>
    <row r="648" ht="15.75" customHeight="1">
      <c r="A648" s="129"/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</row>
    <row r="649" ht="15.75" customHeight="1">
      <c r="A649" s="129"/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</row>
    <row r="650" ht="15.75" customHeight="1">
      <c r="A650" s="129"/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</row>
    <row r="651" ht="15.75" customHeight="1">
      <c r="A651" s="129"/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</row>
    <row r="652" ht="15.75" customHeight="1">
      <c r="A652" s="129"/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</row>
    <row r="653" ht="15.75" customHeight="1">
      <c r="A653" s="129"/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</row>
    <row r="654" ht="15.75" customHeight="1">
      <c r="A654" s="129"/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</row>
    <row r="655" ht="15.75" customHeight="1">
      <c r="A655" s="129"/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</row>
    <row r="656" ht="15.75" customHeight="1">
      <c r="A656" s="129"/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</row>
    <row r="657" ht="15.75" customHeight="1">
      <c r="A657" s="129"/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</row>
    <row r="658" ht="15.75" customHeight="1">
      <c r="A658" s="129"/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</row>
    <row r="659" ht="15.75" customHeight="1">
      <c r="A659" s="129"/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</row>
    <row r="660" ht="15.75" customHeight="1">
      <c r="A660" s="129"/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</row>
    <row r="661" ht="15.75" customHeight="1">
      <c r="A661" s="129"/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</row>
    <row r="662" ht="15.75" customHeight="1">
      <c r="A662" s="129"/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</row>
    <row r="663" ht="15.75" customHeight="1">
      <c r="A663" s="129"/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</row>
    <row r="664" ht="15.75" customHeight="1">
      <c r="A664" s="129"/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</row>
    <row r="665" ht="15.75" customHeight="1">
      <c r="A665" s="129"/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</row>
    <row r="666" ht="15.75" customHeight="1">
      <c r="A666" s="129"/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</row>
    <row r="667" ht="15.75" customHeight="1">
      <c r="A667" s="129"/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</row>
    <row r="668" ht="15.75" customHeight="1">
      <c r="A668" s="129"/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</row>
    <row r="669" ht="15.75" customHeight="1">
      <c r="A669" s="129"/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</row>
    <row r="670" ht="15.75" customHeight="1">
      <c r="A670" s="129"/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</row>
    <row r="671" ht="15.75" customHeight="1">
      <c r="A671" s="129"/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</row>
    <row r="672" ht="15.75" customHeight="1">
      <c r="A672" s="129"/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</row>
    <row r="673" ht="15.75" customHeight="1">
      <c r="A673" s="129"/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</row>
    <row r="674" ht="15.75" customHeight="1">
      <c r="A674" s="129"/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</row>
    <row r="675" ht="15.75" customHeight="1">
      <c r="A675" s="129"/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</row>
    <row r="676" ht="15.75" customHeight="1">
      <c r="A676" s="129"/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</row>
    <row r="677" ht="15.75" customHeight="1">
      <c r="A677" s="129"/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</row>
    <row r="678" ht="15.75" customHeight="1">
      <c r="A678" s="129"/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</row>
    <row r="679" ht="15.75" customHeight="1">
      <c r="A679" s="129"/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</row>
    <row r="680" ht="15.75" customHeight="1">
      <c r="A680" s="129"/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</row>
    <row r="681" ht="15.75" customHeight="1">
      <c r="A681" s="129"/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</row>
    <row r="682" ht="15.75" customHeight="1">
      <c r="A682" s="129"/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</row>
    <row r="683" ht="15.75" customHeight="1">
      <c r="A683" s="129"/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</row>
    <row r="684" ht="15.75" customHeight="1">
      <c r="A684" s="129"/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</row>
    <row r="685" ht="15.75" customHeight="1">
      <c r="A685" s="129"/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</row>
    <row r="686" ht="15.75" customHeight="1">
      <c r="A686" s="129"/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</row>
    <row r="687" ht="15.75" customHeight="1">
      <c r="A687" s="129"/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</row>
    <row r="688" ht="15.75" customHeight="1">
      <c r="A688" s="129"/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</row>
    <row r="689" ht="15.75" customHeight="1">
      <c r="A689" s="129"/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</row>
    <row r="690" ht="15.75" customHeight="1">
      <c r="A690" s="129"/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</row>
    <row r="691" ht="15.75" customHeight="1">
      <c r="A691" s="129"/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</row>
    <row r="692" ht="15.75" customHeight="1">
      <c r="A692" s="129"/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</row>
    <row r="693" ht="15.75" customHeight="1">
      <c r="A693" s="129"/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</row>
    <row r="694" ht="15.75" customHeight="1">
      <c r="A694" s="129"/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</row>
    <row r="695" ht="15.75" customHeight="1">
      <c r="A695" s="129"/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</row>
    <row r="696" ht="15.75" customHeight="1">
      <c r="A696" s="129"/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  <c r="R696" s="129"/>
      <c r="S696" s="129"/>
      <c r="T696" s="129"/>
      <c r="U696" s="129"/>
      <c r="V696" s="129"/>
      <c r="W696" s="129"/>
      <c r="X696" s="129"/>
      <c r="Y696" s="129"/>
      <c r="Z696" s="129"/>
    </row>
    <row r="697" ht="15.75" customHeight="1">
      <c r="A697" s="129"/>
      <c r="B697" s="129"/>
      <c r="C697" s="129"/>
      <c r="D697" s="129"/>
      <c r="E697" s="129"/>
      <c r="F697" s="129"/>
      <c r="G697" s="129"/>
      <c r="H697" s="129"/>
      <c r="I697" s="129"/>
      <c r="J697" s="129"/>
      <c r="K697" s="129"/>
      <c r="L697" s="129"/>
      <c r="M697" s="129"/>
      <c r="N697" s="129"/>
      <c r="O697" s="129"/>
      <c r="P697" s="129"/>
      <c r="Q697" s="129"/>
      <c r="R697" s="129"/>
      <c r="S697" s="129"/>
      <c r="T697" s="129"/>
      <c r="U697" s="129"/>
      <c r="V697" s="129"/>
      <c r="W697" s="129"/>
      <c r="X697" s="129"/>
      <c r="Y697" s="129"/>
      <c r="Z697" s="129"/>
    </row>
    <row r="698" ht="15.75" customHeight="1">
      <c r="A698" s="129"/>
      <c r="B698" s="129"/>
      <c r="C698" s="129"/>
      <c r="D698" s="129"/>
      <c r="E698" s="129"/>
      <c r="F698" s="129"/>
      <c r="G698" s="129"/>
      <c r="H698" s="129"/>
      <c r="I698" s="129"/>
      <c r="J698" s="129"/>
      <c r="K698" s="129"/>
      <c r="L698" s="129"/>
      <c r="M698" s="129"/>
      <c r="N698" s="129"/>
      <c r="O698" s="129"/>
      <c r="P698" s="129"/>
      <c r="Q698" s="129"/>
      <c r="R698" s="129"/>
      <c r="S698" s="129"/>
      <c r="T698" s="129"/>
      <c r="U698" s="129"/>
      <c r="V698" s="129"/>
      <c r="W698" s="129"/>
      <c r="X698" s="129"/>
      <c r="Y698" s="129"/>
      <c r="Z698" s="129"/>
    </row>
    <row r="699" ht="15.75" customHeight="1">
      <c r="A699" s="129"/>
      <c r="B699" s="129"/>
      <c r="C699" s="129"/>
      <c r="D699" s="129"/>
      <c r="E699" s="129"/>
      <c r="F699" s="129"/>
      <c r="G699" s="129"/>
      <c r="H699" s="129"/>
      <c r="I699" s="129"/>
      <c r="J699" s="129"/>
      <c r="K699" s="129"/>
      <c r="L699" s="129"/>
      <c r="M699" s="129"/>
      <c r="N699" s="129"/>
      <c r="O699" s="129"/>
      <c r="P699" s="129"/>
      <c r="Q699" s="129"/>
      <c r="R699" s="129"/>
      <c r="S699" s="129"/>
      <c r="T699" s="129"/>
      <c r="U699" s="129"/>
      <c r="V699" s="129"/>
      <c r="W699" s="129"/>
      <c r="X699" s="129"/>
      <c r="Y699" s="129"/>
      <c r="Z699" s="129"/>
    </row>
    <row r="700" ht="15.75" customHeight="1">
      <c r="A700" s="129"/>
      <c r="B700" s="129"/>
      <c r="C700" s="129"/>
      <c r="D700" s="129"/>
      <c r="E700" s="129"/>
      <c r="F700" s="129"/>
      <c r="G700" s="129"/>
      <c r="H700" s="129"/>
      <c r="I700" s="129"/>
      <c r="J700" s="129"/>
      <c r="K700" s="129"/>
      <c r="L700" s="129"/>
      <c r="M700" s="129"/>
      <c r="N700" s="129"/>
      <c r="O700" s="129"/>
      <c r="P700" s="129"/>
      <c r="Q700" s="129"/>
      <c r="R700" s="129"/>
      <c r="S700" s="129"/>
      <c r="T700" s="129"/>
      <c r="U700" s="129"/>
      <c r="V700" s="129"/>
      <c r="W700" s="129"/>
      <c r="X700" s="129"/>
      <c r="Y700" s="129"/>
      <c r="Z700" s="129"/>
    </row>
    <row r="701" ht="15.75" customHeight="1">
      <c r="A701" s="129"/>
      <c r="B701" s="129"/>
      <c r="C701" s="129"/>
      <c r="D701" s="129"/>
      <c r="E701" s="129"/>
      <c r="F701" s="129"/>
      <c r="G701" s="129"/>
      <c r="H701" s="129"/>
      <c r="I701" s="129"/>
      <c r="J701" s="129"/>
      <c r="K701" s="129"/>
      <c r="L701" s="129"/>
      <c r="M701" s="129"/>
      <c r="N701" s="129"/>
      <c r="O701" s="129"/>
      <c r="P701" s="129"/>
      <c r="Q701" s="129"/>
      <c r="R701" s="129"/>
      <c r="S701" s="129"/>
      <c r="T701" s="129"/>
      <c r="U701" s="129"/>
      <c r="V701" s="129"/>
      <c r="W701" s="129"/>
      <c r="X701" s="129"/>
      <c r="Y701" s="129"/>
      <c r="Z701" s="129"/>
    </row>
    <row r="702" ht="15.75" customHeight="1">
      <c r="A702" s="129"/>
      <c r="B702" s="129"/>
      <c r="C702" s="129"/>
      <c r="D702" s="129"/>
      <c r="E702" s="129"/>
      <c r="F702" s="129"/>
      <c r="G702" s="129"/>
      <c r="H702" s="129"/>
      <c r="I702" s="129"/>
      <c r="J702" s="129"/>
      <c r="K702" s="129"/>
      <c r="L702" s="129"/>
      <c r="M702" s="129"/>
      <c r="N702" s="129"/>
      <c r="O702" s="129"/>
      <c r="P702" s="129"/>
      <c r="Q702" s="129"/>
      <c r="R702" s="129"/>
      <c r="S702" s="129"/>
      <c r="T702" s="129"/>
      <c r="U702" s="129"/>
      <c r="V702" s="129"/>
      <c r="W702" s="129"/>
      <c r="X702" s="129"/>
      <c r="Y702" s="129"/>
      <c r="Z702" s="129"/>
    </row>
    <row r="703" ht="15.75" customHeight="1">
      <c r="A703" s="129"/>
      <c r="B703" s="129"/>
      <c r="C703" s="129"/>
      <c r="D703" s="129"/>
      <c r="E703" s="129"/>
      <c r="F703" s="129"/>
      <c r="G703" s="129"/>
      <c r="H703" s="129"/>
      <c r="I703" s="129"/>
      <c r="J703" s="129"/>
      <c r="K703" s="129"/>
      <c r="L703" s="129"/>
      <c r="M703" s="129"/>
      <c r="N703" s="129"/>
      <c r="O703" s="129"/>
      <c r="P703" s="129"/>
      <c r="Q703" s="129"/>
      <c r="R703" s="129"/>
      <c r="S703" s="129"/>
      <c r="T703" s="129"/>
      <c r="U703" s="129"/>
      <c r="V703" s="129"/>
      <c r="W703" s="129"/>
      <c r="X703" s="129"/>
      <c r="Y703" s="129"/>
      <c r="Z703" s="129"/>
    </row>
    <row r="704" ht="15.75" customHeight="1">
      <c r="A704" s="129"/>
      <c r="B704" s="129"/>
      <c r="C704" s="129"/>
      <c r="D704" s="129"/>
      <c r="E704" s="129"/>
      <c r="F704" s="129"/>
      <c r="G704" s="129"/>
      <c r="H704" s="129"/>
      <c r="I704" s="129"/>
      <c r="J704" s="129"/>
      <c r="K704" s="129"/>
      <c r="L704" s="129"/>
      <c r="M704" s="129"/>
      <c r="N704" s="129"/>
      <c r="O704" s="129"/>
      <c r="P704" s="129"/>
      <c r="Q704" s="129"/>
      <c r="R704" s="129"/>
      <c r="S704" s="129"/>
      <c r="T704" s="129"/>
      <c r="U704" s="129"/>
      <c r="V704" s="129"/>
      <c r="W704" s="129"/>
      <c r="X704" s="129"/>
      <c r="Y704" s="129"/>
      <c r="Z704" s="129"/>
    </row>
    <row r="705" ht="15.75" customHeight="1">
      <c r="A705" s="129"/>
      <c r="B705" s="129"/>
      <c r="C705" s="129"/>
      <c r="D705" s="129"/>
      <c r="E705" s="129"/>
      <c r="F705" s="129"/>
      <c r="G705" s="129"/>
      <c r="H705" s="129"/>
      <c r="I705" s="129"/>
      <c r="J705" s="129"/>
      <c r="K705" s="129"/>
      <c r="L705" s="129"/>
      <c r="M705" s="129"/>
      <c r="N705" s="129"/>
      <c r="O705" s="129"/>
      <c r="P705" s="129"/>
      <c r="Q705" s="129"/>
      <c r="R705" s="129"/>
      <c r="S705" s="129"/>
      <c r="T705" s="129"/>
      <c r="U705" s="129"/>
      <c r="V705" s="129"/>
      <c r="W705" s="129"/>
      <c r="X705" s="129"/>
      <c r="Y705" s="129"/>
      <c r="Z705" s="129"/>
    </row>
    <row r="706" ht="15.75" customHeight="1">
      <c r="A706" s="129"/>
      <c r="B706" s="129"/>
      <c r="C706" s="129"/>
      <c r="D706" s="129"/>
      <c r="E706" s="129"/>
      <c r="F706" s="129"/>
      <c r="G706" s="129"/>
      <c r="H706" s="129"/>
      <c r="I706" s="129"/>
      <c r="J706" s="129"/>
      <c r="K706" s="129"/>
      <c r="L706" s="129"/>
      <c r="M706" s="129"/>
      <c r="N706" s="129"/>
      <c r="O706" s="129"/>
      <c r="P706" s="129"/>
      <c r="Q706" s="129"/>
      <c r="R706" s="129"/>
      <c r="S706" s="129"/>
      <c r="T706" s="129"/>
      <c r="U706" s="129"/>
      <c r="V706" s="129"/>
      <c r="W706" s="129"/>
      <c r="X706" s="129"/>
      <c r="Y706" s="129"/>
      <c r="Z706" s="129"/>
    </row>
    <row r="707" ht="15.75" customHeight="1">
      <c r="A707" s="129"/>
      <c r="B707" s="129"/>
      <c r="C707" s="129"/>
      <c r="D707" s="129"/>
      <c r="E707" s="129"/>
      <c r="F707" s="129"/>
      <c r="G707" s="129"/>
      <c r="H707" s="129"/>
      <c r="I707" s="129"/>
      <c r="J707" s="129"/>
      <c r="K707" s="129"/>
      <c r="L707" s="129"/>
      <c r="M707" s="129"/>
      <c r="N707" s="129"/>
      <c r="O707" s="129"/>
      <c r="P707" s="129"/>
      <c r="Q707" s="129"/>
      <c r="R707" s="129"/>
      <c r="S707" s="129"/>
      <c r="T707" s="129"/>
      <c r="U707" s="129"/>
      <c r="V707" s="129"/>
      <c r="W707" s="129"/>
      <c r="X707" s="129"/>
      <c r="Y707" s="129"/>
      <c r="Z707" s="129"/>
    </row>
    <row r="708" ht="15.75" customHeight="1">
      <c r="A708" s="129"/>
      <c r="B708" s="129"/>
      <c r="C708" s="129"/>
      <c r="D708" s="129"/>
      <c r="E708" s="129"/>
      <c r="F708" s="129"/>
      <c r="G708" s="129"/>
      <c r="H708" s="129"/>
      <c r="I708" s="129"/>
      <c r="J708" s="129"/>
      <c r="K708" s="129"/>
      <c r="L708" s="129"/>
      <c r="M708" s="129"/>
      <c r="N708" s="129"/>
      <c r="O708" s="129"/>
      <c r="P708" s="129"/>
      <c r="Q708" s="129"/>
      <c r="R708" s="129"/>
      <c r="S708" s="129"/>
      <c r="T708" s="129"/>
      <c r="U708" s="129"/>
      <c r="V708" s="129"/>
      <c r="W708" s="129"/>
      <c r="X708" s="129"/>
      <c r="Y708" s="129"/>
      <c r="Z708" s="129"/>
    </row>
    <row r="709" ht="15.75" customHeight="1">
      <c r="A709" s="129"/>
      <c r="B709" s="129"/>
      <c r="C709" s="129"/>
      <c r="D709" s="129"/>
      <c r="E709" s="129"/>
      <c r="F709" s="129"/>
      <c r="G709" s="129"/>
      <c r="H709" s="129"/>
      <c r="I709" s="129"/>
      <c r="J709" s="129"/>
      <c r="K709" s="129"/>
      <c r="L709" s="129"/>
      <c r="M709" s="129"/>
      <c r="N709" s="129"/>
      <c r="O709" s="129"/>
      <c r="P709" s="129"/>
      <c r="Q709" s="129"/>
      <c r="R709" s="129"/>
      <c r="S709" s="129"/>
      <c r="T709" s="129"/>
      <c r="U709" s="129"/>
      <c r="V709" s="129"/>
      <c r="W709" s="129"/>
      <c r="X709" s="129"/>
      <c r="Y709" s="129"/>
      <c r="Z709" s="129"/>
    </row>
    <row r="710" ht="15.75" customHeight="1">
      <c r="A710" s="129"/>
      <c r="B710" s="129"/>
      <c r="C710" s="129"/>
      <c r="D710" s="129"/>
      <c r="E710" s="129"/>
      <c r="F710" s="129"/>
      <c r="G710" s="129"/>
      <c r="H710" s="129"/>
      <c r="I710" s="129"/>
      <c r="J710" s="129"/>
      <c r="K710" s="129"/>
      <c r="L710" s="129"/>
      <c r="M710" s="129"/>
      <c r="N710" s="129"/>
      <c r="O710" s="129"/>
      <c r="P710" s="129"/>
      <c r="Q710" s="129"/>
      <c r="R710" s="129"/>
      <c r="S710" s="129"/>
      <c r="T710" s="129"/>
      <c r="U710" s="129"/>
      <c r="V710" s="129"/>
      <c r="W710" s="129"/>
      <c r="X710" s="129"/>
      <c r="Y710" s="129"/>
      <c r="Z710" s="129"/>
    </row>
    <row r="711" ht="15.75" customHeight="1">
      <c r="A711" s="129"/>
      <c r="B711" s="129"/>
      <c r="C711" s="129"/>
      <c r="D711" s="129"/>
      <c r="E711" s="129"/>
      <c r="F711" s="129"/>
      <c r="G711" s="129"/>
      <c r="H711" s="129"/>
      <c r="I711" s="129"/>
      <c r="J711" s="129"/>
      <c r="K711" s="129"/>
      <c r="L711" s="129"/>
      <c r="M711" s="129"/>
      <c r="N711" s="129"/>
      <c r="O711" s="129"/>
      <c r="P711" s="129"/>
      <c r="Q711" s="129"/>
      <c r="R711" s="129"/>
      <c r="S711" s="129"/>
      <c r="T711" s="129"/>
      <c r="U711" s="129"/>
      <c r="V711" s="129"/>
      <c r="W711" s="129"/>
      <c r="X711" s="129"/>
      <c r="Y711" s="129"/>
      <c r="Z711" s="129"/>
    </row>
    <row r="712" ht="15.75" customHeight="1">
      <c r="A712" s="129"/>
      <c r="B712" s="129"/>
      <c r="C712" s="129"/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29"/>
      <c r="O712" s="129"/>
      <c r="P712" s="129"/>
      <c r="Q712" s="129"/>
      <c r="R712" s="129"/>
      <c r="S712" s="129"/>
      <c r="T712" s="129"/>
      <c r="U712" s="129"/>
      <c r="V712" s="129"/>
      <c r="W712" s="129"/>
      <c r="X712" s="129"/>
      <c r="Y712" s="129"/>
      <c r="Z712" s="129"/>
    </row>
    <row r="713" ht="15.75" customHeight="1">
      <c r="A713" s="129"/>
      <c r="B713" s="129"/>
      <c r="C713" s="129"/>
      <c r="D713" s="129"/>
      <c r="E713" s="129"/>
      <c r="F713" s="129"/>
      <c r="G713" s="129"/>
      <c r="H713" s="129"/>
      <c r="I713" s="129"/>
      <c r="J713" s="129"/>
      <c r="K713" s="129"/>
      <c r="L713" s="129"/>
      <c r="M713" s="129"/>
      <c r="N713" s="129"/>
      <c r="O713" s="129"/>
      <c r="P713" s="129"/>
      <c r="Q713" s="129"/>
      <c r="R713" s="129"/>
      <c r="S713" s="129"/>
      <c r="T713" s="129"/>
      <c r="U713" s="129"/>
      <c r="V713" s="129"/>
      <c r="W713" s="129"/>
      <c r="X713" s="129"/>
      <c r="Y713" s="129"/>
      <c r="Z713" s="129"/>
    </row>
    <row r="714" ht="15.75" customHeight="1">
      <c r="A714" s="129"/>
      <c r="B714" s="129"/>
      <c r="C714" s="129"/>
      <c r="D714" s="129"/>
      <c r="E714" s="129"/>
      <c r="F714" s="129"/>
      <c r="G714" s="129"/>
      <c r="H714" s="129"/>
      <c r="I714" s="129"/>
      <c r="J714" s="129"/>
      <c r="K714" s="129"/>
      <c r="L714" s="129"/>
      <c r="M714" s="129"/>
      <c r="N714" s="129"/>
      <c r="O714" s="129"/>
      <c r="P714" s="129"/>
      <c r="Q714" s="129"/>
      <c r="R714" s="129"/>
      <c r="S714" s="129"/>
      <c r="T714" s="129"/>
      <c r="U714" s="129"/>
      <c r="V714" s="129"/>
      <c r="W714" s="129"/>
      <c r="X714" s="129"/>
      <c r="Y714" s="129"/>
      <c r="Z714" s="129"/>
    </row>
    <row r="715" ht="15.75" customHeight="1">
      <c r="A715" s="129"/>
      <c r="B715" s="129"/>
      <c r="C715" s="129"/>
      <c r="D715" s="129"/>
      <c r="E715" s="129"/>
      <c r="F715" s="129"/>
      <c r="G715" s="129"/>
      <c r="H715" s="129"/>
      <c r="I715" s="129"/>
      <c r="J715" s="129"/>
      <c r="K715" s="129"/>
      <c r="L715" s="129"/>
      <c r="M715" s="129"/>
      <c r="N715" s="129"/>
      <c r="O715" s="129"/>
      <c r="P715" s="129"/>
      <c r="Q715" s="129"/>
      <c r="R715" s="129"/>
      <c r="S715" s="129"/>
      <c r="T715" s="129"/>
      <c r="U715" s="129"/>
      <c r="V715" s="129"/>
      <c r="W715" s="129"/>
      <c r="X715" s="129"/>
      <c r="Y715" s="129"/>
      <c r="Z715" s="129"/>
    </row>
    <row r="716" ht="15.75" customHeight="1">
      <c r="A716" s="129"/>
      <c r="B716" s="129"/>
      <c r="C716" s="129"/>
      <c r="D716" s="129"/>
      <c r="E716" s="129"/>
      <c r="F716" s="129"/>
      <c r="G716" s="129"/>
      <c r="H716" s="129"/>
      <c r="I716" s="129"/>
      <c r="J716" s="129"/>
      <c r="K716" s="129"/>
      <c r="L716" s="129"/>
      <c r="M716" s="129"/>
      <c r="N716" s="129"/>
      <c r="O716" s="129"/>
      <c r="P716" s="129"/>
      <c r="Q716" s="129"/>
      <c r="R716" s="129"/>
      <c r="S716" s="129"/>
      <c r="T716" s="129"/>
      <c r="U716" s="129"/>
      <c r="V716" s="129"/>
      <c r="W716" s="129"/>
      <c r="X716" s="129"/>
      <c r="Y716" s="129"/>
      <c r="Z716" s="129"/>
    </row>
    <row r="717" ht="15.75" customHeight="1">
      <c r="A717" s="129"/>
      <c r="B717" s="129"/>
      <c r="C717" s="129"/>
      <c r="D717" s="129"/>
      <c r="E717" s="129"/>
      <c r="F717" s="129"/>
      <c r="G717" s="129"/>
      <c r="H717" s="129"/>
      <c r="I717" s="129"/>
      <c r="J717" s="129"/>
      <c r="K717" s="129"/>
      <c r="L717" s="129"/>
      <c r="M717" s="129"/>
      <c r="N717" s="129"/>
      <c r="O717" s="129"/>
      <c r="P717" s="129"/>
      <c r="Q717" s="129"/>
      <c r="R717" s="129"/>
      <c r="S717" s="129"/>
      <c r="T717" s="129"/>
      <c r="U717" s="129"/>
      <c r="V717" s="129"/>
      <c r="W717" s="129"/>
      <c r="X717" s="129"/>
      <c r="Y717" s="129"/>
      <c r="Z717" s="129"/>
    </row>
    <row r="718" ht="15.75" customHeight="1">
      <c r="A718" s="129"/>
      <c r="B718" s="129"/>
      <c r="C718" s="129"/>
      <c r="D718" s="129"/>
      <c r="E718" s="129"/>
      <c r="F718" s="129"/>
      <c r="G718" s="129"/>
      <c r="H718" s="129"/>
      <c r="I718" s="129"/>
      <c r="J718" s="129"/>
      <c r="K718" s="129"/>
      <c r="L718" s="129"/>
      <c r="M718" s="129"/>
      <c r="N718" s="129"/>
      <c r="O718" s="129"/>
      <c r="P718" s="129"/>
      <c r="Q718" s="129"/>
      <c r="R718" s="129"/>
      <c r="S718" s="129"/>
      <c r="T718" s="129"/>
      <c r="U718" s="129"/>
      <c r="V718" s="129"/>
      <c r="W718" s="129"/>
      <c r="X718" s="129"/>
      <c r="Y718" s="129"/>
      <c r="Z718" s="129"/>
    </row>
    <row r="719" ht="15.75" customHeight="1">
      <c r="A719" s="129"/>
      <c r="B719" s="129"/>
      <c r="C719" s="129"/>
      <c r="D719" s="129"/>
      <c r="E719" s="129"/>
      <c r="F719" s="129"/>
      <c r="G719" s="129"/>
      <c r="H719" s="129"/>
      <c r="I719" s="129"/>
      <c r="J719" s="129"/>
      <c r="K719" s="129"/>
      <c r="L719" s="129"/>
      <c r="M719" s="129"/>
      <c r="N719" s="129"/>
      <c r="O719" s="129"/>
      <c r="P719" s="129"/>
      <c r="Q719" s="129"/>
      <c r="R719" s="129"/>
      <c r="S719" s="129"/>
      <c r="T719" s="129"/>
      <c r="U719" s="129"/>
      <c r="V719" s="129"/>
      <c r="W719" s="129"/>
      <c r="X719" s="129"/>
      <c r="Y719" s="129"/>
      <c r="Z719" s="129"/>
    </row>
    <row r="720" ht="15.75" customHeight="1">
      <c r="A720" s="129"/>
      <c r="B720" s="129"/>
      <c r="C720" s="129"/>
      <c r="D720" s="129"/>
      <c r="E720" s="129"/>
      <c r="F720" s="129"/>
      <c r="G720" s="129"/>
      <c r="H720" s="129"/>
      <c r="I720" s="129"/>
      <c r="J720" s="129"/>
      <c r="K720" s="129"/>
      <c r="L720" s="129"/>
      <c r="M720" s="129"/>
      <c r="N720" s="129"/>
      <c r="O720" s="129"/>
      <c r="P720" s="129"/>
      <c r="Q720" s="129"/>
      <c r="R720" s="129"/>
      <c r="S720" s="129"/>
      <c r="T720" s="129"/>
      <c r="U720" s="129"/>
      <c r="V720" s="129"/>
      <c r="W720" s="129"/>
      <c r="X720" s="129"/>
      <c r="Y720" s="129"/>
      <c r="Z720" s="129"/>
    </row>
    <row r="721" ht="15.75" customHeight="1">
      <c r="A721" s="129"/>
      <c r="B721" s="129"/>
      <c r="C721" s="129"/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29"/>
      <c r="O721" s="129"/>
      <c r="P721" s="129"/>
      <c r="Q721" s="129"/>
      <c r="R721" s="129"/>
      <c r="S721" s="129"/>
      <c r="T721" s="129"/>
      <c r="U721" s="129"/>
      <c r="V721" s="129"/>
      <c r="W721" s="129"/>
      <c r="X721" s="129"/>
      <c r="Y721" s="129"/>
      <c r="Z721" s="129"/>
    </row>
    <row r="722" ht="15.75" customHeight="1">
      <c r="A722" s="129"/>
      <c r="B722" s="129"/>
      <c r="C722" s="129"/>
      <c r="D722" s="129"/>
      <c r="E722" s="129"/>
      <c r="F722" s="129"/>
      <c r="G722" s="129"/>
      <c r="H722" s="129"/>
      <c r="I722" s="129"/>
      <c r="J722" s="129"/>
      <c r="K722" s="129"/>
      <c r="L722" s="129"/>
      <c r="M722" s="129"/>
      <c r="N722" s="129"/>
      <c r="O722" s="129"/>
      <c r="P722" s="129"/>
      <c r="Q722" s="129"/>
      <c r="R722" s="129"/>
      <c r="S722" s="129"/>
      <c r="T722" s="129"/>
      <c r="U722" s="129"/>
      <c r="V722" s="129"/>
      <c r="W722" s="129"/>
      <c r="X722" s="129"/>
      <c r="Y722" s="129"/>
      <c r="Z722" s="129"/>
    </row>
    <row r="723" ht="15.75" customHeight="1">
      <c r="A723" s="129"/>
      <c r="B723" s="129"/>
      <c r="C723" s="129"/>
      <c r="D723" s="129"/>
      <c r="E723" s="129"/>
      <c r="F723" s="129"/>
      <c r="G723" s="129"/>
      <c r="H723" s="129"/>
      <c r="I723" s="129"/>
      <c r="J723" s="129"/>
      <c r="K723" s="129"/>
      <c r="L723" s="129"/>
      <c r="M723" s="129"/>
      <c r="N723" s="129"/>
      <c r="O723" s="129"/>
      <c r="P723" s="129"/>
      <c r="Q723" s="129"/>
      <c r="R723" s="129"/>
      <c r="S723" s="129"/>
      <c r="T723" s="129"/>
      <c r="U723" s="129"/>
      <c r="V723" s="129"/>
      <c r="W723" s="129"/>
      <c r="X723" s="129"/>
      <c r="Y723" s="129"/>
      <c r="Z723" s="129"/>
    </row>
    <row r="724" ht="15.75" customHeight="1">
      <c r="A724" s="129"/>
      <c r="B724" s="129"/>
      <c r="C724" s="129"/>
      <c r="D724" s="129"/>
      <c r="E724" s="129"/>
      <c r="F724" s="129"/>
      <c r="G724" s="129"/>
      <c r="H724" s="129"/>
      <c r="I724" s="129"/>
      <c r="J724" s="129"/>
      <c r="K724" s="129"/>
      <c r="L724" s="129"/>
      <c r="M724" s="129"/>
      <c r="N724" s="129"/>
      <c r="O724" s="129"/>
      <c r="P724" s="129"/>
      <c r="Q724" s="129"/>
      <c r="R724" s="129"/>
      <c r="S724" s="129"/>
      <c r="T724" s="129"/>
      <c r="U724" s="129"/>
      <c r="V724" s="129"/>
      <c r="W724" s="129"/>
      <c r="X724" s="129"/>
      <c r="Y724" s="129"/>
      <c r="Z724" s="129"/>
    </row>
    <row r="725" ht="15.75" customHeight="1">
      <c r="A725" s="129"/>
      <c r="B725" s="129"/>
      <c r="C725" s="129"/>
      <c r="D725" s="129"/>
      <c r="E725" s="129"/>
      <c r="F725" s="129"/>
      <c r="G725" s="129"/>
      <c r="H725" s="129"/>
      <c r="I725" s="129"/>
      <c r="J725" s="129"/>
      <c r="K725" s="129"/>
      <c r="L725" s="129"/>
      <c r="M725" s="129"/>
      <c r="N725" s="129"/>
      <c r="O725" s="129"/>
      <c r="P725" s="129"/>
      <c r="Q725" s="129"/>
      <c r="R725" s="129"/>
      <c r="S725" s="129"/>
      <c r="T725" s="129"/>
      <c r="U725" s="129"/>
      <c r="V725" s="129"/>
      <c r="W725" s="129"/>
      <c r="X725" s="129"/>
      <c r="Y725" s="129"/>
      <c r="Z725" s="129"/>
    </row>
    <row r="726" ht="15.75" customHeight="1">
      <c r="A726" s="129"/>
      <c r="B726" s="129"/>
      <c r="C726" s="129"/>
      <c r="D726" s="129"/>
      <c r="E726" s="129"/>
      <c r="F726" s="129"/>
      <c r="G726" s="129"/>
      <c r="H726" s="129"/>
      <c r="I726" s="129"/>
      <c r="J726" s="129"/>
      <c r="K726" s="129"/>
      <c r="L726" s="129"/>
      <c r="M726" s="129"/>
      <c r="N726" s="129"/>
      <c r="O726" s="129"/>
      <c r="P726" s="129"/>
      <c r="Q726" s="129"/>
      <c r="R726" s="129"/>
      <c r="S726" s="129"/>
      <c r="T726" s="129"/>
      <c r="U726" s="129"/>
      <c r="V726" s="129"/>
      <c r="W726" s="129"/>
      <c r="X726" s="129"/>
      <c r="Y726" s="129"/>
      <c r="Z726" s="129"/>
    </row>
    <row r="727" ht="15.75" customHeight="1">
      <c r="A727" s="129"/>
      <c r="B727" s="129"/>
      <c r="C727" s="129"/>
      <c r="D727" s="129"/>
      <c r="E727" s="129"/>
      <c r="F727" s="129"/>
      <c r="G727" s="129"/>
      <c r="H727" s="129"/>
      <c r="I727" s="129"/>
      <c r="J727" s="129"/>
      <c r="K727" s="129"/>
      <c r="L727" s="129"/>
      <c r="M727" s="129"/>
      <c r="N727" s="129"/>
      <c r="O727" s="129"/>
      <c r="P727" s="129"/>
      <c r="Q727" s="129"/>
      <c r="R727" s="129"/>
      <c r="S727" s="129"/>
      <c r="T727" s="129"/>
      <c r="U727" s="129"/>
      <c r="V727" s="129"/>
      <c r="W727" s="129"/>
      <c r="X727" s="129"/>
      <c r="Y727" s="129"/>
      <c r="Z727" s="129"/>
    </row>
    <row r="728" ht="15.75" customHeight="1">
      <c r="A728" s="129"/>
      <c r="B728" s="129"/>
      <c r="C728" s="129"/>
      <c r="D728" s="129"/>
      <c r="E728" s="129"/>
      <c r="F728" s="129"/>
      <c r="G728" s="129"/>
      <c r="H728" s="129"/>
      <c r="I728" s="129"/>
      <c r="J728" s="129"/>
      <c r="K728" s="129"/>
      <c r="L728" s="129"/>
      <c r="M728" s="129"/>
      <c r="N728" s="129"/>
      <c r="O728" s="129"/>
      <c r="P728" s="129"/>
      <c r="Q728" s="129"/>
      <c r="R728" s="129"/>
      <c r="S728" s="129"/>
      <c r="T728" s="129"/>
      <c r="U728" s="129"/>
      <c r="V728" s="129"/>
      <c r="W728" s="129"/>
      <c r="X728" s="129"/>
      <c r="Y728" s="129"/>
      <c r="Z728" s="129"/>
    </row>
    <row r="729" ht="15.75" customHeight="1">
      <c r="A729" s="129"/>
      <c r="B729" s="129"/>
      <c r="C729" s="129"/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29"/>
      <c r="O729" s="129"/>
      <c r="P729" s="129"/>
      <c r="Q729" s="129"/>
      <c r="R729" s="129"/>
      <c r="S729" s="129"/>
      <c r="T729" s="129"/>
      <c r="U729" s="129"/>
      <c r="V729" s="129"/>
      <c r="W729" s="129"/>
      <c r="X729" s="129"/>
      <c r="Y729" s="129"/>
      <c r="Z729" s="129"/>
    </row>
    <row r="730" ht="15.75" customHeight="1">
      <c r="A730" s="129"/>
      <c r="B730" s="129"/>
      <c r="C730" s="129"/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  <c r="O730" s="129"/>
      <c r="P730" s="129"/>
      <c r="Q730" s="129"/>
      <c r="R730" s="129"/>
      <c r="S730" s="129"/>
      <c r="T730" s="129"/>
      <c r="U730" s="129"/>
      <c r="V730" s="129"/>
      <c r="W730" s="129"/>
      <c r="X730" s="129"/>
      <c r="Y730" s="129"/>
      <c r="Z730" s="129"/>
    </row>
    <row r="731" ht="15.75" customHeight="1">
      <c r="A731" s="129"/>
      <c r="B731" s="129"/>
      <c r="C731" s="129"/>
      <c r="D731" s="129"/>
      <c r="E731" s="129"/>
      <c r="F731" s="129"/>
      <c r="G731" s="129"/>
      <c r="H731" s="129"/>
      <c r="I731" s="129"/>
      <c r="J731" s="129"/>
      <c r="K731" s="129"/>
      <c r="L731" s="129"/>
      <c r="M731" s="129"/>
      <c r="N731" s="129"/>
      <c r="O731" s="129"/>
      <c r="P731" s="129"/>
      <c r="Q731" s="129"/>
      <c r="R731" s="129"/>
      <c r="S731" s="129"/>
      <c r="T731" s="129"/>
      <c r="U731" s="129"/>
      <c r="V731" s="129"/>
      <c r="W731" s="129"/>
      <c r="X731" s="129"/>
      <c r="Y731" s="129"/>
      <c r="Z731" s="129"/>
    </row>
    <row r="732" ht="15.75" customHeight="1">
      <c r="A732" s="129"/>
      <c r="B732" s="129"/>
      <c r="C732" s="129"/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29"/>
      <c r="O732" s="129"/>
      <c r="P732" s="129"/>
      <c r="Q732" s="129"/>
      <c r="R732" s="129"/>
      <c r="S732" s="129"/>
      <c r="T732" s="129"/>
      <c r="U732" s="129"/>
      <c r="V732" s="129"/>
      <c r="W732" s="129"/>
      <c r="X732" s="129"/>
      <c r="Y732" s="129"/>
      <c r="Z732" s="129"/>
    </row>
    <row r="733" ht="15.75" customHeight="1">
      <c r="A733" s="129"/>
      <c r="B733" s="129"/>
      <c r="C733" s="129"/>
      <c r="D733" s="129"/>
      <c r="E733" s="129"/>
      <c r="F733" s="129"/>
      <c r="G733" s="129"/>
      <c r="H733" s="129"/>
      <c r="I733" s="129"/>
      <c r="J733" s="129"/>
      <c r="K733" s="129"/>
      <c r="L733" s="129"/>
      <c r="M733" s="129"/>
      <c r="N733" s="129"/>
      <c r="O733" s="129"/>
      <c r="P733" s="129"/>
      <c r="Q733" s="129"/>
      <c r="R733" s="129"/>
      <c r="S733" s="129"/>
      <c r="T733" s="129"/>
      <c r="U733" s="129"/>
      <c r="V733" s="129"/>
      <c r="W733" s="129"/>
      <c r="X733" s="129"/>
      <c r="Y733" s="129"/>
      <c r="Z733" s="129"/>
    </row>
    <row r="734" ht="15.75" customHeight="1">
      <c r="A734" s="129"/>
      <c r="B734" s="129"/>
      <c r="C734" s="129"/>
      <c r="D734" s="129"/>
      <c r="E734" s="129"/>
      <c r="F734" s="129"/>
      <c r="G734" s="129"/>
      <c r="H734" s="129"/>
      <c r="I734" s="129"/>
      <c r="J734" s="129"/>
      <c r="K734" s="129"/>
      <c r="L734" s="129"/>
      <c r="M734" s="129"/>
      <c r="N734" s="129"/>
      <c r="O734" s="129"/>
      <c r="P734" s="129"/>
      <c r="Q734" s="129"/>
      <c r="R734" s="129"/>
      <c r="S734" s="129"/>
      <c r="T734" s="129"/>
      <c r="U734" s="129"/>
      <c r="V734" s="129"/>
      <c r="W734" s="129"/>
      <c r="X734" s="129"/>
      <c r="Y734" s="129"/>
      <c r="Z734" s="129"/>
    </row>
    <row r="735" ht="15.75" customHeight="1">
      <c r="A735" s="129"/>
      <c r="B735" s="129"/>
      <c r="C735" s="129"/>
      <c r="D735" s="129"/>
      <c r="E735" s="129"/>
      <c r="F735" s="129"/>
      <c r="G735" s="129"/>
      <c r="H735" s="129"/>
      <c r="I735" s="129"/>
      <c r="J735" s="129"/>
      <c r="K735" s="129"/>
      <c r="L735" s="129"/>
      <c r="M735" s="129"/>
      <c r="N735" s="129"/>
      <c r="O735" s="129"/>
      <c r="P735" s="129"/>
      <c r="Q735" s="129"/>
      <c r="R735" s="129"/>
      <c r="S735" s="129"/>
      <c r="T735" s="129"/>
      <c r="U735" s="129"/>
      <c r="V735" s="129"/>
      <c r="W735" s="129"/>
      <c r="X735" s="129"/>
      <c r="Y735" s="129"/>
      <c r="Z735" s="129"/>
    </row>
    <row r="736" ht="15.75" customHeight="1">
      <c r="A736" s="129"/>
      <c r="B736" s="129"/>
      <c r="C736" s="129"/>
      <c r="D736" s="129"/>
      <c r="E736" s="129"/>
      <c r="F736" s="129"/>
      <c r="G736" s="129"/>
      <c r="H736" s="129"/>
      <c r="I736" s="129"/>
      <c r="J736" s="129"/>
      <c r="K736" s="129"/>
      <c r="L736" s="129"/>
      <c r="M736" s="129"/>
      <c r="N736" s="129"/>
      <c r="O736" s="129"/>
      <c r="P736" s="129"/>
      <c r="Q736" s="129"/>
      <c r="R736" s="129"/>
      <c r="S736" s="129"/>
      <c r="T736" s="129"/>
      <c r="U736" s="129"/>
      <c r="V736" s="129"/>
      <c r="W736" s="129"/>
      <c r="X736" s="129"/>
      <c r="Y736" s="129"/>
      <c r="Z736" s="129"/>
    </row>
    <row r="737" ht="15.75" customHeight="1">
      <c r="A737" s="129"/>
      <c r="B737" s="129"/>
      <c r="C737" s="129"/>
      <c r="D737" s="129"/>
      <c r="E737" s="129"/>
      <c r="F737" s="129"/>
      <c r="G737" s="129"/>
      <c r="H737" s="129"/>
      <c r="I737" s="129"/>
      <c r="J737" s="129"/>
      <c r="K737" s="129"/>
      <c r="L737" s="129"/>
      <c r="M737" s="129"/>
      <c r="N737" s="129"/>
      <c r="O737" s="129"/>
      <c r="P737" s="129"/>
      <c r="Q737" s="129"/>
      <c r="R737" s="129"/>
      <c r="S737" s="129"/>
      <c r="T737" s="129"/>
      <c r="U737" s="129"/>
      <c r="V737" s="129"/>
      <c r="W737" s="129"/>
      <c r="X737" s="129"/>
      <c r="Y737" s="129"/>
      <c r="Z737" s="129"/>
    </row>
    <row r="738" ht="15.75" customHeight="1">
      <c r="A738" s="129"/>
      <c r="B738" s="129"/>
      <c r="C738" s="129"/>
      <c r="D738" s="129"/>
      <c r="E738" s="129"/>
      <c r="F738" s="129"/>
      <c r="G738" s="129"/>
      <c r="H738" s="129"/>
      <c r="I738" s="129"/>
      <c r="J738" s="129"/>
      <c r="K738" s="129"/>
      <c r="L738" s="129"/>
      <c r="M738" s="129"/>
      <c r="N738" s="129"/>
      <c r="O738" s="129"/>
      <c r="P738" s="129"/>
      <c r="Q738" s="129"/>
      <c r="R738" s="129"/>
      <c r="S738" s="129"/>
      <c r="T738" s="129"/>
      <c r="U738" s="129"/>
      <c r="V738" s="129"/>
      <c r="W738" s="129"/>
      <c r="X738" s="129"/>
      <c r="Y738" s="129"/>
      <c r="Z738" s="129"/>
    </row>
    <row r="739" ht="15.75" customHeight="1">
      <c r="A739" s="129"/>
      <c r="B739" s="129"/>
      <c r="C739" s="129"/>
      <c r="D739" s="129"/>
      <c r="E739" s="129"/>
      <c r="F739" s="129"/>
      <c r="G739" s="129"/>
      <c r="H739" s="129"/>
      <c r="I739" s="129"/>
      <c r="J739" s="129"/>
      <c r="K739" s="129"/>
      <c r="L739" s="129"/>
      <c r="M739" s="129"/>
      <c r="N739" s="129"/>
      <c r="O739" s="129"/>
      <c r="P739" s="129"/>
      <c r="Q739" s="129"/>
      <c r="R739" s="129"/>
      <c r="S739" s="129"/>
      <c r="T739" s="129"/>
      <c r="U739" s="129"/>
      <c r="V739" s="129"/>
      <c r="W739" s="129"/>
      <c r="X739" s="129"/>
      <c r="Y739" s="129"/>
      <c r="Z739" s="129"/>
    </row>
    <row r="740" ht="15.75" customHeight="1">
      <c r="A740" s="129"/>
      <c r="B740" s="129"/>
      <c r="C740" s="129"/>
      <c r="D740" s="129"/>
      <c r="E740" s="129"/>
      <c r="F740" s="129"/>
      <c r="G740" s="129"/>
      <c r="H740" s="129"/>
      <c r="I740" s="129"/>
      <c r="J740" s="129"/>
      <c r="K740" s="129"/>
      <c r="L740" s="129"/>
      <c r="M740" s="129"/>
      <c r="N740" s="129"/>
      <c r="O740" s="129"/>
      <c r="P740" s="129"/>
      <c r="Q740" s="129"/>
      <c r="R740" s="129"/>
      <c r="S740" s="129"/>
      <c r="T740" s="129"/>
      <c r="U740" s="129"/>
      <c r="V740" s="129"/>
      <c r="W740" s="129"/>
      <c r="X740" s="129"/>
      <c r="Y740" s="129"/>
      <c r="Z740" s="129"/>
    </row>
    <row r="741" ht="15.75" customHeight="1">
      <c r="A741" s="129"/>
      <c r="B741" s="129"/>
      <c r="C741" s="129"/>
      <c r="D741" s="129"/>
      <c r="E741" s="129"/>
      <c r="F741" s="129"/>
      <c r="G741" s="129"/>
      <c r="H741" s="129"/>
      <c r="I741" s="129"/>
      <c r="J741" s="129"/>
      <c r="K741" s="129"/>
      <c r="L741" s="129"/>
      <c r="M741" s="129"/>
      <c r="N741" s="129"/>
      <c r="O741" s="129"/>
      <c r="P741" s="129"/>
      <c r="Q741" s="129"/>
      <c r="R741" s="129"/>
      <c r="S741" s="129"/>
      <c r="T741" s="129"/>
      <c r="U741" s="129"/>
      <c r="V741" s="129"/>
      <c r="W741" s="129"/>
      <c r="X741" s="129"/>
      <c r="Y741" s="129"/>
      <c r="Z741" s="129"/>
    </row>
    <row r="742" ht="15.75" customHeight="1">
      <c r="A742" s="129"/>
      <c r="B742" s="129"/>
      <c r="C742" s="129"/>
      <c r="D742" s="129"/>
      <c r="E742" s="129"/>
      <c r="F742" s="129"/>
      <c r="G742" s="129"/>
      <c r="H742" s="129"/>
      <c r="I742" s="129"/>
      <c r="J742" s="129"/>
      <c r="K742" s="129"/>
      <c r="L742" s="129"/>
      <c r="M742" s="129"/>
      <c r="N742" s="129"/>
      <c r="O742" s="129"/>
      <c r="P742" s="129"/>
      <c r="Q742" s="129"/>
      <c r="R742" s="129"/>
      <c r="S742" s="129"/>
      <c r="T742" s="129"/>
      <c r="U742" s="129"/>
      <c r="V742" s="129"/>
      <c r="W742" s="129"/>
      <c r="X742" s="129"/>
      <c r="Y742" s="129"/>
      <c r="Z742" s="129"/>
    </row>
    <row r="743" ht="15.75" customHeight="1">
      <c r="A743" s="129"/>
      <c r="B743" s="129"/>
      <c r="C743" s="129"/>
      <c r="D743" s="129"/>
      <c r="E743" s="129"/>
      <c r="F743" s="129"/>
      <c r="G743" s="129"/>
      <c r="H743" s="129"/>
      <c r="I743" s="129"/>
      <c r="J743" s="129"/>
      <c r="K743" s="129"/>
      <c r="L743" s="129"/>
      <c r="M743" s="129"/>
      <c r="N743" s="129"/>
      <c r="O743" s="129"/>
      <c r="P743" s="129"/>
      <c r="Q743" s="129"/>
      <c r="R743" s="129"/>
      <c r="S743" s="129"/>
      <c r="T743" s="129"/>
      <c r="U743" s="129"/>
      <c r="V743" s="129"/>
      <c r="W743" s="129"/>
      <c r="X743" s="129"/>
      <c r="Y743" s="129"/>
      <c r="Z743" s="129"/>
    </row>
    <row r="744" ht="15.75" customHeight="1">
      <c r="A744" s="129"/>
      <c r="B744" s="129"/>
      <c r="C744" s="129"/>
      <c r="D744" s="129"/>
      <c r="E744" s="129"/>
      <c r="F744" s="129"/>
      <c r="G744" s="129"/>
      <c r="H744" s="129"/>
      <c r="I744" s="129"/>
      <c r="J744" s="129"/>
      <c r="K744" s="129"/>
      <c r="L744" s="129"/>
      <c r="M744" s="129"/>
      <c r="N744" s="129"/>
      <c r="O744" s="129"/>
      <c r="P744" s="129"/>
      <c r="Q744" s="129"/>
      <c r="R744" s="129"/>
      <c r="S744" s="129"/>
      <c r="T744" s="129"/>
      <c r="U744" s="129"/>
      <c r="V744" s="129"/>
      <c r="W744" s="129"/>
      <c r="X744" s="129"/>
      <c r="Y744" s="129"/>
      <c r="Z744" s="129"/>
    </row>
    <row r="745" ht="15.75" customHeight="1">
      <c r="A745" s="129"/>
      <c r="B745" s="129"/>
      <c r="C745" s="129"/>
      <c r="D745" s="129"/>
      <c r="E745" s="129"/>
      <c r="F745" s="129"/>
      <c r="G745" s="129"/>
      <c r="H745" s="129"/>
      <c r="I745" s="129"/>
      <c r="J745" s="129"/>
      <c r="K745" s="129"/>
      <c r="L745" s="129"/>
      <c r="M745" s="129"/>
      <c r="N745" s="129"/>
      <c r="O745" s="129"/>
      <c r="P745" s="129"/>
      <c r="Q745" s="129"/>
      <c r="R745" s="129"/>
      <c r="S745" s="129"/>
      <c r="T745" s="129"/>
      <c r="U745" s="129"/>
      <c r="V745" s="129"/>
      <c r="W745" s="129"/>
      <c r="X745" s="129"/>
      <c r="Y745" s="129"/>
      <c r="Z745" s="129"/>
    </row>
    <row r="746" ht="15.75" customHeight="1">
      <c r="A746" s="129"/>
      <c r="B746" s="129"/>
      <c r="C746" s="129"/>
      <c r="D746" s="129"/>
      <c r="E746" s="129"/>
      <c r="F746" s="129"/>
      <c r="G746" s="129"/>
      <c r="H746" s="129"/>
      <c r="I746" s="129"/>
      <c r="J746" s="129"/>
      <c r="K746" s="129"/>
      <c r="L746" s="129"/>
      <c r="M746" s="129"/>
      <c r="N746" s="129"/>
      <c r="O746" s="129"/>
      <c r="P746" s="129"/>
      <c r="Q746" s="129"/>
      <c r="R746" s="129"/>
      <c r="S746" s="129"/>
      <c r="T746" s="129"/>
      <c r="U746" s="129"/>
      <c r="V746" s="129"/>
      <c r="W746" s="129"/>
      <c r="X746" s="129"/>
      <c r="Y746" s="129"/>
      <c r="Z746" s="129"/>
    </row>
    <row r="747" ht="15.75" customHeight="1">
      <c r="A747" s="129"/>
      <c r="B747" s="129"/>
      <c r="C747" s="129"/>
      <c r="D747" s="129"/>
      <c r="E747" s="129"/>
      <c r="F747" s="129"/>
      <c r="G747" s="129"/>
      <c r="H747" s="129"/>
      <c r="I747" s="129"/>
      <c r="J747" s="129"/>
      <c r="K747" s="129"/>
      <c r="L747" s="129"/>
      <c r="M747" s="129"/>
      <c r="N747" s="129"/>
      <c r="O747" s="129"/>
      <c r="P747" s="129"/>
      <c r="Q747" s="129"/>
      <c r="R747" s="129"/>
      <c r="S747" s="129"/>
      <c r="T747" s="129"/>
      <c r="U747" s="129"/>
      <c r="V747" s="129"/>
      <c r="W747" s="129"/>
      <c r="X747" s="129"/>
      <c r="Y747" s="129"/>
      <c r="Z747" s="129"/>
    </row>
    <row r="748" ht="15.75" customHeight="1">
      <c r="A748" s="129"/>
      <c r="B748" s="129"/>
      <c r="C748" s="129"/>
      <c r="D748" s="129"/>
      <c r="E748" s="129"/>
      <c r="F748" s="129"/>
      <c r="G748" s="129"/>
      <c r="H748" s="129"/>
      <c r="I748" s="129"/>
      <c r="J748" s="129"/>
      <c r="K748" s="129"/>
      <c r="L748" s="129"/>
      <c r="M748" s="129"/>
      <c r="N748" s="129"/>
      <c r="O748" s="129"/>
      <c r="P748" s="129"/>
      <c r="Q748" s="129"/>
      <c r="R748" s="129"/>
      <c r="S748" s="129"/>
      <c r="T748" s="129"/>
      <c r="U748" s="129"/>
      <c r="V748" s="129"/>
      <c r="W748" s="129"/>
      <c r="X748" s="129"/>
      <c r="Y748" s="129"/>
      <c r="Z748" s="129"/>
    </row>
    <row r="749" ht="15.75" customHeight="1">
      <c r="A749" s="129"/>
      <c r="B749" s="129"/>
      <c r="C749" s="129"/>
      <c r="D749" s="129"/>
      <c r="E749" s="129"/>
      <c r="F749" s="129"/>
      <c r="G749" s="129"/>
      <c r="H749" s="129"/>
      <c r="I749" s="129"/>
      <c r="J749" s="129"/>
      <c r="K749" s="129"/>
      <c r="L749" s="129"/>
      <c r="M749" s="129"/>
      <c r="N749" s="129"/>
      <c r="O749" s="129"/>
      <c r="P749" s="129"/>
      <c r="Q749" s="129"/>
      <c r="R749" s="129"/>
      <c r="S749" s="129"/>
      <c r="T749" s="129"/>
      <c r="U749" s="129"/>
      <c r="V749" s="129"/>
      <c r="W749" s="129"/>
      <c r="X749" s="129"/>
      <c r="Y749" s="129"/>
      <c r="Z749" s="129"/>
    </row>
    <row r="750" ht="15.75" customHeight="1">
      <c r="A750" s="129"/>
      <c r="B750" s="129"/>
      <c r="C750" s="129"/>
      <c r="D750" s="129"/>
      <c r="E750" s="129"/>
      <c r="F750" s="129"/>
      <c r="G750" s="129"/>
      <c r="H750" s="129"/>
      <c r="I750" s="129"/>
      <c r="J750" s="129"/>
      <c r="K750" s="129"/>
      <c r="L750" s="129"/>
      <c r="M750" s="129"/>
      <c r="N750" s="129"/>
      <c r="O750" s="129"/>
      <c r="P750" s="129"/>
      <c r="Q750" s="129"/>
      <c r="R750" s="129"/>
      <c r="S750" s="129"/>
      <c r="T750" s="129"/>
      <c r="U750" s="129"/>
      <c r="V750" s="129"/>
      <c r="W750" s="129"/>
      <c r="X750" s="129"/>
      <c r="Y750" s="129"/>
      <c r="Z750" s="129"/>
    </row>
    <row r="751" ht="15.75" customHeight="1">
      <c r="A751" s="129"/>
      <c r="B751" s="129"/>
      <c r="C751" s="129"/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29"/>
      <c r="O751" s="129"/>
      <c r="P751" s="129"/>
      <c r="Q751" s="129"/>
      <c r="R751" s="129"/>
      <c r="S751" s="129"/>
      <c r="T751" s="129"/>
      <c r="U751" s="129"/>
      <c r="V751" s="129"/>
      <c r="W751" s="129"/>
      <c r="X751" s="129"/>
      <c r="Y751" s="129"/>
      <c r="Z751" s="129"/>
    </row>
    <row r="752" ht="15.75" customHeight="1">
      <c r="A752" s="129"/>
      <c r="B752" s="129"/>
      <c r="C752" s="129"/>
      <c r="D752" s="129"/>
      <c r="E752" s="129"/>
      <c r="F752" s="129"/>
      <c r="G752" s="129"/>
      <c r="H752" s="129"/>
      <c r="I752" s="129"/>
      <c r="J752" s="129"/>
      <c r="K752" s="129"/>
      <c r="L752" s="129"/>
      <c r="M752" s="129"/>
      <c r="N752" s="129"/>
      <c r="O752" s="129"/>
      <c r="P752" s="129"/>
      <c r="Q752" s="129"/>
      <c r="R752" s="129"/>
      <c r="S752" s="129"/>
      <c r="T752" s="129"/>
      <c r="U752" s="129"/>
      <c r="V752" s="129"/>
      <c r="W752" s="129"/>
      <c r="X752" s="129"/>
      <c r="Y752" s="129"/>
      <c r="Z752" s="129"/>
    </row>
    <row r="753" ht="15.75" customHeight="1">
      <c r="A753" s="129"/>
      <c r="B753" s="129"/>
      <c r="C753" s="129"/>
      <c r="D753" s="129"/>
      <c r="E753" s="129"/>
      <c r="F753" s="129"/>
      <c r="G753" s="129"/>
      <c r="H753" s="129"/>
      <c r="I753" s="129"/>
      <c r="J753" s="129"/>
      <c r="K753" s="129"/>
      <c r="L753" s="129"/>
      <c r="M753" s="129"/>
      <c r="N753" s="129"/>
      <c r="O753" s="129"/>
      <c r="P753" s="129"/>
      <c r="Q753" s="129"/>
      <c r="R753" s="129"/>
      <c r="S753" s="129"/>
      <c r="T753" s="129"/>
      <c r="U753" s="129"/>
      <c r="V753" s="129"/>
      <c r="W753" s="129"/>
      <c r="X753" s="129"/>
      <c r="Y753" s="129"/>
      <c r="Z753" s="129"/>
    </row>
    <row r="754" ht="15.75" customHeight="1">
      <c r="A754" s="129"/>
      <c r="B754" s="129"/>
      <c r="C754" s="129"/>
      <c r="D754" s="129"/>
      <c r="E754" s="129"/>
      <c r="F754" s="129"/>
      <c r="G754" s="129"/>
      <c r="H754" s="129"/>
      <c r="I754" s="129"/>
      <c r="J754" s="129"/>
      <c r="K754" s="129"/>
      <c r="L754" s="129"/>
      <c r="M754" s="129"/>
      <c r="N754" s="129"/>
      <c r="O754" s="129"/>
      <c r="P754" s="129"/>
      <c r="Q754" s="129"/>
      <c r="R754" s="129"/>
      <c r="S754" s="129"/>
      <c r="T754" s="129"/>
      <c r="U754" s="129"/>
      <c r="V754" s="129"/>
      <c r="W754" s="129"/>
      <c r="X754" s="129"/>
      <c r="Y754" s="129"/>
      <c r="Z754" s="129"/>
    </row>
    <row r="755" ht="15.75" customHeight="1">
      <c r="A755" s="129"/>
      <c r="B755" s="129"/>
      <c r="C755" s="129"/>
      <c r="D755" s="129"/>
      <c r="E755" s="129"/>
      <c r="F755" s="129"/>
      <c r="G755" s="129"/>
      <c r="H755" s="129"/>
      <c r="I755" s="129"/>
      <c r="J755" s="129"/>
      <c r="K755" s="129"/>
      <c r="L755" s="129"/>
      <c r="M755" s="129"/>
      <c r="N755" s="129"/>
      <c r="O755" s="129"/>
      <c r="P755" s="129"/>
      <c r="Q755" s="129"/>
      <c r="R755" s="129"/>
      <c r="S755" s="129"/>
      <c r="T755" s="129"/>
      <c r="U755" s="129"/>
      <c r="V755" s="129"/>
      <c r="W755" s="129"/>
      <c r="X755" s="129"/>
      <c r="Y755" s="129"/>
      <c r="Z755" s="129"/>
    </row>
    <row r="756" ht="15.75" customHeight="1">
      <c r="A756" s="129"/>
      <c r="B756" s="129"/>
      <c r="C756" s="129"/>
      <c r="D756" s="129"/>
      <c r="E756" s="129"/>
      <c r="F756" s="129"/>
      <c r="G756" s="129"/>
      <c r="H756" s="129"/>
      <c r="I756" s="129"/>
      <c r="J756" s="129"/>
      <c r="K756" s="129"/>
      <c r="L756" s="129"/>
      <c r="M756" s="129"/>
      <c r="N756" s="129"/>
      <c r="O756" s="129"/>
      <c r="P756" s="129"/>
      <c r="Q756" s="129"/>
      <c r="R756" s="129"/>
      <c r="S756" s="129"/>
      <c r="T756" s="129"/>
      <c r="U756" s="129"/>
      <c r="V756" s="129"/>
      <c r="W756" s="129"/>
      <c r="X756" s="129"/>
      <c r="Y756" s="129"/>
      <c r="Z756" s="129"/>
    </row>
    <row r="757" ht="15.75" customHeight="1">
      <c r="A757" s="129"/>
      <c r="B757" s="129"/>
      <c r="C757" s="129"/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29"/>
      <c r="O757" s="129"/>
      <c r="P757" s="129"/>
      <c r="Q757" s="129"/>
      <c r="R757" s="129"/>
      <c r="S757" s="129"/>
      <c r="T757" s="129"/>
      <c r="U757" s="129"/>
      <c r="V757" s="129"/>
      <c r="W757" s="129"/>
      <c r="X757" s="129"/>
      <c r="Y757" s="129"/>
      <c r="Z757" s="129"/>
    </row>
    <row r="758" ht="15.75" customHeight="1">
      <c r="A758" s="129"/>
      <c r="B758" s="129"/>
      <c r="C758" s="129"/>
      <c r="D758" s="129"/>
      <c r="E758" s="129"/>
      <c r="F758" s="129"/>
      <c r="G758" s="129"/>
      <c r="H758" s="129"/>
      <c r="I758" s="129"/>
      <c r="J758" s="129"/>
      <c r="K758" s="129"/>
      <c r="L758" s="129"/>
      <c r="M758" s="129"/>
      <c r="N758" s="129"/>
      <c r="O758" s="129"/>
      <c r="P758" s="129"/>
      <c r="Q758" s="129"/>
      <c r="R758" s="129"/>
      <c r="S758" s="129"/>
      <c r="T758" s="129"/>
      <c r="U758" s="129"/>
      <c r="V758" s="129"/>
      <c r="W758" s="129"/>
      <c r="X758" s="129"/>
      <c r="Y758" s="129"/>
      <c r="Z758" s="129"/>
    </row>
    <row r="759" ht="15.75" customHeight="1">
      <c r="A759" s="129"/>
      <c r="B759" s="129"/>
      <c r="C759" s="129"/>
      <c r="D759" s="129"/>
      <c r="E759" s="129"/>
      <c r="F759" s="129"/>
      <c r="G759" s="129"/>
      <c r="H759" s="129"/>
      <c r="I759" s="129"/>
      <c r="J759" s="129"/>
      <c r="K759" s="129"/>
      <c r="L759" s="129"/>
      <c r="M759" s="129"/>
      <c r="N759" s="129"/>
      <c r="O759" s="129"/>
      <c r="P759" s="129"/>
      <c r="Q759" s="129"/>
      <c r="R759" s="129"/>
      <c r="S759" s="129"/>
      <c r="T759" s="129"/>
      <c r="U759" s="129"/>
      <c r="V759" s="129"/>
      <c r="W759" s="129"/>
      <c r="X759" s="129"/>
      <c r="Y759" s="129"/>
      <c r="Z759" s="129"/>
    </row>
    <row r="760" ht="15.75" customHeight="1">
      <c r="A760" s="129"/>
      <c r="B760" s="129"/>
      <c r="C760" s="129"/>
      <c r="D760" s="129"/>
      <c r="E760" s="129"/>
      <c r="F760" s="129"/>
      <c r="G760" s="129"/>
      <c r="H760" s="129"/>
      <c r="I760" s="129"/>
      <c r="J760" s="129"/>
      <c r="K760" s="129"/>
      <c r="L760" s="129"/>
      <c r="M760" s="129"/>
      <c r="N760" s="129"/>
      <c r="O760" s="129"/>
      <c r="P760" s="129"/>
      <c r="Q760" s="129"/>
      <c r="R760" s="129"/>
      <c r="S760" s="129"/>
      <c r="T760" s="129"/>
      <c r="U760" s="129"/>
      <c r="V760" s="129"/>
      <c r="W760" s="129"/>
      <c r="X760" s="129"/>
      <c r="Y760" s="129"/>
      <c r="Z760" s="129"/>
    </row>
    <row r="761" ht="15.75" customHeight="1">
      <c r="A761" s="129"/>
      <c r="B761" s="129"/>
      <c r="C761" s="129"/>
      <c r="D761" s="129"/>
      <c r="E761" s="129"/>
      <c r="F761" s="129"/>
      <c r="G761" s="129"/>
      <c r="H761" s="129"/>
      <c r="I761" s="129"/>
      <c r="J761" s="129"/>
      <c r="K761" s="129"/>
      <c r="L761" s="129"/>
      <c r="M761" s="129"/>
      <c r="N761" s="129"/>
      <c r="O761" s="129"/>
      <c r="P761" s="129"/>
      <c r="Q761" s="129"/>
      <c r="R761" s="129"/>
      <c r="S761" s="129"/>
      <c r="T761" s="129"/>
      <c r="U761" s="129"/>
      <c r="V761" s="129"/>
      <c r="W761" s="129"/>
      <c r="X761" s="129"/>
      <c r="Y761" s="129"/>
      <c r="Z761" s="129"/>
    </row>
    <row r="762" ht="15.75" customHeight="1">
      <c r="A762" s="129"/>
      <c r="B762" s="129"/>
      <c r="C762" s="129"/>
      <c r="D762" s="129"/>
      <c r="E762" s="129"/>
      <c r="F762" s="129"/>
      <c r="G762" s="129"/>
      <c r="H762" s="129"/>
      <c r="I762" s="129"/>
      <c r="J762" s="129"/>
      <c r="K762" s="129"/>
      <c r="L762" s="129"/>
      <c r="M762" s="129"/>
      <c r="N762" s="129"/>
      <c r="O762" s="129"/>
      <c r="P762" s="129"/>
      <c r="Q762" s="129"/>
      <c r="R762" s="129"/>
      <c r="S762" s="129"/>
      <c r="T762" s="129"/>
      <c r="U762" s="129"/>
      <c r="V762" s="129"/>
      <c r="W762" s="129"/>
      <c r="X762" s="129"/>
      <c r="Y762" s="129"/>
      <c r="Z762" s="129"/>
    </row>
    <row r="763" ht="15.75" customHeight="1">
      <c r="A763" s="129"/>
      <c r="B763" s="129"/>
      <c r="C763" s="129"/>
      <c r="D763" s="129"/>
      <c r="E763" s="129"/>
      <c r="F763" s="129"/>
      <c r="G763" s="129"/>
      <c r="H763" s="129"/>
      <c r="I763" s="129"/>
      <c r="J763" s="129"/>
      <c r="K763" s="129"/>
      <c r="L763" s="129"/>
      <c r="M763" s="129"/>
      <c r="N763" s="129"/>
      <c r="O763" s="129"/>
      <c r="P763" s="129"/>
      <c r="Q763" s="129"/>
      <c r="R763" s="129"/>
      <c r="S763" s="129"/>
      <c r="T763" s="129"/>
      <c r="U763" s="129"/>
      <c r="V763" s="129"/>
      <c r="W763" s="129"/>
      <c r="X763" s="129"/>
      <c r="Y763" s="129"/>
      <c r="Z763" s="129"/>
    </row>
    <row r="764" ht="15.75" customHeight="1">
      <c r="A764" s="129"/>
      <c r="B764" s="129"/>
      <c r="C764" s="129"/>
      <c r="D764" s="129"/>
      <c r="E764" s="129"/>
      <c r="F764" s="129"/>
      <c r="G764" s="129"/>
      <c r="H764" s="129"/>
      <c r="I764" s="129"/>
      <c r="J764" s="129"/>
      <c r="K764" s="129"/>
      <c r="L764" s="129"/>
      <c r="M764" s="129"/>
      <c r="N764" s="129"/>
      <c r="O764" s="129"/>
      <c r="P764" s="129"/>
      <c r="Q764" s="129"/>
      <c r="R764" s="129"/>
      <c r="S764" s="129"/>
      <c r="T764" s="129"/>
      <c r="U764" s="129"/>
      <c r="V764" s="129"/>
      <c r="W764" s="129"/>
      <c r="X764" s="129"/>
      <c r="Y764" s="129"/>
      <c r="Z764" s="129"/>
    </row>
    <row r="765" ht="15.75" customHeight="1">
      <c r="A765" s="129"/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29"/>
      <c r="V765" s="129"/>
      <c r="W765" s="129"/>
      <c r="X765" s="129"/>
      <c r="Y765" s="129"/>
      <c r="Z765" s="129"/>
    </row>
    <row r="766" ht="15.75" customHeight="1">
      <c r="A766" s="129"/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29"/>
      <c r="V766" s="129"/>
      <c r="W766" s="129"/>
      <c r="X766" s="129"/>
      <c r="Y766" s="129"/>
      <c r="Z766" s="129"/>
    </row>
    <row r="767" ht="15.75" customHeight="1">
      <c r="A767" s="129"/>
      <c r="B767" s="129"/>
      <c r="C767" s="129"/>
      <c r="D767" s="129"/>
      <c r="E767" s="129"/>
      <c r="F767" s="129"/>
      <c r="G767" s="129"/>
      <c r="H767" s="129"/>
      <c r="I767" s="129"/>
      <c r="J767" s="129"/>
      <c r="K767" s="129"/>
      <c r="L767" s="129"/>
      <c r="M767" s="129"/>
      <c r="N767" s="129"/>
      <c r="O767" s="129"/>
      <c r="P767" s="129"/>
      <c r="Q767" s="129"/>
      <c r="R767" s="129"/>
      <c r="S767" s="129"/>
      <c r="T767" s="129"/>
      <c r="U767" s="129"/>
      <c r="V767" s="129"/>
      <c r="W767" s="129"/>
      <c r="X767" s="129"/>
      <c r="Y767" s="129"/>
      <c r="Z767" s="129"/>
    </row>
    <row r="768" ht="15.75" customHeight="1">
      <c r="A768" s="129"/>
      <c r="B768" s="129"/>
      <c r="C768" s="129"/>
      <c r="D768" s="129"/>
      <c r="E768" s="129"/>
      <c r="F768" s="129"/>
      <c r="G768" s="129"/>
      <c r="H768" s="129"/>
      <c r="I768" s="129"/>
      <c r="J768" s="129"/>
      <c r="K768" s="129"/>
      <c r="L768" s="129"/>
      <c r="M768" s="129"/>
      <c r="N768" s="129"/>
      <c r="O768" s="129"/>
      <c r="P768" s="129"/>
      <c r="Q768" s="129"/>
      <c r="R768" s="129"/>
      <c r="S768" s="129"/>
      <c r="T768" s="129"/>
      <c r="U768" s="129"/>
      <c r="V768" s="129"/>
      <c r="W768" s="129"/>
      <c r="X768" s="129"/>
      <c r="Y768" s="129"/>
      <c r="Z768" s="129"/>
    </row>
    <row r="769" ht="15.75" customHeight="1">
      <c r="A769" s="129"/>
      <c r="B769" s="129"/>
      <c r="C769" s="129"/>
      <c r="D769" s="129"/>
      <c r="E769" s="129"/>
      <c r="F769" s="129"/>
      <c r="G769" s="129"/>
      <c r="H769" s="129"/>
      <c r="I769" s="129"/>
      <c r="J769" s="129"/>
      <c r="K769" s="129"/>
      <c r="L769" s="129"/>
      <c r="M769" s="129"/>
      <c r="N769" s="129"/>
      <c r="O769" s="129"/>
      <c r="P769" s="129"/>
      <c r="Q769" s="129"/>
      <c r="R769" s="129"/>
      <c r="S769" s="129"/>
      <c r="T769" s="129"/>
      <c r="U769" s="129"/>
      <c r="V769" s="129"/>
      <c r="W769" s="129"/>
      <c r="X769" s="129"/>
      <c r="Y769" s="129"/>
      <c r="Z769" s="129"/>
    </row>
    <row r="770" ht="15.75" customHeight="1">
      <c r="A770" s="129"/>
      <c r="B770" s="129"/>
      <c r="C770" s="129"/>
      <c r="D770" s="129"/>
      <c r="E770" s="129"/>
      <c r="F770" s="129"/>
      <c r="G770" s="129"/>
      <c r="H770" s="129"/>
      <c r="I770" s="129"/>
      <c r="J770" s="129"/>
      <c r="K770" s="129"/>
      <c r="L770" s="129"/>
      <c r="M770" s="129"/>
      <c r="N770" s="129"/>
      <c r="O770" s="129"/>
      <c r="P770" s="129"/>
      <c r="Q770" s="129"/>
      <c r="R770" s="129"/>
      <c r="S770" s="129"/>
      <c r="T770" s="129"/>
      <c r="U770" s="129"/>
      <c r="V770" s="129"/>
      <c r="W770" s="129"/>
      <c r="X770" s="129"/>
      <c r="Y770" s="129"/>
      <c r="Z770" s="129"/>
    </row>
    <row r="771" ht="15.75" customHeight="1">
      <c r="A771" s="129"/>
      <c r="B771" s="129"/>
      <c r="C771" s="129"/>
      <c r="D771" s="129"/>
      <c r="E771" s="129"/>
      <c r="F771" s="129"/>
      <c r="G771" s="129"/>
      <c r="H771" s="129"/>
      <c r="I771" s="129"/>
      <c r="J771" s="129"/>
      <c r="K771" s="129"/>
      <c r="L771" s="129"/>
      <c r="M771" s="129"/>
      <c r="N771" s="129"/>
      <c r="O771" s="129"/>
      <c r="P771" s="129"/>
      <c r="Q771" s="129"/>
      <c r="R771" s="129"/>
      <c r="S771" s="129"/>
      <c r="T771" s="129"/>
      <c r="U771" s="129"/>
      <c r="V771" s="129"/>
      <c r="W771" s="129"/>
      <c r="X771" s="129"/>
      <c r="Y771" s="129"/>
      <c r="Z771" s="129"/>
    </row>
    <row r="772" ht="15.75" customHeight="1">
      <c r="A772" s="129"/>
      <c r="B772" s="129"/>
      <c r="C772" s="129"/>
      <c r="D772" s="129"/>
      <c r="E772" s="129"/>
      <c r="F772" s="129"/>
      <c r="G772" s="129"/>
      <c r="H772" s="129"/>
      <c r="I772" s="129"/>
      <c r="J772" s="129"/>
      <c r="K772" s="129"/>
      <c r="L772" s="129"/>
      <c r="M772" s="129"/>
      <c r="N772" s="129"/>
      <c r="O772" s="129"/>
      <c r="P772" s="129"/>
      <c r="Q772" s="129"/>
      <c r="R772" s="129"/>
      <c r="S772" s="129"/>
      <c r="T772" s="129"/>
      <c r="U772" s="129"/>
      <c r="V772" s="129"/>
      <c r="W772" s="129"/>
      <c r="X772" s="129"/>
      <c r="Y772" s="129"/>
      <c r="Z772" s="129"/>
    </row>
    <row r="773" ht="15.75" customHeight="1">
      <c r="A773" s="129"/>
      <c r="B773" s="129"/>
      <c r="C773" s="129"/>
      <c r="D773" s="129"/>
      <c r="E773" s="129"/>
      <c r="F773" s="129"/>
      <c r="G773" s="129"/>
      <c r="H773" s="129"/>
      <c r="I773" s="129"/>
      <c r="J773" s="129"/>
      <c r="K773" s="129"/>
      <c r="L773" s="129"/>
      <c r="M773" s="129"/>
      <c r="N773" s="129"/>
      <c r="O773" s="129"/>
      <c r="P773" s="129"/>
      <c r="Q773" s="129"/>
      <c r="R773" s="129"/>
      <c r="S773" s="129"/>
      <c r="T773" s="129"/>
      <c r="U773" s="129"/>
      <c r="V773" s="129"/>
      <c r="W773" s="129"/>
      <c r="X773" s="129"/>
      <c r="Y773" s="129"/>
      <c r="Z773" s="129"/>
    </row>
    <row r="774" ht="15.75" customHeight="1">
      <c r="A774" s="129"/>
      <c r="B774" s="129"/>
      <c r="C774" s="129"/>
      <c r="D774" s="129"/>
      <c r="E774" s="129"/>
      <c r="F774" s="129"/>
      <c r="G774" s="129"/>
      <c r="H774" s="129"/>
      <c r="I774" s="129"/>
      <c r="J774" s="129"/>
      <c r="K774" s="129"/>
      <c r="L774" s="129"/>
      <c r="M774" s="129"/>
      <c r="N774" s="129"/>
      <c r="O774" s="129"/>
      <c r="P774" s="129"/>
      <c r="Q774" s="129"/>
      <c r="R774" s="129"/>
      <c r="S774" s="129"/>
      <c r="T774" s="129"/>
      <c r="U774" s="129"/>
      <c r="V774" s="129"/>
      <c r="W774" s="129"/>
      <c r="X774" s="129"/>
      <c r="Y774" s="129"/>
      <c r="Z774" s="129"/>
    </row>
    <row r="775" ht="15.75" customHeight="1">
      <c r="A775" s="129"/>
      <c r="B775" s="129"/>
      <c r="C775" s="129"/>
      <c r="D775" s="129"/>
      <c r="E775" s="129"/>
      <c r="F775" s="129"/>
      <c r="G775" s="129"/>
      <c r="H775" s="129"/>
      <c r="I775" s="129"/>
      <c r="J775" s="129"/>
      <c r="K775" s="129"/>
      <c r="L775" s="129"/>
      <c r="M775" s="129"/>
      <c r="N775" s="129"/>
      <c r="O775" s="129"/>
      <c r="P775" s="129"/>
      <c r="Q775" s="129"/>
      <c r="R775" s="129"/>
      <c r="S775" s="129"/>
      <c r="T775" s="129"/>
      <c r="U775" s="129"/>
      <c r="V775" s="129"/>
      <c r="W775" s="129"/>
      <c r="X775" s="129"/>
      <c r="Y775" s="129"/>
      <c r="Z775" s="129"/>
    </row>
    <row r="776" ht="15.75" customHeight="1">
      <c r="A776" s="129"/>
      <c r="B776" s="129"/>
      <c r="C776" s="129"/>
      <c r="D776" s="129"/>
      <c r="E776" s="129"/>
      <c r="F776" s="129"/>
      <c r="G776" s="129"/>
      <c r="H776" s="129"/>
      <c r="I776" s="129"/>
      <c r="J776" s="129"/>
      <c r="K776" s="129"/>
      <c r="L776" s="129"/>
      <c r="M776" s="129"/>
      <c r="N776" s="129"/>
      <c r="O776" s="129"/>
      <c r="P776" s="129"/>
      <c r="Q776" s="129"/>
      <c r="R776" s="129"/>
      <c r="S776" s="129"/>
      <c r="T776" s="129"/>
      <c r="U776" s="129"/>
      <c r="V776" s="129"/>
      <c r="W776" s="129"/>
      <c r="X776" s="129"/>
      <c r="Y776" s="129"/>
      <c r="Z776" s="129"/>
    </row>
    <row r="777" ht="15.75" customHeight="1">
      <c r="A777" s="129"/>
      <c r="B777" s="129"/>
      <c r="C777" s="129"/>
      <c r="D777" s="129"/>
      <c r="E777" s="129"/>
      <c r="F777" s="129"/>
      <c r="G777" s="129"/>
      <c r="H777" s="129"/>
      <c r="I777" s="129"/>
      <c r="J777" s="129"/>
      <c r="K777" s="129"/>
      <c r="L777" s="129"/>
      <c r="M777" s="129"/>
      <c r="N777" s="129"/>
      <c r="O777" s="129"/>
      <c r="P777" s="129"/>
      <c r="Q777" s="129"/>
      <c r="R777" s="129"/>
      <c r="S777" s="129"/>
      <c r="T777" s="129"/>
      <c r="U777" s="129"/>
      <c r="V777" s="129"/>
      <c r="W777" s="129"/>
      <c r="X777" s="129"/>
      <c r="Y777" s="129"/>
      <c r="Z777" s="129"/>
    </row>
    <row r="778" ht="15.75" customHeight="1">
      <c r="A778" s="129"/>
      <c r="B778" s="129"/>
      <c r="C778" s="129"/>
      <c r="D778" s="129"/>
      <c r="E778" s="129"/>
      <c r="F778" s="129"/>
      <c r="G778" s="129"/>
      <c r="H778" s="129"/>
      <c r="I778" s="129"/>
      <c r="J778" s="129"/>
      <c r="K778" s="129"/>
      <c r="L778" s="129"/>
      <c r="M778" s="129"/>
      <c r="N778" s="129"/>
      <c r="O778" s="129"/>
      <c r="P778" s="129"/>
      <c r="Q778" s="129"/>
      <c r="R778" s="129"/>
      <c r="S778" s="129"/>
      <c r="T778" s="129"/>
      <c r="U778" s="129"/>
      <c r="V778" s="129"/>
      <c r="W778" s="129"/>
      <c r="X778" s="129"/>
      <c r="Y778" s="129"/>
      <c r="Z778" s="129"/>
    </row>
    <row r="779" ht="15.75" customHeight="1">
      <c r="A779" s="129"/>
      <c r="B779" s="129"/>
      <c r="C779" s="129"/>
      <c r="D779" s="129"/>
      <c r="E779" s="129"/>
      <c r="F779" s="129"/>
      <c r="G779" s="129"/>
      <c r="H779" s="129"/>
      <c r="I779" s="129"/>
      <c r="J779" s="129"/>
      <c r="K779" s="129"/>
      <c r="L779" s="129"/>
      <c r="M779" s="129"/>
      <c r="N779" s="129"/>
      <c r="O779" s="129"/>
      <c r="P779" s="129"/>
      <c r="Q779" s="129"/>
      <c r="R779" s="129"/>
      <c r="S779" s="129"/>
      <c r="T779" s="129"/>
      <c r="U779" s="129"/>
      <c r="V779" s="129"/>
      <c r="W779" s="129"/>
      <c r="X779" s="129"/>
      <c r="Y779" s="129"/>
      <c r="Z779" s="129"/>
    </row>
    <row r="780" ht="15.75" customHeight="1">
      <c r="A780" s="129"/>
      <c r="B780" s="129"/>
      <c r="C780" s="129"/>
      <c r="D780" s="129"/>
      <c r="E780" s="129"/>
      <c r="F780" s="129"/>
      <c r="G780" s="129"/>
      <c r="H780" s="129"/>
      <c r="I780" s="129"/>
      <c r="J780" s="129"/>
      <c r="K780" s="129"/>
      <c r="L780" s="129"/>
      <c r="M780" s="129"/>
      <c r="N780" s="129"/>
      <c r="O780" s="129"/>
      <c r="P780" s="129"/>
      <c r="Q780" s="129"/>
      <c r="R780" s="129"/>
      <c r="S780" s="129"/>
      <c r="T780" s="129"/>
      <c r="U780" s="129"/>
      <c r="V780" s="129"/>
      <c r="W780" s="129"/>
      <c r="X780" s="129"/>
      <c r="Y780" s="129"/>
      <c r="Z780" s="129"/>
    </row>
    <row r="781" ht="15.75" customHeight="1">
      <c r="A781" s="129"/>
      <c r="B781" s="129"/>
      <c r="C781" s="129"/>
      <c r="D781" s="129"/>
      <c r="E781" s="129"/>
      <c r="F781" s="129"/>
      <c r="G781" s="129"/>
      <c r="H781" s="129"/>
      <c r="I781" s="129"/>
      <c r="J781" s="129"/>
      <c r="K781" s="129"/>
      <c r="L781" s="129"/>
      <c r="M781" s="129"/>
      <c r="N781" s="129"/>
      <c r="O781" s="129"/>
      <c r="P781" s="129"/>
      <c r="Q781" s="129"/>
      <c r="R781" s="129"/>
      <c r="S781" s="129"/>
      <c r="T781" s="129"/>
      <c r="U781" s="129"/>
      <c r="V781" s="129"/>
      <c r="W781" s="129"/>
      <c r="X781" s="129"/>
      <c r="Y781" s="129"/>
      <c r="Z781" s="129"/>
    </row>
    <row r="782" ht="15.75" customHeight="1">
      <c r="A782" s="129"/>
      <c r="B782" s="129"/>
      <c r="C782" s="129"/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29"/>
      <c r="O782" s="129"/>
      <c r="P782" s="129"/>
      <c r="Q782" s="129"/>
      <c r="R782" s="129"/>
      <c r="S782" s="129"/>
      <c r="T782" s="129"/>
      <c r="U782" s="129"/>
      <c r="V782" s="129"/>
      <c r="W782" s="129"/>
      <c r="X782" s="129"/>
      <c r="Y782" s="129"/>
      <c r="Z782" s="129"/>
    </row>
    <row r="783" ht="15.75" customHeight="1">
      <c r="A783" s="129"/>
      <c r="B783" s="129"/>
      <c r="C783" s="129"/>
      <c r="D783" s="129"/>
      <c r="E783" s="129"/>
      <c r="F783" s="129"/>
      <c r="G783" s="129"/>
      <c r="H783" s="129"/>
      <c r="I783" s="129"/>
      <c r="J783" s="129"/>
      <c r="K783" s="129"/>
      <c r="L783" s="129"/>
      <c r="M783" s="129"/>
      <c r="N783" s="129"/>
      <c r="O783" s="129"/>
      <c r="P783" s="129"/>
      <c r="Q783" s="129"/>
      <c r="R783" s="129"/>
      <c r="S783" s="129"/>
      <c r="T783" s="129"/>
      <c r="U783" s="129"/>
      <c r="V783" s="129"/>
      <c r="W783" s="129"/>
      <c r="X783" s="129"/>
      <c r="Y783" s="129"/>
      <c r="Z783" s="129"/>
    </row>
    <row r="784" ht="15.75" customHeight="1">
      <c r="A784" s="129"/>
      <c r="B784" s="129"/>
      <c r="C784" s="129"/>
      <c r="D784" s="129"/>
      <c r="E784" s="129"/>
      <c r="F784" s="129"/>
      <c r="G784" s="129"/>
      <c r="H784" s="129"/>
      <c r="I784" s="129"/>
      <c r="J784" s="129"/>
      <c r="K784" s="129"/>
      <c r="L784" s="129"/>
      <c r="M784" s="129"/>
      <c r="N784" s="129"/>
      <c r="O784" s="129"/>
      <c r="P784" s="129"/>
      <c r="Q784" s="129"/>
      <c r="R784" s="129"/>
      <c r="S784" s="129"/>
      <c r="T784" s="129"/>
      <c r="U784" s="129"/>
      <c r="V784" s="129"/>
      <c r="W784" s="129"/>
      <c r="X784" s="129"/>
      <c r="Y784" s="129"/>
      <c r="Z784" s="129"/>
    </row>
    <row r="785" ht="15.75" customHeight="1">
      <c r="A785" s="129"/>
      <c r="B785" s="129"/>
      <c r="C785" s="129"/>
      <c r="D785" s="129"/>
      <c r="E785" s="129"/>
      <c r="F785" s="129"/>
      <c r="G785" s="129"/>
      <c r="H785" s="129"/>
      <c r="I785" s="129"/>
      <c r="J785" s="129"/>
      <c r="K785" s="129"/>
      <c r="L785" s="129"/>
      <c r="M785" s="129"/>
      <c r="N785" s="129"/>
      <c r="O785" s="129"/>
      <c r="P785" s="129"/>
      <c r="Q785" s="129"/>
      <c r="R785" s="129"/>
      <c r="S785" s="129"/>
      <c r="T785" s="129"/>
      <c r="U785" s="129"/>
      <c r="V785" s="129"/>
      <c r="W785" s="129"/>
      <c r="X785" s="129"/>
      <c r="Y785" s="129"/>
      <c r="Z785" s="129"/>
    </row>
    <row r="786" ht="15.75" customHeight="1">
      <c r="A786" s="129"/>
      <c r="B786" s="129"/>
      <c r="C786" s="129"/>
      <c r="D786" s="129"/>
      <c r="E786" s="129"/>
      <c r="F786" s="129"/>
      <c r="G786" s="129"/>
      <c r="H786" s="129"/>
      <c r="I786" s="129"/>
      <c r="J786" s="129"/>
      <c r="K786" s="129"/>
      <c r="L786" s="129"/>
      <c r="M786" s="129"/>
      <c r="N786" s="129"/>
      <c r="O786" s="129"/>
      <c r="P786" s="129"/>
      <c r="Q786" s="129"/>
      <c r="R786" s="129"/>
      <c r="S786" s="129"/>
      <c r="T786" s="129"/>
      <c r="U786" s="129"/>
      <c r="V786" s="129"/>
      <c r="W786" s="129"/>
      <c r="X786" s="129"/>
      <c r="Y786" s="129"/>
      <c r="Z786" s="129"/>
    </row>
    <row r="787" ht="15.75" customHeight="1">
      <c r="A787" s="129"/>
      <c r="B787" s="129"/>
      <c r="C787" s="129"/>
      <c r="D787" s="129"/>
      <c r="E787" s="129"/>
      <c r="F787" s="129"/>
      <c r="G787" s="129"/>
      <c r="H787" s="129"/>
      <c r="I787" s="129"/>
      <c r="J787" s="129"/>
      <c r="K787" s="129"/>
      <c r="L787" s="129"/>
      <c r="M787" s="129"/>
      <c r="N787" s="129"/>
      <c r="O787" s="129"/>
      <c r="P787" s="129"/>
      <c r="Q787" s="129"/>
      <c r="R787" s="129"/>
      <c r="S787" s="129"/>
      <c r="T787" s="129"/>
      <c r="U787" s="129"/>
      <c r="V787" s="129"/>
      <c r="W787" s="129"/>
      <c r="X787" s="129"/>
      <c r="Y787" s="129"/>
      <c r="Z787" s="129"/>
    </row>
    <row r="788" ht="15.75" customHeight="1">
      <c r="A788" s="129"/>
      <c r="B788" s="129"/>
      <c r="C788" s="129"/>
      <c r="D788" s="129"/>
      <c r="E788" s="129"/>
      <c r="F788" s="129"/>
      <c r="G788" s="129"/>
      <c r="H788" s="129"/>
      <c r="I788" s="129"/>
      <c r="J788" s="129"/>
      <c r="K788" s="129"/>
      <c r="L788" s="129"/>
      <c r="M788" s="129"/>
      <c r="N788" s="129"/>
      <c r="O788" s="129"/>
      <c r="P788" s="129"/>
      <c r="Q788" s="129"/>
      <c r="R788" s="129"/>
      <c r="S788" s="129"/>
      <c r="T788" s="129"/>
      <c r="U788" s="129"/>
      <c r="V788" s="129"/>
      <c r="W788" s="129"/>
      <c r="X788" s="129"/>
      <c r="Y788" s="129"/>
      <c r="Z788" s="129"/>
    </row>
    <row r="789" ht="15.75" customHeight="1">
      <c r="A789" s="129"/>
      <c r="B789" s="129"/>
      <c r="C789" s="129"/>
      <c r="D789" s="129"/>
      <c r="E789" s="129"/>
      <c r="F789" s="129"/>
      <c r="G789" s="129"/>
      <c r="H789" s="129"/>
      <c r="I789" s="129"/>
      <c r="J789" s="129"/>
      <c r="K789" s="129"/>
      <c r="L789" s="129"/>
      <c r="M789" s="129"/>
      <c r="N789" s="129"/>
      <c r="O789" s="129"/>
      <c r="P789" s="129"/>
      <c r="Q789" s="129"/>
      <c r="R789" s="129"/>
      <c r="S789" s="129"/>
      <c r="T789" s="129"/>
      <c r="U789" s="129"/>
      <c r="V789" s="129"/>
      <c r="W789" s="129"/>
      <c r="X789" s="129"/>
      <c r="Y789" s="129"/>
      <c r="Z789" s="129"/>
    </row>
    <row r="790" ht="15.75" customHeight="1">
      <c r="A790" s="129"/>
      <c r="B790" s="129"/>
      <c r="C790" s="129"/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29"/>
      <c r="O790" s="129"/>
      <c r="P790" s="129"/>
      <c r="Q790" s="129"/>
      <c r="R790" s="129"/>
      <c r="S790" s="129"/>
      <c r="T790" s="129"/>
      <c r="U790" s="129"/>
      <c r="V790" s="129"/>
      <c r="W790" s="129"/>
      <c r="X790" s="129"/>
      <c r="Y790" s="129"/>
      <c r="Z790" s="129"/>
    </row>
    <row r="791" ht="15.75" customHeight="1">
      <c r="A791" s="129"/>
      <c r="B791" s="129"/>
      <c r="C791" s="129"/>
      <c r="D791" s="129"/>
      <c r="E791" s="129"/>
      <c r="F791" s="129"/>
      <c r="G791" s="129"/>
      <c r="H791" s="129"/>
      <c r="I791" s="129"/>
      <c r="J791" s="129"/>
      <c r="K791" s="129"/>
      <c r="L791" s="129"/>
      <c r="M791" s="129"/>
      <c r="N791" s="129"/>
      <c r="O791" s="129"/>
      <c r="P791" s="129"/>
      <c r="Q791" s="129"/>
      <c r="R791" s="129"/>
      <c r="S791" s="129"/>
      <c r="T791" s="129"/>
      <c r="U791" s="129"/>
      <c r="V791" s="129"/>
      <c r="W791" s="129"/>
      <c r="X791" s="129"/>
      <c r="Y791" s="129"/>
      <c r="Z791" s="129"/>
    </row>
    <row r="792" ht="15.75" customHeight="1">
      <c r="A792" s="129"/>
      <c r="B792" s="129"/>
      <c r="C792" s="129"/>
      <c r="D792" s="129"/>
      <c r="E792" s="129"/>
      <c r="F792" s="129"/>
      <c r="G792" s="129"/>
      <c r="H792" s="129"/>
      <c r="I792" s="129"/>
      <c r="J792" s="129"/>
      <c r="K792" s="129"/>
      <c r="L792" s="129"/>
      <c r="M792" s="129"/>
      <c r="N792" s="129"/>
      <c r="O792" s="129"/>
      <c r="P792" s="129"/>
      <c r="Q792" s="129"/>
      <c r="R792" s="129"/>
      <c r="S792" s="129"/>
      <c r="T792" s="129"/>
      <c r="U792" s="129"/>
      <c r="V792" s="129"/>
      <c r="W792" s="129"/>
      <c r="X792" s="129"/>
      <c r="Y792" s="129"/>
      <c r="Z792" s="129"/>
    </row>
    <row r="793" ht="15.75" customHeight="1">
      <c r="A793" s="129"/>
      <c r="B793" s="129"/>
      <c r="C793" s="129"/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29"/>
      <c r="O793" s="129"/>
      <c r="P793" s="129"/>
      <c r="Q793" s="129"/>
      <c r="R793" s="129"/>
      <c r="S793" s="129"/>
      <c r="T793" s="129"/>
      <c r="U793" s="129"/>
      <c r="V793" s="129"/>
      <c r="W793" s="129"/>
      <c r="X793" s="129"/>
      <c r="Y793" s="129"/>
      <c r="Z793" s="129"/>
    </row>
    <row r="794" ht="15.75" customHeight="1">
      <c r="A794" s="129"/>
      <c r="B794" s="129"/>
      <c r="C794" s="129"/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29"/>
      <c r="O794" s="129"/>
      <c r="P794" s="129"/>
      <c r="Q794" s="129"/>
      <c r="R794" s="129"/>
      <c r="S794" s="129"/>
      <c r="T794" s="129"/>
      <c r="U794" s="129"/>
      <c r="V794" s="129"/>
      <c r="W794" s="129"/>
      <c r="X794" s="129"/>
      <c r="Y794" s="129"/>
      <c r="Z794" s="129"/>
    </row>
    <row r="795" ht="15.75" customHeight="1">
      <c r="A795" s="129"/>
      <c r="B795" s="129"/>
      <c r="C795" s="129"/>
      <c r="D795" s="129"/>
      <c r="E795" s="129"/>
      <c r="F795" s="129"/>
      <c r="G795" s="129"/>
      <c r="H795" s="129"/>
      <c r="I795" s="129"/>
      <c r="J795" s="129"/>
      <c r="K795" s="129"/>
      <c r="L795" s="129"/>
      <c r="M795" s="129"/>
      <c r="N795" s="129"/>
      <c r="O795" s="129"/>
      <c r="P795" s="129"/>
      <c r="Q795" s="129"/>
      <c r="R795" s="129"/>
      <c r="S795" s="129"/>
      <c r="T795" s="129"/>
      <c r="U795" s="129"/>
      <c r="V795" s="129"/>
      <c r="W795" s="129"/>
      <c r="X795" s="129"/>
      <c r="Y795" s="129"/>
      <c r="Z795" s="129"/>
    </row>
    <row r="796" ht="15.75" customHeight="1">
      <c r="A796" s="129"/>
      <c r="B796" s="129"/>
      <c r="C796" s="129"/>
      <c r="D796" s="129"/>
      <c r="E796" s="129"/>
      <c r="F796" s="129"/>
      <c r="G796" s="129"/>
      <c r="H796" s="129"/>
      <c r="I796" s="129"/>
      <c r="J796" s="129"/>
      <c r="K796" s="129"/>
      <c r="L796" s="129"/>
      <c r="M796" s="129"/>
      <c r="N796" s="129"/>
      <c r="O796" s="129"/>
      <c r="P796" s="129"/>
      <c r="Q796" s="129"/>
      <c r="R796" s="129"/>
      <c r="S796" s="129"/>
      <c r="T796" s="129"/>
      <c r="U796" s="129"/>
      <c r="V796" s="129"/>
      <c r="W796" s="129"/>
      <c r="X796" s="129"/>
      <c r="Y796" s="129"/>
      <c r="Z796" s="129"/>
    </row>
    <row r="797" ht="15.75" customHeight="1">
      <c r="A797" s="129"/>
      <c r="B797" s="129"/>
      <c r="C797" s="129"/>
      <c r="D797" s="129"/>
      <c r="E797" s="129"/>
      <c r="F797" s="129"/>
      <c r="G797" s="129"/>
      <c r="H797" s="129"/>
      <c r="I797" s="129"/>
      <c r="J797" s="129"/>
      <c r="K797" s="129"/>
      <c r="L797" s="129"/>
      <c r="M797" s="129"/>
      <c r="N797" s="129"/>
      <c r="O797" s="129"/>
      <c r="P797" s="129"/>
      <c r="Q797" s="129"/>
      <c r="R797" s="129"/>
      <c r="S797" s="129"/>
      <c r="T797" s="129"/>
      <c r="U797" s="129"/>
      <c r="V797" s="129"/>
      <c r="W797" s="129"/>
      <c r="X797" s="129"/>
      <c r="Y797" s="129"/>
      <c r="Z797" s="129"/>
    </row>
    <row r="798" ht="15.75" customHeight="1">
      <c r="A798" s="129"/>
      <c r="B798" s="129"/>
      <c r="C798" s="129"/>
      <c r="D798" s="129"/>
      <c r="E798" s="129"/>
      <c r="F798" s="129"/>
      <c r="G798" s="129"/>
      <c r="H798" s="129"/>
      <c r="I798" s="129"/>
      <c r="J798" s="129"/>
      <c r="K798" s="129"/>
      <c r="L798" s="129"/>
      <c r="M798" s="129"/>
      <c r="N798" s="129"/>
      <c r="O798" s="129"/>
      <c r="P798" s="129"/>
      <c r="Q798" s="129"/>
      <c r="R798" s="129"/>
      <c r="S798" s="129"/>
      <c r="T798" s="129"/>
      <c r="U798" s="129"/>
      <c r="V798" s="129"/>
      <c r="W798" s="129"/>
      <c r="X798" s="129"/>
      <c r="Y798" s="129"/>
      <c r="Z798" s="129"/>
    </row>
    <row r="799" ht="15.75" customHeight="1">
      <c r="A799" s="129"/>
      <c r="B799" s="129"/>
      <c r="C799" s="129"/>
      <c r="D799" s="129"/>
      <c r="E799" s="129"/>
      <c r="F799" s="129"/>
      <c r="G799" s="129"/>
      <c r="H799" s="129"/>
      <c r="I799" s="129"/>
      <c r="J799" s="129"/>
      <c r="K799" s="129"/>
      <c r="L799" s="129"/>
      <c r="M799" s="129"/>
      <c r="N799" s="129"/>
      <c r="O799" s="129"/>
      <c r="P799" s="129"/>
      <c r="Q799" s="129"/>
      <c r="R799" s="129"/>
      <c r="S799" s="129"/>
      <c r="T799" s="129"/>
      <c r="U799" s="129"/>
      <c r="V799" s="129"/>
      <c r="W799" s="129"/>
      <c r="X799" s="129"/>
      <c r="Y799" s="129"/>
      <c r="Z799" s="129"/>
    </row>
    <row r="800" ht="15.75" customHeight="1">
      <c r="A800" s="129"/>
      <c r="B800" s="129"/>
      <c r="C800" s="129"/>
      <c r="D800" s="129"/>
      <c r="E800" s="129"/>
      <c r="F800" s="129"/>
      <c r="G800" s="129"/>
      <c r="H800" s="129"/>
      <c r="I800" s="129"/>
      <c r="J800" s="129"/>
      <c r="K800" s="129"/>
      <c r="L800" s="129"/>
      <c r="M800" s="129"/>
      <c r="N800" s="129"/>
      <c r="O800" s="129"/>
      <c r="P800" s="129"/>
      <c r="Q800" s="129"/>
      <c r="R800" s="129"/>
      <c r="S800" s="129"/>
      <c r="T800" s="129"/>
      <c r="U800" s="129"/>
      <c r="V800" s="129"/>
      <c r="W800" s="129"/>
      <c r="X800" s="129"/>
      <c r="Y800" s="129"/>
      <c r="Z800" s="129"/>
    </row>
    <row r="801" ht="15.75" customHeight="1">
      <c r="A801" s="129"/>
      <c r="B801" s="129"/>
      <c r="C801" s="129"/>
      <c r="D801" s="129"/>
      <c r="E801" s="129"/>
      <c r="F801" s="129"/>
      <c r="G801" s="129"/>
      <c r="H801" s="129"/>
      <c r="I801" s="129"/>
      <c r="J801" s="129"/>
      <c r="K801" s="129"/>
      <c r="L801" s="129"/>
      <c r="M801" s="129"/>
      <c r="N801" s="129"/>
      <c r="O801" s="129"/>
      <c r="P801" s="129"/>
      <c r="Q801" s="129"/>
      <c r="R801" s="129"/>
      <c r="S801" s="129"/>
      <c r="T801" s="129"/>
      <c r="U801" s="129"/>
      <c r="V801" s="129"/>
      <c r="W801" s="129"/>
      <c r="X801" s="129"/>
      <c r="Y801" s="129"/>
      <c r="Z801" s="129"/>
    </row>
    <row r="802" ht="15.75" customHeight="1">
      <c r="A802" s="129"/>
      <c r="B802" s="129"/>
      <c r="C802" s="129"/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29"/>
      <c r="O802" s="129"/>
      <c r="P802" s="129"/>
      <c r="Q802" s="129"/>
      <c r="R802" s="129"/>
      <c r="S802" s="129"/>
      <c r="T802" s="129"/>
      <c r="U802" s="129"/>
      <c r="V802" s="129"/>
      <c r="W802" s="129"/>
      <c r="X802" s="129"/>
      <c r="Y802" s="129"/>
      <c r="Z802" s="129"/>
    </row>
    <row r="803" ht="15.75" customHeight="1">
      <c r="A803" s="129"/>
      <c r="B803" s="129"/>
      <c r="C803" s="129"/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29"/>
      <c r="O803" s="129"/>
      <c r="P803" s="129"/>
      <c r="Q803" s="129"/>
      <c r="R803" s="129"/>
      <c r="S803" s="129"/>
      <c r="T803" s="129"/>
      <c r="U803" s="129"/>
      <c r="V803" s="129"/>
      <c r="W803" s="129"/>
      <c r="X803" s="129"/>
      <c r="Y803" s="129"/>
      <c r="Z803" s="129"/>
    </row>
    <row r="804" ht="15.75" customHeight="1">
      <c r="A804" s="129"/>
      <c r="B804" s="129"/>
      <c r="C804" s="129"/>
      <c r="D804" s="129"/>
      <c r="E804" s="129"/>
      <c r="F804" s="129"/>
      <c r="G804" s="129"/>
      <c r="H804" s="129"/>
      <c r="I804" s="129"/>
      <c r="J804" s="129"/>
      <c r="K804" s="129"/>
      <c r="L804" s="129"/>
      <c r="M804" s="129"/>
      <c r="N804" s="129"/>
      <c r="O804" s="129"/>
      <c r="P804" s="129"/>
      <c r="Q804" s="129"/>
      <c r="R804" s="129"/>
      <c r="S804" s="129"/>
      <c r="T804" s="129"/>
      <c r="U804" s="129"/>
      <c r="V804" s="129"/>
      <c r="W804" s="129"/>
      <c r="X804" s="129"/>
      <c r="Y804" s="129"/>
      <c r="Z804" s="129"/>
    </row>
    <row r="805" ht="15.75" customHeight="1">
      <c r="A805" s="129"/>
      <c r="B805" s="129"/>
      <c r="C805" s="129"/>
      <c r="D805" s="129"/>
      <c r="E805" s="129"/>
      <c r="F805" s="129"/>
      <c r="G805" s="129"/>
      <c r="H805" s="129"/>
      <c r="I805" s="129"/>
      <c r="J805" s="129"/>
      <c r="K805" s="129"/>
      <c r="L805" s="129"/>
      <c r="M805" s="129"/>
      <c r="N805" s="129"/>
      <c r="O805" s="129"/>
      <c r="P805" s="129"/>
      <c r="Q805" s="129"/>
      <c r="R805" s="129"/>
      <c r="S805" s="129"/>
      <c r="T805" s="129"/>
      <c r="U805" s="129"/>
      <c r="V805" s="129"/>
      <c r="W805" s="129"/>
      <c r="X805" s="129"/>
      <c r="Y805" s="129"/>
      <c r="Z805" s="129"/>
    </row>
    <row r="806" ht="15.75" customHeight="1">
      <c r="A806" s="129"/>
      <c r="B806" s="129"/>
      <c r="C806" s="129"/>
      <c r="D806" s="129"/>
      <c r="E806" s="129"/>
      <c r="F806" s="129"/>
      <c r="G806" s="129"/>
      <c r="H806" s="129"/>
      <c r="I806" s="129"/>
      <c r="J806" s="129"/>
      <c r="K806" s="129"/>
      <c r="L806" s="129"/>
      <c r="M806" s="129"/>
      <c r="N806" s="129"/>
      <c r="O806" s="129"/>
      <c r="P806" s="129"/>
      <c r="Q806" s="129"/>
      <c r="R806" s="129"/>
      <c r="S806" s="129"/>
      <c r="T806" s="129"/>
      <c r="U806" s="129"/>
      <c r="V806" s="129"/>
      <c r="W806" s="129"/>
      <c r="X806" s="129"/>
      <c r="Y806" s="129"/>
      <c r="Z806" s="129"/>
    </row>
    <row r="807" ht="15.75" customHeight="1">
      <c r="A807" s="129"/>
      <c r="B807" s="129"/>
      <c r="C807" s="129"/>
      <c r="D807" s="129"/>
      <c r="E807" s="129"/>
      <c r="F807" s="129"/>
      <c r="G807" s="129"/>
      <c r="H807" s="129"/>
      <c r="I807" s="129"/>
      <c r="J807" s="129"/>
      <c r="K807" s="129"/>
      <c r="L807" s="129"/>
      <c r="M807" s="129"/>
      <c r="N807" s="129"/>
      <c r="O807" s="129"/>
      <c r="P807" s="129"/>
      <c r="Q807" s="129"/>
      <c r="R807" s="129"/>
      <c r="S807" s="129"/>
      <c r="T807" s="129"/>
      <c r="U807" s="129"/>
      <c r="V807" s="129"/>
      <c r="W807" s="129"/>
      <c r="X807" s="129"/>
      <c r="Y807" s="129"/>
      <c r="Z807" s="129"/>
    </row>
    <row r="808" ht="15.75" customHeight="1">
      <c r="A808" s="129"/>
      <c r="B808" s="129"/>
      <c r="C808" s="129"/>
      <c r="D808" s="129"/>
      <c r="E808" s="129"/>
      <c r="F808" s="129"/>
      <c r="G808" s="129"/>
      <c r="H808" s="129"/>
      <c r="I808" s="129"/>
      <c r="J808" s="129"/>
      <c r="K808" s="129"/>
      <c r="L808" s="129"/>
      <c r="M808" s="129"/>
      <c r="N808" s="129"/>
      <c r="O808" s="129"/>
      <c r="P808" s="129"/>
      <c r="Q808" s="129"/>
      <c r="R808" s="129"/>
      <c r="S808" s="129"/>
      <c r="T808" s="129"/>
      <c r="U808" s="129"/>
      <c r="V808" s="129"/>
      <c r="W808" s="129"/>
      <c r="X808" s="129"/>
      <c r="Y808" s="129"/>
      <c r="Z808" s="129"/>
    </row>
    <row r="809" ht="15.75" customHeight="1">
      <c r="A809" s="129"/>
      <c r="B809" s="129"/>
      <c r="C809" s="129"/>
      <c r="D809" s="129"/>
      <c r="E809" s="129"/>
      <c r="F809" s="129"/>
      <c r="G809" s="129"/>
      <c r="H809" s="129"/>
      <c r="I809" s="129"/>
      <c r="J809" s="129"/>
      <c r="K809" s="129"/>
      <c r="L809" s="129"/>
      <c r="M809" s="129"/>
      <c r="N809" s="129"/>
      <c r="O809" s="129"/>
      <c r="P809" s="129"/>
      <c r="Q809" s="129"/>
      <c r="R809" s="129"/>
      <c r="S809" s="129"/>
      <c r="T809" s="129"/>
      <c r="U809" s="129"/>
      <c r="V809" s="129"/>
      <c r="W809" s="129"/>
      <c r="X809" s="129"/>
      <c r="Y809" s="129"/>
      <c r="Z809" s="129"/>
    </row>
    <row r="810" ht="15.75" customHeight="1">
      <c r="A810" s="129"/>
      <c r="B810" s="129"/>
      <c r="C810" s="129"/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29"/>
      <c r="O810" s="129"/>
      <c r="P810" s="129"/>
      <c r="Q810" s="129"/>
      <c r="R810" s="129"/>
      <c r="S810" s="129"/>
      <c r="T810" s="129"/>
      <c r="U810" s="129"/>
      <c r="V810" s="129"/>
      <c r="W810" s="129"/>
      <c r="X810" s="129"/>
      <c r="Y810" s="129"/>
      <c r="Z810" s="129"/>
    </row>
    <row r="811" ht="15.75" customHeight="1">
      <c r="A811" s="129"/>
      <c r="B811" s="129"/>
      <c r="C811" s="129"/>
      <c r="D811" s="129"/>
      <c r="E811" s="129"/>
      <c r="F811" s="129"/>
      <c r="G811" s="129"/>
      <c r="H811" s="129"/>
      <c r="I811" s="129"/>
      <c r="J811" s="129"/>
      <c r="K811" s="129"/>
      <c r="L811" s="129"/>
      <c r="M811" s="129"/>
      <c r="N811" s="129"/>
      <c r="O811" s="129"/>
      <c r="P811" s="129"/>
      <c r="Q811" s="129"/>
      <c r="R811" s="129"/>
      <c r="S811" s="129"/>
      <c r="T811" s="129"/>
      <c r="U811" s="129"/>
      <c r="V811" s="129"/>
      <c r="W811" s="129"/>
      <c r="X811" s="129"/>
      <c r="Y811" s="129"/>
      <c r="Z811" s="129"/>
    </row>
    <row r="812" ht="15.75" customHeight="1">
      <c r="A812" s="129"/>
      <c r="B812" s="129"/>
      <c r="C812" s="129"/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29"/>
      <c r="O812" s="129"/>
      <c r="P812" s="129"/>
      <c r="Q812" s="129"/>
      <c r="R812" s="129"/>
      <c r="S812" s="129"/>
      <c r="T812" s="129"/>
      <c r="U812" s="129"/>
      <c r="V812" s="129"/>
      <c r="W812" s="129"/>
      <c r="X812" s="129"/>
      <c r="Y812" s="129"/>
      <c r="Z812" s="129"/>
    </row>
    <row r="813" ht="15.75" customHeight="1">
      <c r="A813" s="129"/>
      <c r="B813" s="129"/>
      <c r="C813" s="129"/>
      <c r="D813" s="129"/>
      <c r="E813" s="129"/>
      <c r="F813" s="129"/>
      <c r="G813" s="129"/>
      <c r="H813" s="129"/>
      <c r="I813" s="129"/>
      <c r="J813" s="129"/>
      <c r="K813" s="129"/>
      <c r="L813" s="129"/>
      <c r="M813" s="129"/>
      <c r="N813" s="129"/>
      <c r="O813" s="129"/>
      <c r="P813" s="129"/>
      <c r="Q813" s="129"/>
      <c r="R813" s="129"/>
      <c r="S813" s="129"/>
      <c r="T813" s="129"/>
      <c r="U813" s="129"/>
      <c r="V813" s="129"/>
      <c r="W813" s="129"/>
      <c r="X813" s="129"/>
      <c r="Y813" s="129"/>
      <c r="Z813" s="129"/>
    </row>
    <row r="814" ht="15.75" customHeight="1">
      <c r="A814" s="129"/>
      <c r="B814" s="129"/>
      <c r="C814" s="129"/>
      <c r="D814" s="129"/>
      <c r="E814" s="129"/>
      <c r="F814" s="129"/>
      <c r="G814" s="129"/>
      <c r="H814" s="129"/>
      <c r="I814" s="129"/>
      <c r="J814" s="129"/>
      <c r="K814" s="129"/>
      <c r="L814" s="129"/>
      <c r="M814" s="129"/>
      <c r="N814" s="129"/>
      <c r="O814" s="129"/>
      <c r="P814" s="129"/>
      <c r="Q814" s="129"/>
      <c r="R814" s="129"/>
      <c r="S814" s="129"/>
      <c r="T814" s="129"/>
      <c r="U814" s="129"/>
      <c r="V814" s="129"/>
      <c r="W814" s="129"/>
      <c r="X814" s="129"/>
      <c r="Y814" s="129"/>
      <c r="Z814" s="129"/>
    </row>
    <row r="815" ht="15.75" customHeight="1">
      <c r="A815" s="129"/>
      <c r="B815" s="129"/>
      <c r="C815" s="129"/>
      <c r="D815" s="129"/>
      <c r="E815" s="129"/>
      <c r="F815" s="129"/>
      <c r="G815" s="129"/>
      <c r="H815" s="129"/>
      <c r="I815" s="129"/>
      <c r="J815" s="129"/>
      <c r="K815" s="129"/>
      <c r="L815" s="129"/>
      <c r="M815" s="129"/>
      <c r="N815" s="129"/>
      <c r="O815" s="129"/>
      <c r="P815" s="129"/>
      <c r="Q815" s="129"/>
      <c r="R815" s="129"/>
      <c r="S815" s="129"/>
      <c r="T815" s="129"/>
      <c r="U815" s="129"/>
      <c r="V815" s="129"/>
      <c r="W815" s="129"/>
      <c r="X815" s="129"/>
      <c r="Y815" s="129"/>
      <c r="Z815" s="129"/>
    </row>
    <row r="816" ht="15.75" customHeight="1">
      <c r="A816" s="129"/>
      <c r="B816" s="129"/>
      <c r="C816" s="129"/>
      <c r="D816" s="129"/>
      <c r="E816" s="129"/>
      <c r="F816" s="129"/>
      <c r="G816" s="129"/>
      <c r="H816" s="129"/>
      <c r="I816" s="129"/>
      <c r="J816" s="129"/>
      <c r="K816" s="129"/>
      <c r="L816" s="129"/>
      <c r="M816" s="129"/>
      <c r="N816" s="129"/>
      <c r="O816" s="129"/>
      <c r="P816" s="129"/>
      <c r="Q816" s="129"/>
      <c r="R816" s="129"/>
      <c r="S816" s="129"/>
      <c r="T816" s="129"/>
      <c r="U816" s="129"/>
      <c r="V816" s="129"/>
      <c r="W816" s="129"/>
      <c r="X816" s="129"/>
      <c r="Y816" s="129"/>
      <c r="Z816" s="129"/>
    </row>
    <row r="817" ht="15.75" customHeight="1">
      <c r="A817" s="129"/>
      <c r="B817" s="129"/>
      <c r="C817" s="129"/>
      <c r="D817" s="129"/>
      <c r="E817" s="129"/>
      <c r="F817" s="129"/>
      <c r="G817" s="129"/>
      <c r="H817" s="129"/>
      <c r="I817" s="129"/>
      <c r="J817" s="129"/>
      <c r="K817" s="129"/>
      <c r="L817" s="129"/>
      <c r="M817" s="129"/>
      <c r="N817" s="129"/>
      <c r="O817" s="129"/>
      <c r="P817" s="129"/>
      <c r="Q817" s="129"/>
      <c r="R817" s="129"/>
      <c r="S817" s="129"/>
      <c r="T817" s="129"/>
      <c r="U817" s="129"/>
      <c r="V817" s="129"/>
      <c r="W817" s="129"/>
      <c r="X817" s="129"/>
      <c r="Y817" s="129"/>
      <c r="Z817" s="129"/>
    </row>
    <row r="818" ht="15.75" customHeight="1">
      <c r="A818" s="129"/>
      <c r="B818" s="129"/>
      <c r="C818" s="129"/>
      <c r="D818" s="129"/>
      <c r="E818" s="129"/>
      <c r="F818" s="129"/>
      <c r="G818" s="129"/>
      <c r="H818" s="129"/>
      <c r="I818" s="129"/>
      <c r="J818" s="129"/>
      <c r="K818" s="129"/>
      <c r="L818" s="129"/>
      <c r="M818" s="129"/>
      <c r="N818" s="129"/>
      <c r="O818" s="129"/>
      <c r="P818" s="129"/>
      <c r="Q818" s="129"/>
      <c r="R818" s="129"/>
      <c r="S818" s="129"/>
      <c r="T818" s="129"/>
      <c r="U818" s="129"/>
      <c r="V818" s="129"/>
      <c r="W818" s="129"/>
      <c r="X818" s="129"/>
      <c r="Y818" s="129"/>
      <c r="Z818" s="129"/>
    </row>
    <row r="819" ht="15.75" customHeight="1">
      <c r="A819" s="129"/>
      <c r="B819" s="129"/>
      <c r="C819" s="129"/>
      <c r="D819" s="129"/>
      <c r="E819" s="129"/>
      <c r="F819" s="129"/>
      <c r="G819" s="129"/>
      <c r="H819" s="129"/>
      <c r="I819" s="129"/>
      <c r="J819" s="129"/>
      <c r="K819" s="129"/>
      <c r="L819" s="129"/>
      <c r="M819" s="129"/>
      <c r="N819" s="129"/>
      <c r="O819" s="129"/>
      <c r="P819" s="129"/>
      <c r="Q819" s="129"/>
      <c r="R819" s="129"/>
      <c r="S819" s="129"/>
      <c r="T819" s="129"/>
      <c r="U819" s="129"/>
      <c r="V819" s="129"/>
      <c r="W819" s="129"/>
      <c r="X819" s="129"/>
      <c r="Y819" s="129"/>
      <c r="Z819" s="129"/>
    </row>
    <row r="820" ht="15.75" customHeight="1">
      <c r="A820" s="129"/>
      <c r="B820" s="129"/>
      <c r="C820" s="129"/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29"/>
      <c r="O820" s="129"/>
      <c r="P820" s="129"/>
      <c r="Q820" s="129"/>
      <c r="R820" s="129"/>
      <c r="S820" s="129"/>
      <c r="T820" s="129"/>
      <c r="U820" s="129"/>
      <c r="V820" s="129"/>
      <c r="W820" s="129"/>
      <c r="X820" s="129"/>
      <c r="Y820" s="129"/>
      <c r="Z820" s="129"/>
    </row>
    <row r="821" ht="15.75" customHeight="1">
      <c r="A821" s="129"/>
      <c r="B821" s="129"/>
      <c r="C821" s="129"/>
      <c r="D821" s="129"/>
      <c r="E821" s="129"/>
      <c r="F821" s="129"/>
      <c r="G821" s="129"/>
      <c r="H821" s="129"/>
      <c r="I821" s="129"/>
      <c r="J821" s="129"/>
      <c r="K821" s="129"/>
      <c r="L821" s="129"/>
      <c r="M821" s="129"/>
      <c r="N821" s="129"/>
      <c r="O821" s="129"/>
      <c r="P821" s="129"/>
      <c r="Q821" s="129"/>
      <c r="R821" s="129"/>
      <c r="S821" s="129"/>
      <c r="T821" s="129"/>
      <c r="U821" s="129"/>
      <c r="V821" s="129"/>
      <c r="W821" s="129"/>
      <c r="X821" s="129"/>
      <c r="Y821" s="129"/>
      <c r="Z821" s="129"/>
    </row>
    <row r="822" ht="15.75" customHeight="1">
      <c r="A822" s="129"/>
      <c r="B822" s="129"/>
      <c r="C822" s="129"/>
      <c r="D822" s="129"/>
      <c r="E822" s="129"/>
      <c r="F822" s="129"/>
      <c r="G822" s="129"/>
      <c r="H822" s="129"/>
      <c r="I822" s="129"/>
      <c r="J822" s="129"/>
      <c r="K822" s="129"/>
      <c r="L822" s="129"/>
      <c r="M822" s="129"/>
      <c r="N822" s="129"/>
      <c r="O822" s="129"/>
      <c r="P822" s="129"/>
      <c r="Q822" s="129"/>
      <c r="R822" s="129"/>
      <c r="S822" s="129"/>
      <c r="T822" s="129"/>
      <c r="U822" s="129"/>
      <c r="V822" s="129"/>
      <c r="W822" s="129"/>
      <c r="X822" s="129"/>
      <c r="Y822" s="129"/>
      <c r="Z822" s="129"/>
    </row>
    <row r="823" ht="15.75" customHeight="1">
      <c r="A823" s="129"/>
      <c r="B823" s="129"/>
      <c r="C823" s="129"/>
      <c r="D823" s="129"/>
      <c r="E823" s="129"/>
      <c r="F823" s="129"/>
      <c r="G823" s="129"/>
      <c r="H823" s="129"/>
      <c r="I823" s="129"/>
      <c r="J823" s="129"/>
      <c r="K823" s="129"/>
      <c r="L823" s="129"/>
      <c r="M823" s="129"/>
      <c r="N823" s="129"/>
      <c r="O823" s="129"/>
      <c r="P823" s="129"/>
      <c r="Q823" s="129"/>
      <c r="R823" s="129"/>
      <c r="S823" s="129"/>
      <c r="T823" s="129"/>
      <c r="U823" s="129"/>
      <c r="V823" s="129"/>
      <c r="W823" s="129"/>
      <c r="X823" s="129"/>
      <c r="Y823" s="129"/>
      <c r="Z823" s="129"/>
    </row>
    <row r="824" ht="15.75" customHeight="1">
      <c r="A824" s="129"/>
      <c r="B824" s="129"/>
      <c r="C824" s="129"/>
      <c r="D824" s="129"/>
      <c r="E824" s="129"/>
      <c r="F824" s="129"/>
      <c r="G824" s="129"/>
      <c r="H824" s="129"/>
      <c r="I824" s="129"/>
      <c r="J824" s="129"/>
      <c r="K824" s="129"/>
      <c r="L824" s="129"/>
      <c r="M824" s="129"/>
      <c r="N824" s="129"/>
      <c r="O824" s="129"/>
      <c r="P824" s="129"/>
      <c r="Q824" s="129"/>
      <c r="R824" s="129"/>
      <c r="S824" s="129"/>
      <c r="T824" s="129"/>
      <c r="U824" s="129"/>
      <c r="V824" s="129"/>
      <c r="W824" s="129"/>
      <c r="X824" s="129"/>
      <c r="Y824" s="129"/>
      <c r="Z824" s="129"/>
    </row>
    <row r="825" ht="15.75" customHeight="1">
      <c r="A825" s="129"/>
      <c r="B825" s="129"/>
      <c r="C825" s="129"/>
      <c r="D825" s="129"/>
      <c r="E825" s="129"/>
      <c r="F825" s="129"/>
      <c r="G825" s="129"/>
      <c r="H825" s="129"/>
      <c r="I825" s="129"/>
      <c r="J825" s="129"/>
      <c r="K825" s="129"/>
      <c r="L825" s="129"/>
      <c r="M825" s="129"/>
      <c r="N825" s="129"/>
      <c r="O825" s="129"/>
      <c r="P825" s="129"/>
      <c r="Q825" s="129"/>
      <c r="R825" s="129"/>
      <c r="S825" s="129"/>
      <c r="T825" s="129"/>
      <c r="U825" s="129"/>
      <c r="V825" s="129"/>
      <c r="W825" s="129"/>
      <c r="X825" s="129"/>
      <c r="Y825" s="129"/>
      <c r="Z825" s="129"/>
    </row>
    <row r="826" ht="15.75" customHeight="1">
      <c r="A826" s="129"/>
      <c r="B826" s="129"/>
      <c r="C826" s="129"/>
      <c r="D826" s="129"/>
      <c r="E826" s="129"/>
      <c r="F826" s="129"/>
      <c r="G826" s="129"/>
      <c r="H826" s="129"/>
      <c r="I826" s="129"/>
      <c r="J826" s="129"/>
      <c r="K826" s="129"/>
      <c r="L826" s="129"/>
      <c r="M826" s="129"/>
      <c r="N826" s="129"/>
      <c r="O826" s="129"/>
      <c r="P826" s="129"/>
      <c r="Q826" s="129"/>
      <c r="R826" s="129"/>
      <c r="S826" s="129"/>
      <c r="T826" s="129"/>
      <c r="U826" s="129"/>
      <c r="V826" s="129"/>
      <c r="W826" s="129"/>
      <c r="X826" s="129"/>
      <c r="Y826" s="129"/>
      <c r="Z826" s="129"/>
    </row>
    <row r="827" ht="15.75" customHeight="1">
      <c r="A827" s="129"/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  <c r="O827" s="129"/>
      <c r="P827" s="129"/>
      <c r="Q827" s="129"/>
      <c r="R827" s="129"/>
      <c r="S827" s="129"/>
      <c r="T827" s="129"/>
      <c r="U827" s="129"/>
      <c r="V827" s="129"/>
      <c r="W827" s="129"/>
      <c r="X827" s="129"/>
      <c r="Y827" s="129"/>
      <c r="Z827" s="129"/>
    </row>
    <row r="828" ht="15.75" customHeight="1">
      <c r="A828" s="129"/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  <c r="O828" s="129"/>
      <c r="P828" s="129"/>
      <c r="Q828" s="129"/>
      <c r="R828" s="129"/>
      <c r="S828" s="129"/>
      <c r="T828" s="129"/>
      <c r="U828" s="129"/>
      <c r="V828" s="129"/>
      <c r="W828" s="129"/>
      <c r="X828" s="129"/>
      <c r="Y828" s="129"/>
      <c r="Z828" s="129"/>
    </row>
    <row r="829" ht="15.75" customHeight="1">
      <c r="A829" s="129"/>
      <c r="B829" s="129"/>
      <c r="C829" s="129"/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29"/>
      <c r="O829" s="129"/>
      <c r="P829" s="129"/>
      <c r="Q829" s="129"/>
      <c r="R829" s="129"/>
      <c r="S829" s="129"/>
      <c r="T829" s="129"/>
      <c r="U829" s="129"/>
      <c r="V829" s="129"/>
      <c r="W829" s="129"/>
      <c r="X829" s="129"/>
      <c r="Y829" s="129"/>
      <c r="Z829" s="129"/>
    </row>
    <row r="830" ht="15.75" customHeight="1">
      <c r="A830" s="129"/>
      <c r="B830" s="129"/>
      <c r="C830" s="129"/>
      <c r="D830" s="129"/>
      <c r="E830" s="129"/>
      <c r="F830" s="129"/>
      <c r="G830" s="129"/>
      <c r="H830" s="129"/>
      <c r="I830" s="129"/>
      <c r="J830" s="129"/>
      <c r="K830" s="129"/>
      <c r="L830" s="129"/>
      <c r="M830" s="129"/>
      <c r="N830" s="129"/>
      <c r="O830" s="129"/>
      <c r="P830" s="129"/>
      <c r="Q830" s="129"/>
      <c r="R830" s="129"/>
      <c r="S830" s="129"/>
      <c r="T830" s="129"/>
      <c r="U830" s="129"/>
      <c r="V830" s="129"/>
      <c r="W830" s="129"/>
      <c r="X830" s="129"/>
      <c r="Y830" s="129"/>
      <c r="Z830" s="129"/>
    </row>
    <row r="831" ht="15.75" customHeight="1">
      <c r="A831" s="129"/>
      <c r="B831" s="129"/>
      <c r="C831" s="129"/>
      <c r="D831" s="129"/>
      <c r="E831" s="129"/>
      <c r="F831" s="129"/>
      <c r="G831" s="129"/>
      <c r="H831" s="129"/>
      <c r="I831" s="129"/>
      <c r="J831" s="129"/>
      <c r="K831" s="129"/>
      <c r="L831" s="129"/>
      <c r="M831" s="129"/>
      <c r="N831" s="129"/>
      <c r="O831" s="129"/>
      <c r="P831" s="129"/>
      <c r="Q831" s="129"/>
      <c r="R831" s="129"/>
      <c r="S831" s="129"/>
      <c r="T831" s="129"/>
      <c r="U831" s="129"/>
      <c r="V831" s="129"/>
      <c r="W831" s="129"/>
      <c r="X831" s="129"/>
      <c r="Y831" s="129"/>
      <c r="Z831" s="129"/>
    </row>
    <row r="832" ht="15.75" customHeight="1">
      <c r="A832" s="129"/>
      <c r="B832" s="129"/>
      <c r="C832" s="129"/>
      <c r="D832" s="129"/>
      <c r="E832" s="129"/>
      <c r="F832" s="129"/>
      <c r="G832" s="129"/>
      <c r="H832" s="129"/>
      <c r="I832" s="129"/>
      <c r="J832" s="129"/>
      <c r="K832" s="129"/>
      <c r="L832" s="129"/>
      <c r="M832" s="129"/>
      <c r="N832" s="129"/>
      <c r="O832" s="129"/>
      <c r="P832" s="129"/>
      <c r="Q832" s="129"/>
      <c r="R832" s="129"/>
      <c r="S832" s="129"/>
      <c r="T832" s="129"/>
      <c r="U832" s="129"/>
      <c r="V832" s="129"/>
      <c r="W832" s="129"/>
      <c r="X832" s="129"/>
      <c r="Y832" s="129"/>
      <c r="Z832" s="129"/>
    </row>
    <row r="833" ht="15.75" customHeight="1">
      <c r="A833" s="129"/>
      <c r="B833" s="129"/>
      <c r="C833" s="129"/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  <c r="O833" s="129"/>
      <c r="P833" s="129"/>
      <c r="Q833" s="129"/>
      <c r="R833" s="129"/>
      <c r="S833" s="129"/>
      <c r="T833" s="129"/>
      <c r="U833" s="129"/>
      <c r="V833" s="129"/>
      <c r="W833" s="129"/>
      <c r="X833" s="129"/>
      <c r="Y833" s="129"/>
      <c r="Z833" s="129"/>
    </row>
    <row r="834" ht="15.75" customHeight="1">
      <c r="A834" s="129"/>
      <c r="B834" s="129"/>
      <c r="C834" s="129"/>
      <c r="D834" s="129"/>
      <c r="E834" s="129"/>
      <c r="F834" s="129"/>
      <c r="G834" s="129"/>
      <c r="H834" s="129"/>
      <c r="I834" s="129"/>
      <c r="J834" s="129"/>
      <c r="K834" s="129"/>
      <c r="L834" s="129"/>
      <c r="M834" s="129"/>
      <c r="N834" s="129"/>
      <c r="O834" s="129"/>
      <c r="P834" s="129"/>
      <c r="Q834" s="129"/>
      <c r="R834" s="129"/>
      <c r="S834" s="129"/>
      <c r="T834" s="129"/>
      <c r="U834" s="129"/>
      <c r="V834" s="129"/>
      <c r="W834" s="129"/>
      <c r="X834" s="129"/>
      <c r="Y834" s="129"/>
      <c r="Z834" s="129"/>
    </row>
    <row r="835" ht="15.75" customHeight="1">
      <c r="A835" s="129"/>
      <c r="B835" s="129"/>
      <c r="C835" s="129"/>
      <c r="D835" s="129"/>
      <c r="E835" s="129"/>
      <c r="F835" s="129"/>
      <c r="G835" s="129"/>
      <c r="H835" s="129"/>
      <c r="I835" s="129"/>
      <c r="J835" s="129"/>
      <c r="K835" s="129"/>
      <c r="L835" s="129"/>
      <c r="M835" s="129"/>
      <c r="N835" s="129"/>
      <c r="O835" s="129"/>
      <c r="P835" s="129"/>
      <c r="Q835" s="129"/>
      <c r="R835" s="129"/>
      <c r="S835" s="129"/>
      <c r="T835" s="129"/>
      <c r="U835" s="129"/>
      <c r="V835" s="129"/>
      <c r="W835" s="129"/>
      <c r="X835" s="129"/>
      <c r="Y835" s="129"/>
      <c r="Z835" s="129"/>
    </row>
    <row r="836" ht="15.75" customHeight="1">
      <c r="A836" s="129"/>
      <c r="B836" s="129"/>
      <c r="C836" s="129"/>
      <c r="D836" s="129"/>
      <c r="E836" s="129"/>
      <c r="F836" s="129"/>
      <c r="G836" s="129"/>
      <c r="H836" s="129"/>
      <c r="I836" s="129"/>
      <c r="J836" s="129"/>
      <c r="K836" s="129"/>
      <c r="L836" s="129"/>
      <c r="M836" s="129"/>
      <c r="N836" s="129"/>
      <c r="O836" s="129"/>
      <c r="P836" s="129"/>
      <c r="Q836" s="129"/>
      <c r="R836" s="129"/>
      <c r="S836" s="129"/>
      <c r="T836" s="129"/>
      <c r="U836" s="129"/>
      <c r="V836" s="129"/>
      <c r="W836" s="129"/>
      <c r="X836" s="129"/>
      <c r="Y836" s="129"/>
      <c r="Z836" s="129"/>
    </row>
    <row r="837" ht="15.75" customHeight="1">
      <c r="A837" s="129"/>
      <c r="B837" s="129"/>
      <c r="C837" s="129"/>
      <c r="D837" s="129"/>
      <c r="E837" s="129"/>
      <c r="F837" s="129"/>
      <c r="G837" s="129"/>
      <c r="H837" s="129"/>
      <c r="I837" s="129"/>
      <c r="J837" s="129"/>
      <c r="K837" s="129"/>
      <c r="L837" s="129"/>
      <c r="M837" s="129"/>
      <c r="N837" s="129"/>
      <c r="O837" s="129"/>
      <c r="P837" s="129"/>
      <c r="Q837" s="129"/>
      <c r="R837" s="129"/>
      <c r="S837" s="129"/>
      <c r="T837" s="129"/>
      <c r="U837" s="129"/>
      <c r="V837" s="129"/>
      <c r="W837" s="129"/>
      <c r="X837" s="129"/>
      <c r="Y837" s="129"/>
      <c r="Z837" s="129"/>
    </row>
    <row r="838" ht="15.75" customHeight="1">
      <c r="A838" s="129"/>
      <c r="B838" s="129"/>
      <c r="C838" s="129"/>
      <c r="D838" s="129"/>
      <c r="E838" s="129"/>
      <c r="F838" s="129"/>
      <c r="G838" s="129"/>
      <c r="H838" s="129"/>
      <c r="I838" s="129"/>
      <c r="J838" s="129"/>
      <c r="K838" s="129"/>
      <c r="L838" s="129"/>
      <c r="M838" s="129"/>
      <c r="N838" s="129"/>
      <c r="O838" s="129"/>
      <c r="P838" s="129"/>
      <c r="Q838" s="129"/>
      <c r="R838" s="129"/>
      <c r="S838" s="129"/>
      <c r="T838" s="129"/>
      <c r="U838" s="129"/>
      <c r="V838" s="129"/>
      <c r="W838" s="129"/>
      <c r="X838" s="129"/>
      <c r="Y838" s="129"/>
      <c r="Z838" s="129"/>
    </row>
    <row r="839" ht="15.75" customHeight="1">
      <c r="A839" s="129"/>
      <c r="B839" s="129"/>
      <c r="C839" s="129"/>
      <c r="D839" s="129"/>
      <c r="E839" s="129"/>
      <c r="F839" s="129"/>
      <c r="G839" s="129"/>
      <c r="H839" s="129"/>
      <c r="I839" s="129"/>
      <c r="J839" s="129"/>
      <c r="K839" s="129"/>
      <c r="L839" s="129"/>
      <c r="M839" s="129"/>
      <c r="N839" s="129"/>
      <c r="O839" s="129"/>
      <c r="P839" s="129"/>
      <c r="Q839" s="129"/>
      <c r="R839" s="129"/>
      <c r="S839" s="129"/>
      <c r="T839" s="129"/>
      <c r="U839" s="129"/>
      <c r="V839" s="129"/>
      <c r="W839" s="129"/>
      <c r="X839" s="129"/>
      <c r="Y839" s="129"/>
      <c r="Z839" s="129"/>
    </row>
    <row r="840" ht="15.75" customHeight="1">
      <c r="A840" s="129"/>
      <c r="B840" s="129"/>
      <c r="C840" s="129"/>
      <c r="D840" s="129"/>
      <c r="E840" s="129"/>
      <c r="F840" s="129"/>
      <c r="G840" s="129"/>
      <c r="H840" s="129"/>
      <c r="I840" s="129"/>
      <c r="J840" s="129"/>
      <c r="K840" s="129"/>
      <c r="L840" s="129"/>
      <c r="M840" s="129"/>
      <c r="N840" s="129"/>
      <c r="O840" s="129"/>
      <c r="P840" s="129"/>
      <c r="Q840" s="129"/>
      <c r="R840" s="129"/>
      <c r="S840" s="129"/>
      <c r="T840" s="129"/>
      <c r="U840" s="129"/>
      <c r="V840" s="129"/>
      <c r="W840" s="129"/>
      <c r="X840" s="129"/>
      <c r="Y840" s="129"/>
      <c r="Z840" s="129"/>
    </row>
    <row r="841" ht="15.75" customHeight="1">
      <c r="A841" s="129"/>
      <c r="B841" s="129"/>
      <c r="C841" s="129"/>
      <c r="D841" s="129"/>
      <c r="E841" s="129"/>
      <c r="F841" s="129"/>
      <c r="G841" s="129"/>
      <c r="H841" s="129"/>
      <c r="I841" s="129"/>
      <c r="J841" s="129"/>
      <c r="K841" s="129"/>
      <c r="L841" s="129"/>
      <c r="M841" s="129"/>
      <c r="N841" s="129"/>
      <c r="O841" s="129"/>
      <c r="P841" s="129"/>
      <c r="Q841" s="129"/>
      <c r="R841" s="129"/>
      <c r="S841" s="129"/>
      <c r="T841" s="129"/>
      <c r="U841" s="129"/>
      <c r="V841" s="129"/>
      <c r="W841" s="129"/>
      <c r="X841" s="129"/>
      <c r="Y841" s="129"/>
      <c r="Z841" s="129"/>
    </row>
    <row r="842" ht="15.75" customHeight="1">
      <c r="A842" s="129"/>
      <c r="B842" s="129"/>
      <c r="C842" s="129"/>
      <c r="D842" s="129"/>
      <c r="E842" s="129"/>
      <c r="F842" s="129"/>
      <c r="G842" s="129"/>
      <c r="H842" s="129"/>
      <c r="I842" s="129"/>
      <c r="J842" s="129"/>
      <c r="K842" s="129"/>
      <c r="L842" s="129"/>
      <c r="M842" s="129"/>
      <c r="N842" s="129"/>
      <c r="O842" s="129"/>
      <c r="P842" s="129"/>
      <c r="Q842" s="129"/>
      <c r="R842" s="129"/>
      <c r="S842" s="129"/>
      <c r="T842" s="129"/>
      <c r="U842" s="129"/>
      <c r="V842" s="129"/>
      <c r="W842" s="129"/>
      <c r="X842" s="129"/>
      <c r="Y842" s="129"/>
      <c r="Z842" s="129"/>
    </row>
    <row r="843" ht="15.75" customHeight="1">
      <c r="A843" s="129"/>
      <c r="B843" s="129"/>
      <c r="C843" s="129"/>
      <c r="D843" s="129"/>
      <c r="E843" s="129"/>
      <c r="F843" s="129"/>
      <c r="G843" s="129"/>
      <c r="H843" s="129"/>
      <c r="I843" s="129"/>
      <c r="J843" s="129"/>
      <c r="K843" s="129"/>
      <c r="L843" s="129"/>
      <c r="M843" s="129"/>
      <c r="N843" s="129"/>
      <c r="O843" s="129"/>
      <c r="P843" s="129"/>
      <c r="Q843" s="129"/>
      <c r="R843" s="129"/>
      <c r="S843" s="129"/>
      <c r="T843" s="129"/>
      <c r="U843" s="129"/>
      <c r="V843" s="129"/>
      <c r="W843" s="129"/>
      <c r="X843" s="129"/>
      <c r="Y843" s="129"/>
      <c r="Z843" s="129"/>
    </row>
    <row r="844" ht="15.75" customHeight="1">
      <c r="A844" s="129"/>
      <c r="B844" s="129"/>
      <c r="C844" s="129"/>
      <c r="D844" s="129"/>
      <c r="E844" s="129"/>
      <c r="F844" s="129"/>
      <c r="G844" s="129"/>
      <c r="H844" s="129"/>
      <c r="I844" s="129"/>
      <c r="J844" s="129"/>
      <c r="K844" s="129"/>
      <c r="L844" s="129"/>
      <c r="M844" s="129"/>
      <c r="N844" s="129"/>
      <c r="O844" s="129"/>
      <c r="P844" s="129"/>
      <c r="Q844" s="129"/>
      <c r="R844" s="129"/>
      <c r="S844" s="129"/>
      <c r="T844" s="129"/>
      <c r="U844" s="129"/>
      <c r="V844" s="129"/>
      <c r="W844" s="129"/>
      <c r="X844" s="129"/>
      <c r="Y844" s="129"/>
      <c r="Z844" s="129"/>
    </row>
    <row r="845" ht="15.75" customHeight="1">
      <c r="A845" s="129"/>
      <c r="B845" s="129"/>
      <c r="C845" s="129"/>
      <c r="D845" s="129"/>
      <c r="E845" s="129"/>
      <c r="F845" s="129"/>
      <c r="G845" s="129"/>
      <c r="H845" s="129"/>
      <c r="I845" s="129"/>
      <c r="J845" s="129"/>
      <c r="K845" s="129"/>
      <c r="L845" s="129"/>
      <c r="M845" s="129"/>
      <c r="N845" s="129"/>
      <c r="O845" s="129"/>
      <c r="P845" s="129"/>
      <c r="Q845" s="129"/>
      <c r="R845" s="129"/>
      <c r="S845" s="129"/>
      <c r="T845" s="129"/>
      <c r="U845" s="129"/>
      <c r="V845" s="129"/>
      <c r="W845" s="129"/>
      <c r="X845" s="129"/>
      <c r="Y845" s="129"/>
      <c r="Z845" s="129"/>
    </row>
    <row r="846" ht="15.75" customHeight="1">
      <c r="A846" s="129"/>
      <c r="B846" s="129"/>
      <c r="C846" s="129"/>
      <c r="D846" s="129"/>
      <c r="E846" s="129"/>
      <c r="F846" s="129"/>
      <c r="G846" s="129"/>
      <c r="H846" s="129"/>
      <c r="I846" s="129"/>
      <c r="J846" s="129"/>
      <c r="K846" s="129"/>
      <c r="L846" s="129"/>
      <c r="M846" s="129"/>
      <c r="N846" s="129"/>
      <c r="O846" s="129"/>
      <c r="P846" s="129"/>
      <c r="Q846" s="129"/>
      <c r="R846" s="129"/>
      <c r="S846" s="129"/>
      <c r="T846" s="129"/>
      <c r="U846" s="129"/>
      <c r="V846" s="129"/>
      <c r="W846" s="129"/>
      <c r="X846" s="129"/>
      <c r="Y846" s="129"/>
      <c r="Z846" s="129"/>
    </row>
    <row r="847" ht="15.75" customHeight="1">
      <c r="A847" s="129"/>
      <c r="B847" s="129"/>
      <c r="C847" s="129"/>
      <c r="D847" s="129"/>
      <c r="E847" s="129"/>
      <c r="F847" s="129"/>
      <c r="G847" s="129"/>
      <c r="H847" s="129"/>
      <c r="I847" s="129"/>
      <c r="J847" s="129"/>
      <c r="K847" s="129"/>
      <c r="L847" s="129"/>
      <c r="M847" s="129"/>
      <c r="N847" s="129"/>
      <c r="O847" s="129"/>
      <c r="P847" s="129"/>
      <c r="Q847" s="129"/>
      <c r="R847" s="129"/>
      <c r="S847" s="129"/>
      <c r="T847" s="129"/>
      <c r="U847" s="129"/>
      <c r="V847" s="129"/>
      <c r="W847" s="129"/>
      <c r="X847" s="129"/>
      <c r="Y847" s="129"/>
      <c r="Z847" s="129"/>
    </row>
    <row r="848" ht="15.75" customHeight="1">
      <c r="A848" s="129"/>
      <c r="B848" s="129"/>
      <c r="C848" s="129"/>
      <c r="D848" s="129"/>
      <c r="E848" s="129"/>
      <c r="F848" s="129"/>
      <c r="G848" s="129"/>
      <c r="H848" s="129"/>
      <c r="I848" s="129"/>
      <c r="J848" s="129"/>
      <c r="K848" s="129"/>
      <c r="L848" s="129"/>
      <c r="M848" s="129"/>
      <c r="N848" s="129"/>
      <c r="O848" s="129"/>
      <c r="P848" s="129"/>
      <c r="Q848" s="129"/>
      <c r="R848" s="129"/>
      <c r="S848" s="129"/>
      <c r="T848" s="129"/>
      <c r="U848" s="129"/>
      <c r="V848" s="129"/>
      <c r="W848" s="129"/>
      <c r="X848" s="129"/>
      <c r="Y848" s="129"/>
      <c r="Z848" s="129"/>
    </row>
    <row r="849" ht="15.75" customHeight="1">
      <c r="A849" s="129"/>
      <c r="B849" s="129"/>
      <c r="C849" s="129"/>
      <c r="D849" s="129"/>
      <c r="E849" s="129"/>
      <c r="F849" s="129"/>
      <c r="G849" s="129"/>
      <c r="H849" s="129"/>
      <c r="I849" s="129"/>
      <c r="J849" s="129"/>
      <c r="K849" s="129"/>
      <c r="L849" s="129"/>
      <c r="M849" s="129"/>
      <c r="N849" s="129"/>
      <c r="O849" s="129"/>
      <c r="P849" s="129"/>
      <c r="Q849" s="129"/>
      <c r="R849" s="129"/>
      <c r="S849" s="129"/>
      <c r="T849" s="129"/>
      <c r="U849" s="129"/>
      <c r="V849" s="129"/>
      <c r="W849" s="129"/>
      <c r="X849" s="129"/>
      <c r="Y849" s="129"/>
      <c r="Z849" s="129"/>
    </row>
    <row r="850" ht="15.75" customHeight="1">
      <c r="A850" s="129"/>
      <c r="B850" s="129"/>
      <c r="C850" s="129"/>
      <c r="D850" s="129"/>
      <c r="E850" s="129"/>
      <c r="F850" s="129"/>
      <c r="G850" s="129"/>
      <c r="H850" s="129"/>
      <c r="I850" s="129"/>
      <c r="J850" s="129"/>
      <c r="K850" s="129"/>
      <c r="L850" s="129"/>
      <c r="M850" s="129"/>
      <c r="N850" s="129"/>
      <c r="O850" s="129"/>
      <c r="P850" s="129"/>
      <c r="Q850" s="129"/>
      <c r="R850" s="129"/>
      <c r="S850" s="129"/>
      <c r="T850" s="129"/>
      <c r="U850" s="129"/>
      <c r="V850" s="129"/>
      <c r="W850" s="129"/>
      <c r="X850" s="129"/>
      <c r="Y850" s="129"/>
      <c r="Z850" s="129"/>
    </row>
    <row r="851" ht="15.75" customHeight="1">
      <c r="A851" s="129"/>
      <c r="B851" s="129"/>
      <c r="C851" s="129"/>
      <c r="D851" s="129"/>
      <c r="E851" s="129"/>
      <c r="F851" s="129"/>
      <c r="G851" s="129"/>
      <c r="H851" s="129"/>
      <c r="I851" s="129"/>
      <c r="J851" s="129"/>
      <c r="K851" s="129"/>
      <c r="L851" s="129"/>
      <c r="M851" s="129"/>
      <c r="N851" s="129"/>
      <c r="O851" s="129"/>
      <c r="P851" s="129"/>
      <c r="Q851" s="129"/>
      <c r="R851" s="129"/>
      <c r="S851" s="129"/>
      <c r="T851" s="129"/>
      <c r="U851" s="129"/>
      <c r="V851" s="129"/>
      <c r="W851" s="129"/>
      <c r="X851" s="129"/>
      <c r="Y851" s="129"/>
      <c r="Z851" s="129"/>
    </row>
    <row r="852" ht="15.75" customHeight="1">
      <c r="A852" s="129"/>
      <c r="B852" s="129"/>
      <c r="C852" s="129"/>
      <c r="D852" s="129"/>
      <c r="E852" s="129"/>
      <c r="F852" s="129"/>
      <c r="G852" s="129"/>
      <c r="H852" s="129"/>
      <c r="I852" s="129"/>
      <c r="J852" s="129"/>
      <c r="K852" s="129"/>
      <c r="L852" s="129"/>
      <c r="M852" s="129"/>
      <c r="N852" s="129"/>
      <c r="O852" s="129"/>
      <c r="P852" s="129"/>
      <c r="Q852" s="129"/>
      <c r="R852" s="129"/>
      <c r="S852" s="129"/>
      <c r="T852" s="129"/>
      <c r="U852" s="129"/>
      <c r="V852" s="129"/>
      <c r="W852" s="129"/>
      <c r="X852" s="129"/>
      <c r="Y852" s="129"/>
      <c r="Z852" s="129"/>
    </row>
    <row r="853" ht="15.75" customHeight="1">
      <c r="A853" s="129"/>
      <c r="B853" s="129"/>
      <c r="C853" s="129"/>
      <c r="D853" s="129"/>
      <c r="E853" s="129"/>
      <c r="F853" s="129"/>
      <c r="G853" s="129"/>
      <c r="H853" s="129"/>
      <c r="I853" s="129"/>
      <c r="J853" s="129"/>
      <c r="K853" s="129"/>
      <c r="L853" s="129"/>
      <c r="M853" s="129"/>
      <c r="N853" s="129"/>
      <c r="O853" s="129"/>
      <c r="P853" s="129"/>
      <c r="Q853" s="129"/>
      <c r="R853" s="129"/>
      <c r="S853" s="129"/>
      <c r="T853" s="129"/>
      <c r="U853" s="129"/>
      <c r="V853" s="129"/>
      <c r="W853" s="129"/>
      <c r="X853" s="129"/>
      <c r="Y853" s="129"/>
      <c r="Z853" s="129"/>
    </row>
    <row r="854" ht="15.75" customHeight="1">
      <c r="A854" s="129"/>
      <c r="B854" s="129"/>
      <c r="C854" s="129"/>
      <c r="D854" s="129"/>
      <c r="E854" s="129"/>
      <c r="F854" s="129"/>
      <c r="G854" s="129"/>
      <c r="H854" s="129"/>
      <c r="I854" s="129"/>
      <c r="J854" s="129"/>
      <c r="K854" s="129"/>
      <c r="L854" s="129"/>
      <c r="M854" s="129"/>
      <c r="N854" s="129"/>
      <c r="O854" s="129"/>
      <c r="P854" s="129"/>
      <c r="Q854" s="129"/>
      <c r="R854" s="129"/>
      <c r="S854" s="129"/>
      <c r="T854" s="129"/>
      <c r="U854" s="129"/>
      <c r="V854" s="129"/>
      <c r="W854" s="129"/>
      <c r="X854" s="129"/>
      <c r="Y854" s="129"/>
      <c r="Z854" s="129"/>
    </row>
    <row r="855" ht="15.75" customHeight="1">
      <c r="A855" s="129"/>
      <c r="B855" s="129"/>
      <c r="C855" s="129"/>
      <c r="D855" s="129"/>
      <c r="E855" s="129"/>
      <c r="F855" s="129"/>
      <c r="G855" s="129"/>
      <c r="H855" s="129"/>
      <c r="I855" s="129"/>
      <c r="J855" s="129"/>
      <c r="K855" s="129"/>
      <c r="L855" s="129"/>
      <c r="M855" s="129"/>
      <c r="N855" s="129"/>
      <c r="O855" s="129"/>
      <c r="P855" s="129"/>
      <c r="Q855" s="129"/>
      <c r="R855" s="129"/>
      <c r="S855" s="129"/>
      <c r="T855" s="129"/>
      <c r="U855" s="129"/>
      <c r="V855" s="129"/>
      <c r="W855" s="129"/>
      <c r="X855" s="129"/>
      <c r="Y855" s="129"/>
      <c r="Z855" s="129"/>
    </row>
    <row r="856" ht="15.75" customHeight="1">
      <c r="A856" s="129"/>
      <c r="B856" s="129"/>
      <c r="C856" s="129"/>
      <c r="D856" s="129"/>
      <c r="E856" s="129"/>
      <c r="F856" s="129"/>
      <c r="G856" s="129"/>
      <c r="H856" s="129"/>
      <c r="I856" s="129"/>
      <c r="J856" s="129"/>
      <c r="K856" s="129"/>
      <c r="L856" s="129"/>
      <c r="M856" s="129"/>
      <c r="N856" s="129"/>
      <c r="O856" s="129"/>
      <c r="P856" s="129"/>
      <c r="Q856" s="129"/>
      <c r="R856" s="129"/>
      <c r="S856" s="129"/>
      <c r="T856" s="129"/>
      <c r="U856" s="129"/>
      <c r="V856" s="129"/>
      <c r="W856" s="129"/>
      <c r="X856" s="129"/>
      <c r="Y856" s="129"/>
      <c r="Z856" s="129"/>
    </row>
    <row r="857" ht="15.75" customHeight="1">
      <c r="A857" s="129"/>
      <c r="B857" s="129"/>
      <c r="C857" s="129"/>
      <c r="D857" s="129"/>
      <c r="E857" s="129"/>
      <c r="F857" s="129"/>
      <c r="G857" s="129"/>
      <c r="H857" s="129"/>
      <c r="I857" s="129"/>
      <c r="J857" s="129"/>
      <c r="K857" s="129"/>
      <c r="L857" s="129"/>
      <c r="M857" s="129"/>
      <c r="N857" s="129"/>
      <c r="O857" s="129"/>
      <c r="P857" s="129"/>
      <c r="Q857" s="129"/>
      <c r="R857" s="129"/>
      <c r="S857" s="129"/>
      <c r="T857" s="129"/>
      <c r="U857" s="129"/>
      <c r="V857" s="129"/>
      <c r="W857" s="129"/>
      <c r="X857" s="129"/>
      <c r="Y857" s="129"/>
      <c r="Z857" s="129"/>
    </row>
    <row r="858" ht="15.75" customHeight="1">
      <c r="A858" s="129"/>
      <c r="B858" s="129"/>
      <c r="C858" s="129"/>
      <c r="D858" s="129"/>
      <c r="E858" s="129"/>
      <c r="F858" s="129"/>
      <c r="G858" s="129"/>
      <c r="H858" s="129"/>
      <c r="I858" s="129"/>
      <c r="J858" s="129"/>
      <c r="K858" s="129"/>
      <c r="L858" s="129"/>
      <c r="M858" s="129"/>
      <c r="N858" s="129"/>
      <c r="O858" s="129"/>
      <c r="P858" s="129"/>
      <c r="Q858" s="129"/>
      <c r="R858" s="129"/>
      <c r="S858" s="129"/>
      <c r="T858" s="129"/>
      <c r="U858" s="129"/>
      <c r="V858" s="129"/>
      <c r="W858" s="129"/>
      <c r="X858" s="129"/>
      <c r="Y858" s="129"/>
      <c r="Z858" s="129"/>
    </row>
    <row r="859" ht="15.75" customHeight="1">
      <c r="A859" s="129"/>
      <c r="B859" s="129"/>
      <c r="C859" s="129"/>
      <c r="D859" s="129"/>
      <c r="E859" s="129"/>
      <c r="F859" s="129"/>
      <c r="G859" s="129"/>
      <c r="H859" s="129"/>
      <c r="I859" s="129"/>
      <c r="J859" s="129"/>
      <c r="K859" s="129"/>
      <c r="L859" s="129"/>
      <c r="M859" s="129"/>
      <c r="N859" s="129"/>
      <c r="O859" s="129"/>
      <c r="P859" s="129"/>
      <c r="Q859" s="129"/>
      <c r="R859" s="129"/>
      <c r="S859" s="129"/>
      <c r="T859" s="129"/>
      <c r="U859" s="129"/>
      <c r="V859" s="129"/>
      <c r="W859" s="129"/>
      <c r="X859" s="129"/>
      <c r="Y859" s="129"/>
      <c r="Z859" s="129"/>
    </row>
    <row r="860" ht="15.75" customHeight="1">
      <c r="A860" s="129"/>
      <c r="B860" s="129"/>
      <c r="C860" s="129"/>
      <c r="D860" s="129"/>
      <c r="E860" s="129"/>
      <c r="F860" s="129"/>
      <c r="G860" s="129"/>
      <c r="H860" s="129"/>
      <c r="I860" s="129"/>
      <c r="J860" s="129"/>
      <c r="K860" s="129"/>
      <c r="L860" s="129"/>
      <c r="M860" s="129"/>
      <c r="N860" s="129"/>
      <c r="O860" s="129"/>
      <c r="P860" s="129"/>
      <c r="Q860" s="129"/>
      <c r="R860" s="129"/>
      <c r="S860" s="129"/>
      <c r="T860" s="129"/>
      <c r="U860" s="129"/>
      <c r="V860" s="129"/>
      <c r="W860" s="129"/>
      <c r="X860" s="129"/>
      <c r="Y860" s="129"/>
      <c r="Z860" s="129"/>
    </row>
    <row r="861" ht="15.75" customHeight="1">
      <c r="A861" s="129"/>
      <c r="B861" s="129"/>
      <c r="C861" s="129"/>
      <c r="D861" s="129"/>
      <c r="E861" s="129"/>
      <c r="F861" s="129"/>
      <c r="G861" s="129"/>
      <c r="H861" s="129"/>
      <c r="I861" s="129"/>
      <c r="J861" s="129"/>
      <c r="K861" s="129"/>
      <c r="L861" s="129"/>
      <c r="M861" s="129"/>
      <c r="N861" s="129"/>
      <c r="O861" s="129"/>
      <c r="P861" s="129"/>
      <c r="Q861" s="129"/>
      <c r="R861" s="129"/>
      <c r="S861" s="129"/>
      <c r="T861" s="129"/>
      <c r="U861" s="129"/>
      <c r="V861" s="129"/>
      <c r="W861" s="129"/>
      <c r="X861" s="129"/>
      <c r="Y861" s="129"/>
      <c r="Z861" s="129"/>
    </row>
    <row r="862" ht="15.75" customHeight="1">
      <c r="A862" s="129"/>
      <c r="B862" s="129"/>
      <c r="C862" s="129"/>
      <c r="D862" s="129"/>
      <c r="E862" s="129"/>
      <c r="F862" s="129"/>
      <c r="G862" s="129"/>
      <c r="H862" s="129"/>
      <c r="I862" s="129"/>
      <c r="J862" s="129"/>
      <c r="K862" s="129"/>
      <c r="L862" s="129"/>
      <c r="M862" s="129"/>
      <c r="N862" s="129"/>
      <c r="O862" s="129"/>
      <c r="P862" s="129"/>
      <c r="Q862" s="129"/>
      <c r="R862" s="129"/>
      <c r="S862" s="129"/>
      <c r="T862" s="129"/>
      <c r="U862" s="129"/>
      <c r="V862" s="129"/>
      <c r="W862" s="129"/>
      <c r="X862" s="129"/>
      <c r="Y862" s="129"/>
      <c r="Z862" s="129"/>
    </row>
    <row r="863" ht="15.75" customHeight="1">
      <c r="A863" s="129"/>
      <c r="B863" s="129"/>
      <c r="C863" s="129"/>
      <c r="D863" s="129"/>
      <c r="E863" s="129"/>
      <c r="F863" s="129"/>
      <c r="G863" s="129"/>
      <c r="H863" s="129"/>
      <c r="I863" s="129"/>
      <c r="J863" s="129"/>
      <c r="K863" s="129"/>
      <c r="L863" s="129"/>
      <c r="M863" s="129"/>
      <c r="N863" s="129"/>
      <c r="O863" s="129"/>
      <c r="P863" s="129"/>
      <c r="Q863" s="129"/>
      <c r="R863" s="129"/>
      <c r="S863" s="129"/>
      <c r="T863" s="129"/>
      <c r="U863" s="129"/>
      <c r="V863" s="129"/>
      <c r="W863" s="129"/>
      <c r="X863" s="129"/>
      <c r="Y863" s="129"/>
      <c r="Z863" s="129"/>
    </row>
    <row r="864" ht="15.75" customHeight="1">
      <c r="A864" s="129"/>
      <c r="B864" s="129"/>
      <c r="C864" s="129"/>
      <c r="D864" s="129"/>
      <c r="E864" s="129"/>
      <c r="F864" s="129"/>
      <c r="G864" s="129"/>
      <c r="H864" s="129"/>
      <c r="I864" s="129"/>
      <c r="J864" s="129"/>
      <c r="K864" s="129"/>
      <c r="L864" s="129"/>
      <c r="M864" s="129"/>
      <c r="N864" s="129"/>
      <c r="O864" s="129"/>
      <c r="P864" s="129"/>
      <c r="Q864" s="129"/>
      <c r="R864" s="129"/>
      <c r="S864" s="129"/>
      <c r="T864" s="129"/>
      <c r="U864" s="129"/>
      <c r="V864" s="129"/>
      <c r="W864" s="129"/>
      <c r="X864" s="129"/>
      <c r="Y864" s="129"/>
      <c r="Z864" s="129"/>
    </row>
    <row r="865" ht="15.75" customHeight="1">
      <c r="A865" s="129"/>
      <c r="B865" s="129"/>
      <c r="C865" s="129"/>
      <c r="D865" s="129"/>
      <c r="E865" s="129"/>
      <c r="F865" s="129"/>
      <c r="G865" s="129"/>
      <c r="H865" s="129"/>
      <c r="I865" s="129"/>
      <c r="J865" s="129"/>
      <c r="K865" s="129"/>
      <c r="L865" s="129"/>
      <c r="M865" s="129"/>
      <c r="N865" s="129"/>
      <c r="O865" s="129"/>
      <c r="P865" s="129"/>
      <c r="Q865" s="129"/>
      <c r="R865" s="129"/>
      <c r="S865" s="129"/>
      <c r="T865" s="129"/>
      <c r="U865" s="129"/>
      <c r="V865" s="129"/>
      <c r="W865" s="129"/>
      <c r="X865" s="129"/>
      <c r="Y865" s="129"/>
      <c r="Z865" s="129"/>
    </row>
    <row r="866" ht="15.75" customHeight="1">
      <c r="A866" s="129"/>
      <c r="B866" s="129"/>
      <c r="C866" s="129"/>
      <c r="D866" s="129"/>
      <c r="E866" s="129"/>
      <c r="F866" s="129"/>
      <c r="G866" s="129"/>
      <c r="H866" s="129"/>
      <c r="I866" s="129"/>
      <c r="J866" s="129"/>
      <c r="K866" s="129"/>
      <c r="L866" s="129"/>
      <c r="M866" s="129"/>
      <c r="N866" s="129"/>
      <c r="O866" s="129"/>
      <c r="P866" s="129"/>
      <c r="Q866" s="129"/>
      <c r="R866" s="129"/>
      <c r="S866" s="129"/>
      <c r="T866" s="129"/>
      <c r="U866" s="129"/>
      <c r="V866" s="129"/>
      <c r="W866" s="129"/>
      <c r="X866" s="129"/>
      <c r="Y866" s="129"/>
      <c r="Z866" s="129"/>
    </row>
    <row r="867" ht="15.75" customHeight="1">
      <c r="A867" s="129"/>
      <c r="B867" s="129"/>
      <c r="C867" s="129"/>
      <c r="D867" s="129"/>
      <c r="E867" s="129"/>
      <c r="F867" s="129"/>
      <c r="G867" s="129"/>
      <c r="H867" s="129"/>
      <c r="I867" s="129"/>
      <c r="J867" s="129"/>
      <c r="K867" s="129"/>
      <c r="L867" s="129"/>
      <c r="M867" s="129"/>
      <c r="N867" s="129"/>
      <c r="O867" s="129"/>
      <c r="P867" s="129"/>
      <c r="Q867" s="129"/>
      <c r="R867" s="129"/>
      <c r="S867" s="129"/>
      <c r="T867" s="129"/>
      <c r="U867" s="129"/>
      <c r="V867" s="129"/>
      <c r="W867" s="129"/>
      <c r="X867" s="129"/>
      <c r="Y867" s="129"/>
      <c r="Z867" s="129"/>
    </row>
    <row r="868" ht="15.75" customHeight="1">
      <c r="A868" s="129"/>
      <c r="B868" s="129"/>
      <c r="C868" s="129"/>
      <c r="D868" s="129"/>
      <c r="E868" s="129"/>
      <c r="F868" s="129"/>
      <c r="G868" s="129"/>
      <c r="H868" s="129"/>
      <c r="I868" s="129"/>
      <c r="J868" s="129"/>
      <c r="K868" s="129"/>
      <c r="L868" s="129"/>
      <c r="M868" s="129"/>
      <c r="N868" s="129"/>
      <c r="O868" s="129"/>
      <c r="P868" s="129"/>
      <c r="Q868" s="129"/>
      <c r="R868" s="129"/>
      <c r="S868" s="129"/>
      <c r="T868" s="129"/>
      <c r="U868" s="129"/>
      <c r="V868" s="129"/>
      <c r="W868" s="129"/>
      <c r="X868" s="129"/>
      <c r="Y868" s="129"/>
      <c r="Z868" s="129"/>
    </row>
    <row r="869" ht="15.75" customHeight="1">
      <c r="A869" s="129"/>
      <c r="B869" s="129"/>
      <c r="C869" s="129"/>
      <c r="D869" s="129"/>
      <c r="E869" s="129"/>
      <c r="F869" s="129"/>
      <c r="G869" s="129"/>
      <c r="H869" s="129"/>
      <c r="I869" s="129"/>
      <c r="J869" s="129"/>
      <c r="K869" s="129"/>
      <c r="L869" s="129"/>
      <c r="M869" s="129"/>
      <c r="N869" s="129"/>
      <c r="O869" s="129"/>
      <c r="P869" s="129"/>
      <c r="Q869" s="129"/>
      <c r="R869" s="129"/>
      <c r="S869" s="129"/>
      <c r="T869" s="129"/>
      <c r="U869" s="129"/>
      <c r="V869" s="129"/>
      <c r="W869" s="129"/>
      <c r="X869" s="129"/>
      <c r="Y869" s="129"/>
      <c r="Z869" s="129"/>
    </row>
    <row r="870" ht="15.75" customHeight="1">
      <c r="A870" s="129"/>
      <c r="B870" s="129"/>
      <c r="C870" s="129"/>
      <c r="D870" s="129"/>
      <c r="E870" s="129"/>
      <c r="F870" s="129"/>
      <c r="G870" s="129"/>
      <c r="H870" s="129"/>
      <c r="I870" s="129"/>
      <c r="J870" s="129"/>
      <c r="K870" s="129"/>
      <c r="L870" s="129"/>
      <c r="M870" s="129"/>
      <c r="N870" s="129"/>
      <c r="O870" s="129"/>
      <c r="P870" s="129"/>
      <c r="Q870" s="129"/>
      <c r="R870" s="129"/>
      <c r="S870" s="129"/>
      <c r="T870" s="129"/>
      <c r="U870" s="129"/>
      <c r="V870" s="129"/>
      <c r="W870" s="129"/>
      <c r="X870" s="129"/>
      <c r="Y870" s="129"/>
      <c r="Z870" s="129"/>
    </row>
    <row r="871" ht="15.75" customHeight="1">
      <c r="A871" s="129"/>
      <c r="B871" s="129"/>
      <c r="C871" s="129"/>
      <c r="D871" s="129"/>
      <c r="E871" s="129"/>
      <c r="F871" s="129"/>
      <c r="G871" s="129"/>
      <c r="H871" s="129"/>
      <c r="I871" s="129"/>
      <c r="J871" s="129"/>
      <c r="K871" s="129"/>
      <c r="L871" s="129"/>
      <c r="M871" s="129"/>
      <c r="N871" s="129"/>
      <c r="O871" s="129"/>
      <c r="P871" s="129"/>
      <c r="Q871" s="129"/>
      <c r="R871" s="129"/>
      <c r="S871" s="129"/>
      <c r="T871" s="129"/>
      <c r="U871" s="129"/>
      <c r="V871" s="129"/>
      <c r="W871" s="129"/>
      <c r="X871" s="129"/>
      <c r="Y871" s="129"/>
      <c r="Z871" s="129"/>
    </row>
    <row r="872" ht="15.75" customHeight="1">
      <c r="A872" s="129"/>
      <c r="B872" s="129"/>
      <c r="C872" s="129"/>
      <c r="D872" s="129"/>
      <c r="E872" s="129"/>
      <c r="F872" s="129"/>
      <c r="G872" s="129"/>
      <c r="H872" s="129"/>
      <c r="I872" s="129"/>
      <c r="J872" s="129"/>
      <c r="K872" s="129"/>
      <c r="L872" s="129"/>
      <c r="M872" s="129"/>
      <c r="N872" s="129"/>
      <c r="O872" s="129"/>
      <c r="P872" s="129"/>
      <c r="Q872" s="129"/>
      <c r="R872" s="129"/>
      <c r="S872" s="129"/>
      <c r="T872" s="129"/>
      <c r="U872" s="129"/>
      <c r="V872" s="129"/>
      <c r="W872" s="129"/>
      <c r="X872" s="129"/>
      <c r="Y872" s="129"/>
      <c r="Z872" s="129"/>
    </row>
    <row r="873" ht="15.75" customHeight="1">
      <c r="A873" s="129"/>
      <c r="B873" s="129"/>
      <c r="C873" s="129"/>
      <c r="D873" s="129"/>
      <c r="E873" s="129"/>
      <c r="F873" s="129"/>
      <c r="G873" s="129"/>
      <c r="H873" s="129"/>
      <c r="I873" s="129"/>
      <c r="J873" s="129"/>
      <c r="K873" s="129"/>
      <c r="L873" s="129"/>
      <c r="M873" s="129"/>
      <c r="N873" s="129"/>
      <c r="O873" s="129"/>
      <c r="P873" s="129"/>
      <c r="Q873" s="129"/>
      <c r="R873" s="129"/>
      <c r="S873" s="129"/>
      <c r="T873" s="129"/>
      <c r="U873" s="129"/>
      <c r="V873" s="129"/>
      <c r="W873" s="129"/>
      <c r="X873" s="129"/>
      <c r="Y873" s="129"/>
      <c r="Z873" s="129"/>
    </row>
    <row r="874" ht="15.75" customHeight="1">
      <c r="A874" s="129"/>
      <c r="B874" s="129"/>
      <c r="C874" s="129"/>
      <c r="D874" s="129"/>
      <c r="E874" s="129"/>
      <c r="F874" s="129"/>
      <c r="G874" s="129"/>
      <c r="H874" s="129"/>
      <c r="I874" s="129"/>
      <c r="J874" s="129"/>
      <c r="K874" s="129"/>
      <c r="L874" s="129"/>
      <c r="M874" s="129"/>
      <c r="N874" s="129"/>
      <c r="O874" s="129"/>
      <c r="P874" s="129"/>
      <c r="Q874" s="129"/>
      <c r="R874" s="129"/>
      <c r="S874" s="129"/>
      <c r="T874" s="129"/>
      <c r="U874" s="129"/>
      <c r="V874" s="129"/>
      <c r="W874" s="129"/>
      <c r="X874" s="129"/>
      <c r="Y874" s="129"/>
      <c r="Z874" s="129"/>
    </row>
    <row r="875" ht="15.75" customHeight="1">
      <c r="A875" s="129"/>
      <c r="B875" s="129"/>
      <c r="C875" s="129"/>
      <c r="D875" s="129"/>
      <c r="E875" s="129"/>
      <c r="F875" s="129"/>
      <c r="G875" s="129"/>
      <c r="H875" s="129"/>
      <c r="I875" s="129"/>
      <c r="J875" s="129"/>
      <c r="K875" s="129"/>
      <c r="L875" s="129"/>
      <c r="M875" s="129"/>
      <c r="N875" s="129"/>
      <c r="O875" s="129"/>
      <c r="P875" s="129"/>
      <c r="Q875" s="129"/>
      <c r="R875" s="129"/>
      <c r="S875" s="129"/>
      <c r="T875" s="129"/>
      <c r="U875" s="129"/>
      <c r="V875" s="129"/>
      <c r="W875" s="129"/>
      <c r="X875" s="129"/>
      <c r="Y875" s="129"/>
      <c r="Z875" s="129"/>
    </row>
    <row r="876" ht="15.75" customHeight="1">
      <c r="A876" s="129"/>
      <c r="B876" s="129"/>
      <c r="C876" s="129"/>
      <c r="D876" s="129"/>
      <c r="E876" s="129"/>
      <c r="F876" s="129"/>
      <c r="G876" s="129"/>
      <c r="H876" s="129"/>
      <c r="I876" s="129"/>
      <c r="J876" s="129"/>
      <c r="K876" s="129"/>
      <c r="L876" s="129"/>
      <c r="M876" s="129"/>
      <c r="N876" s="129"/>
      <c r="O876" s="129"/>
      <c r="P876" s="129"/>
      <c r="Q876" s="129"/>
      <c r="R876" s="129"/>
      <c r="S876" s="129"/>
      <c r="T876" s="129"/>
      <c r="U876" s="129"/>
      <c r="V876" s="129"/>
      <c r="W876" s="129"/>
      <c r="X876" s="129"/>
      <c r="Y876" s="129"/>
      <c r="Z876" s="129"/>
    </row>
    <row r="877" ht="15.75" customHeight="1">
      <c r="A877" s="129"/>
      <c r="B877" s="129"/>
      <c r="C877" s="129"/>
      <c r="D877" s="129"/>
      <c r="E877" s="129"/>
      <c r="F877" s="129"/>
      <c r="G877" s="129"/>
      <c r="H877" s="129"/>
      <c r="I877" s="129"/>
      <c r="J877" s="129"/>
      <c r="K877" s="129"/>
      <c r="L877" s="129"/>
      <c r="M877" s="129"/>
      <c r="N877" s="129"/>
      <c r="O877" s="129"/>
      <c r="P877" s="129"/>
      <c r="Q877" s="129"/>
      <c r="R877" s="129"/>
      <c r="S877" s="129"/>
      <c r="T877" s="129"/>
      <c r="U877" s="129"/>
      <c r="V877" s="129"/>
      <c r="W877" s="129"/>
      <c r="X877" s="129"/>
      <c r="Y877" s="129"/>
      <c r="Z877" s="129"/>
    </row>
    <row r="878" ht="15.75" customHeight="1">
      <c r="A878" s="129"/>
      <c r="B878" s="129"/>
      <c r="C878" s="129"/>
      <c r="D878" s="129"/>
      <c r="E878" s="129"/>
      <c r="F878" s="129"/>
      <c r="G878" s="129"/>
      <c r="H878" s="129"/>
      <c r="I878" s="129"/>
      <c r="J878" s="129"/>
      <c r="K878" s="129"/>
      <c r="L878" s="129"/>
      <c r="M878" s="129"/>
      <c r="N878" s="129"/>
      <c r="O878" s="129"/>
      <c r="P878" s="129"/>
      <c r="Q878" s="129"/>
      <c r="R878" s="129"/>
      <c r="S878" s="129"/>
      <c r="T878" s="129"/>
      <c r="U878" s="129"/>
      <c r="V878" s="129"/>
      <c r="W878" s="129"/>
      <c r="X878" s="129"/>
      <c r="Y878" s="129"/>
      <c r="Z878" s="129"/>
    </row>
    <row r="879" ht="15.75" customHeight="1">
      <c r="A879" s="129"/>
      <c r="B879" s="129"/>
      <c r="C879" s="129"/>
      <c r="D879" s="129"/>
      <c r="E879" s="129"/>
      <c r="F879" s="129"/>
      <c r="G879" s="129"/>
      <c r="H879" s="129"/>
      <c r="I879" s="129"/>
      <c r="J879" s="129"/>
      <c r="K879" s="129"/>
      <c r="L879" s="129"/>
      <c r="M879" s="129"/>
      <c r="N879" s="129"/>
      <c r="O879" s="129"/>
      <c r="P879" s="129"/>
      <c r="Q879" s="129"/>
      <c r="R879" s="129"/>
      <c r="S879" s="129"/>
      <c r="T879" s="129"/>
      <c r="U879" s="129"/>
      <c r="V879" s="129"/>
      <c r="W879" s="129"/>
      <c r="X879" s="129"/>
      <c r="Y879" s="129"/>
      <c r="Z879" s="129"/>
    </row>
    <row r="880" ht="15.75" customHeight="1">
      <c r="A880" s="129"/>
      <c r="B880" s="129"/>
      <c r="C880" s="129"/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29"/>
      <c r="O880" s="129"/>
      <c r="P880" s="129"/>
      <c r="Q880" s="129"/>
      <c r="R880" s="129"/>
      <c r="S880" s="129"/>
      <c r="T880" s="129"/>
      <c r="U880" s="129"/>
      <c r="V880" s="129"/>
      <c r="W880" s="129"/>
      <c r="X880" s="129"/>
      <c r="Y880" s="129"/>
      <c r="Z880" s="129"/>
    </row>
    <row r="881" ht="15.75" customHeight="1">
      <c r="A881" s="129"/>
      <c r="B881" s="129"/>
      <c r="C881" s="129"/>
      <c r="D881" s="129"/>
      <c r="E881" s="129"/>
      <c r="F881" s="129"/>
      <c r="G881" s="129"/>
      <c r="H881" s="129"/>
      <c r="I881" s="129"/>
      <c r="J881" s="129"/>
      <c r="K881" s="129"/>
      <c r="L881" s="129"/>
      <c r="M881" s="129"/>
      <c r="N881" s="129"/>
      <c r="O881" s="129"/>
      <c r="P881" s="129"/>
      <c r="Q881" s="129"/>
      <c r="R881" s="129"/>
      <c r="S881" s="129"/>
      <c r="T881" s="129"/>
      <c r="U881" s="129"/>
      <c r="V881" s="129"/>
      <c r="W881" s="129"/>
      <c r="X881" s="129"/>
      <c r="Y881" s="129"/>
      <c r="Z881" s="129"/>
    </row>
    <row r="882" ht="15.75" customHeight="1">
      <c r="A882" s="129"/>
      <c r="B882" s="129"/>
      <c r="C882" s="129"/>
      <c r="D882" s="129"/>
      <c r="E882" s="129"/>
      <c r="F882" s="129"/>
      <c r="G882" s="129"/>
      <c r="H882" s="129"/>
      <c r="I882" s="129"/>
      <c r="J882" s="129"/>
      <c r="K882" s="129"/>
      <c r="L882" s="129"/>
      <c r="M882" s="129"/>
      <c r="N882" s="129"/>
      <c r="O882" s="129"/>
      <c r="P882" s="129"/>
      <c r="Q882" s="129"/>
      <c r="R882" s="129"/>
      <c r="S882" s="129"/>
      <c r="T882" s="129"/>
      <c r="U882" s="129"/>
      <c r="V882" s="129"/>
      <c r="W882" s="129"/>
      <c r="X882" s="129"/>
      <c r="Y882" s="129"/>
      <c r="Z882" s="129"/>
    </row>
    <row r="883" ht="15.75" customHeight="1">
      <c r="A883" s="129"/>
      <c r="B883" s="129"/>
      <c r="C883" s="129"/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29"/>
      <c r="O883" s="129"/>
      <c r="P883" s="129"/>
      <c r="Q883" s="129"/>
      <c r="R883" s="129"/>
      <c r="S883" s="129"/>
      <c r="T883" s="129"/>
      <c r="U883" s="129"/>
      <c r="V883" s="129"/>
      <c r="W883" s="129"/>
      <c r="X883" s="129"/>
      <c r="Y883" s="129"/>
      <c r="Z883" s="129"/>
    </row>
    <row r="884" ht="15.75" customHeight="1">
      <c r="A884" s="129"/>
      <c r="B884" s="129"/>
      <c r="C884" s="129"/>
      <c r="D884" s="129"/>
      <c r="E884" s="129"/>
      <c r="F884" s="129"/>
      <c r="G884" s="129"/>
      <c r="H884" s="129"/>
      <c r="I884" s="129"/>
      <c r="J884" s="129"/>
      <c r="K884" s="129"/>
      <c r="L884" s="129"/>
      <c r="M884" s="129"/>
      <c r="N884" s="129"/>
      <c r="O884" s="129"/>
      <c r="P884" s="129"/>
      <c r="Q884" s="129"/>
      <c r="R884" s="129"/>
      <c r="S884" s="129"/>
      <c r="T884" s="129"/>
      <c r="U884" s="129"/>
      <c r="V884" s="129"/>
      <c r="W884" s="129"/>
      <c r="X884" s="129"/>
      <c r="Y884" s="129"/>
      <c r="Z884" s="129"/>
    </row>
    <row r="885" ht="15.75" customHeight="1">
      <c r="A885" s="129"/>
      <c r="B885" s="129"/>
      <c r="C885" s="129"/>
      <c r="D885" s="129"/>
      <c r="E885" s="129"/>
      <c r="F885" s="129"/>
      <c r="G885" s="129"/>
      <c r="H885" s="129"/>
      <c r="I885" s="129"/>
      <c r="J885" s="129"/>
      <c r="K885" s="129"/>
      <c r="L885" s="129"/>
      <c r="M885" s="129"/>
      <c r="N885" s="129"/>
      <c r="O885" s="129"/>
      <c r="P885" s="129"/>
      <c r="Q885" s="129"/>
      <c r="R885" s="129"/>
      <c r="S885" s="129"/>
      <c r="T885" s="129"/>
      <c r="U885" s="129"/>
      <c r="V885" s="129"/>
      <c r="W885" s="129"/>
      <c r="X885" s="129"/>
      <c r="Y885" s="129"/>
      <c r="Z885" s="129"/>
    </row>
    <row r="886" ht="15.75" customHeight="1">
      <c r="A886" s="129"/>
      <c r="B886" s="129"/>
      <c r="C886" s="129"/>
      <c r="D886" s="129"/>
      <c r="E886" s="129"/>
      <c r="F886" s="129"/>
      <c r="G886" s="129"/>
      <c r="H886" s="129"/>
      <c r="I886" s="129"/>
      <c r="J886" s="129"/>
      <c r="K886" s="129"/>
      <c r="L886" s="129"/>
      <c r="M886" s="129"/>
      <c r="N886" s="129"/>
      <c r="O886" s="129"/>
      <c r="P886" s="129"/>
      <c r="Q886" s="129"/>
      <c r="R886" s="129"/>
      <c r="S886" s="129"/>
      <c r="T886" s="129"/>
      <c r="U886" s="129"/>
      <c r="V886" s="129"/>
      <c r="W886" s="129"/>
      <c r="X886" s="129"/>
      <c r="Y886" s="129"/>
      <c r="Z886" s="129"/>
    </row>
    <row r="887" ht="15.75" customHeight="1">
      <c r="A887" s="129"/>
      <c r="B887" s="129"/>
      <c r="C887" s="129"/>
      <c r="D887" s="129"/>
      <c r="E887" s="129"/>
      <c r="F887" s="129"/>
      <c r="G887" s="129"/>
      <c r="H887" s="129"/>
      <c r="I887" s="129"/>
      <c r="J887" s="129"/>
      <c r="K887" s="129"/>
      <c r="L887" s="129"/>
      <c r="M887" s="129"/>
      <c r="N887" s="129"/>
      <c r="O887" s="129"/>
      <c r="P887" s="129"/>
      <c r="Q887" s="129"/>
      <c r="R887" s="129"/>
      <c r="S887" s="129"/>
      <c r="T887" s="129"/>
      <c r="U887" s="129"/>
      <c r="V887" s="129"/>
      <c r="W887" s="129"/>
      <c r="X887" s="129"/>
      <c r="Y887" s="129"/>
      <c r="Z887" s="129"/>
    </row>
    <row r="888" ht="15.75" customHeight="1">
      <c r="A888" s="129"/>
      <c r="B888" s="129"/>
      <c r="C888" s="129"/>
      <c r="D888" s="129"/>
      <c r="E888" s="129"/>
      <c r="F888" s="129"/>
      <c r="G888" s="129"/>
      <c r="H888" s="129"/>
      <c r="I888" s="129"/>
      <c r="J888" s="129"/>
      <c r="K888" s="129"/>
      <c r="L888" s="129"/>
      <c r="M888" s="129"/>
      <c r="N888" s="129"/>
      <c r="O888" s="129"/>
      <c r="P888" s="129"/>
      <c r="Q888" s="129"/>
      <c r="R888" s="129"/>
      <c r="S888" s="129"/>
      <c r="T888" s="129"/>
      <c r="U888" s="129"/>
      <c r="V888" s="129"/>
      <c r="W888" s="129"/>
      <c r="X888" s="129"/>
      <c r="Y888" s="129"/>
      <c r="Z888" s="129"/>
    </row>
    <row r="889" ht="15.75" customHeight="1">
      <c r="A889" s="129"/>
      <c r="B889" s="129"/>
      <c r="C889" s="129"/>
      <c r="D889" s="129"/>
      <c r="E889" s="129"/>
      <c r="F889" s="129"/>
      <c r="G889" s="129"/>
      <c r="H889" s="129"/>
      <c r="I889" s="129"/>
      <c r="J889" s="129"/>
      <c r="K889" s="129"/>
      <c r="L889" s="129"/>
      <c r="M889" s="129"/>
      <c r="N889" s="129"/>
      <c r="O889" s="129"/>
      <c r="P889" s="129"/>
      <c r="Q889" s="129"/>
      <c r="R889" s="129"/>
      <c r="S889" s="129"/>
      <c r="T889" s="129"/>
      <c r="U889" s="129"/>
      <c r="V889" s="129"/>
      <c r="W889" s="129"/>
      <c r="X889" s="129"/>
      <c r="Y889" s="129"/>
      <c r="Z889" s="129"/>
    </row>
    <row r="890" ht="15.75" customHeight="1">
      <c r="A890" s="129"/>
      <c r="B890" s="129"/>
      <c r="C890" s="129"/>
      <c r="D890" s="129"/>
      <c r="E890" s="129"/>
      <c r="F890" s="129"/>
      <c r="G890" s="129"/>
      <c r="H890" s="129"/>
      <c r="I890" s="129"/>
      <c r="J890" s="129"/>
      <c r="K890" s="129"/>
      <c r="L890" s="129"/>
      <c r="M890" s="129"/>
      <c r="N890" s="129"/>
      <c r="O890" s="129"/>
      <c r="P890" s="129"/>
      <c r="Q890" s="129"/>
      <c r="R890" s="129"/>
      <c r="S890" s="129"/>
      <c r="T890" s="129"/>
      <c r="U890" s="129"/>
      <c r="V890" s="129"/>
      <c r="W890" s="129"/>
      <c r="X890" s="129"/>
      <c r="Y890" s="129"/>
      <c r="Z890" s="129"/>
    </row>
    <row r="891" ht="15.75" customHeight="1">
      <c r="A891" s="129"/>
      <c r="B891" s="129"/>
      <c r="C891" s="129"/>
      <c r="D891" s="129"/>
      <c r="E891" s="129"/>
      <c r="F891" s="129"/>
      <c r="G891" s="129"/>
      <c r="H891" s="129"/>
      <c r="I891" s="129"/>
      <c r="J891" s="129"/>
      <c r="K891" s="129"/>
      <c r="L891" s="129"/>
      <c r="M891" s="129"/>
      <c r="N891" s="129"/>
      <c r="O891" s="129"/>
      <c r="P891" s="129"/>
      <c r="Q891" s="129"/>
      <c r="R891" s="129"/>
      <c r="S891" s="129"/>
      <c r="T891" s="129"/>
      <c r="U891" s="129"/>
      <c r="V891" s="129"/>
      <c r="W891" s="129"/>
      <c r="X891" s="129"/>
      <c r="Y891" s="129"/>
      <c r="Z891" s="129"/>
    </row>
    <row r="892" ht="15.75" customHeight="1">
      <c r="A892" s="129"/>
      <c r="B892" s="129"/>
      <c r="C892" s="129"/>
      <c r="D892" s="129"/>
      <c r="E892" s="129"/>
      <c r="F892" s="129"/>
      <c r="G892" s="129"/>
      <c r="H892" s="129"/>
      <c r="I892" s="129"/>
      <c r="J892" s="129"/>
      <c r="K892" s="129"/>
      <c r="L892" s="129"/>
      <c r="M892" s="129"/>
      <c r="N892" s="129"/>
      <c r="O892" s="129"/>
      <c r="P892" s="129"/>
      <c r="Q892" s="129"/>
      <c r="R892" s="129"/>
      <c r="S892" s="129"/>
      <c r="T892" s="129"/>
      <c r="U892" s="129"/>
      <c r="V892" s="129"/>
      <c r="W892" s="129"/>
      <c r="X892" s="129"/>
      <c r="Y892" s="129"/>
      <c r="Z892" s="129"/>
    </row>
    <row r="893" ht="15.75" customHeight="1">
      <c r="A893" s="129"/>
      <c r="B893" s="129"/>
      <c r="C893" s="129"/>
      <c r="D893" s="129"/>
      <c r="E893" s="129"/>
      <c r="F893" s="129"/>
      <c r="G893" s="129"/>
      <c r="H893" s="129"/>
      <c r="I893" s="129"/>
      <c r="J893" s="129"/>
      <c r="K893" s="129"/>
      <c r="L893" s="129"/>
      <c r="M893" s="129"/>
      <c r="N893" s="129"/>
      <c r="O893" s="129"/>
      <c r="P893" s="129"/>
      <c r="Q893" s="129"/>
      <c r="R893" s="129"/>
      <c r="S893" s="129"/>
      <c r="T893" s="129"/>
      <c r="U893" s="129"/>
      <c r="V893" s="129"/>
      <c r="W893" s="129"/>
      <c r="X893" s="129"/>
      <c r="Y893" s="129"/>
      <c r="Z893" s="129"/>
    </row>
    <row r="894" ht="15.75" customHeight="1">
      <c r="A894" s="129"/>
      <c r="B894" s="129"/>
      <c r="C894" s="129"/>
      <c r="D894" s="129"/>
      <c r="E894" s="129"/>
      <c r="F894" s="129"/>
      <c r="G894" s="129"/>
      <c r="H894" s="129"/>
      <c r="I894" s="129"/>
      <c r="J894" s="129"/>
      <c r="K894" s="129"/>
      <c r="L894" s="129"/>
      <c r="M894" s="129"/>
      <c r="N894" s="129"/>
      <c r="O894" s="129"/>
      <c r="P894" s="129"/>
      <c r="Q894" s="129"/>
      <c r="R894" s="129"/>
      <c r="S894" s="129"/>
      <c r="T894" s="129"/>
      <c r="U894" s="129"/>
      <c r="V894" s="129"/>
      <c r="W894" s="129"/>
      <c r="X894" s="129"/>
      <c r="Y894" s="129"/>
      <c r="Z894" s="129"/>
    </row>
    <row r="895" ht="15.75" customHeight="1">
      <c r="A895" s="129"/>
      <c r="B895" s="129"/>
      <c r="C895" s="129"/>
      <c r="D895" s="129"/>
      <c r="E895" s="129"/>
      <c r="F895" s="129"/>
      <c r="G895" s="129"/>
      <c r="H895" s="129"/>
      <c r="I895" s="129"/>
      <c r="J895" s="129"/>
      <c r="K895" s="129"/>
      <c r="L895" s="129"/>
      <c r="M895" s="129"/>
      <c r="N895" s="129"/>
      <c r="O895" s="129"/>
      <c r="P895" s="129"/>
      <c r="Q895" s="129"/>
      <c r="R895" s="129"/>
      <c r="S895" s="129"/>
      <c r="T895" s="129"/>
      <c r="U895" s="129"/>
      <c r="V895" s="129"/>
      <c r="W895" s="129"/>
      <c r="X895" s="129"/>
      <c r="Y895" s="129"/>
      <c r="Z895" s="129"/>
    </row>
    <row r="896" ht="15.75" customHeight="1">
      <c r="A896" s="129"/>
      <c r="B896" s="129"/>
      <c r="C896" s="129"/>
      <c r="D896" s="129"/>
      <c r="E896" s="129"/>
      <c r="F896" s="129"/>
      <c r="G896" s="129"/>
      <c r="H896" s="129"/>
      <c r="I896" s="129"/>
      <c r="J896" s="129"/>
      <c r="K896" s="129"/>
      <c r="L896" s="129"/>
      <c r="M896" s="129"/>
      <c r="N896" s="129"/>
      <c r="O896" s="129"/>
      <c r="P896" s="129"/>
      <c r="Q896" s="129"/>
      <c r="R896" s="129"/>
      <c r="S896" s="129"/>
      <c r="T896" s="129"/>
      <c r="U896" s="129"/>
      <c r="V896" s="129"/>
      <c r="W896" s="129"/>
      <c r="X896" s="129"/>
      <c r="Y896" s="129"/>
      <c r="Z896" s="129"/>
    </row>
    <row r="897" ht="15.75" customHeight="1">
      <c r="A897" s="129"/>
      <c r="B897" s="129"/>
      <c r="C897" s="129"/>
      <c r="D897" s="129"/>
      <c r="E897" s="129"/>
      <c r="F897" s="129"/>
      <c r="G897" s="129"/>
      <c r="H897" s="129"/>
      <c r="I897" s="129"/>
      <c r="J897" s="129"/>
      <c r="K897" s="129"/>
      <c r="L897" s="129"/>
      <c r="M897" s="129"/>
      <c r="N897" s="129"/>
      <c r="O897" s="129"/>
      <c r="P897" s="129"/>
      <c r="Q897" s="129"/>
      <c r="R897" s="129"/>
      <c r="S897" s="129"/>
      <c r="T897" s="129"/>
      <c r="U897" s="129"/>
      <c r="V897" s="129"/>
      <c r="W897" s="129"/>
      <c r="X897" s="129"/>
      <c r="Y897" s="129"/>
      <c r="Z897" s="129"/>
    </row>
    <row r="898" ht="15.75" customHeight="1">
      <c r="A898" s="129"/>
      <c r="B898" s="129"/>
      <c r="C898" s="129"/>
      <c r="D898" s="129"/>
      <c r="E898" s="129"/>
      <c r="F898" s="129"/>
      <c r="G898" s="129"/>
      <c r="H898" s="129"/>
      <c r="I898" s="129"/>
      <c r="J898" s="129"/>
      <c r="K898" s="129"/>
      <c r="L898" s="129"/>
      <c r="M898" s="129"/>
      <c r="N898" s="129"/>
      <c r="O898" s="129"/>
      <c r="P898" s="129"/>
      <c r="Q898" s="129"/>
      <c r="R898" s="129"/>
      <c r="S898" s="129"/>
      <c r="T898" s="129"/>
      <c r="U898" s="129"/>
      <c r="V898" s="129"/>
      <c r="W898" s="129"/>
      <c r="X898" s="129"/>
      <c r="Y898" s="129"/>
      <c r="Z898" s="129"/>
    </row>
    <row r="899" ht="15.75" customHeight="1">
      <c r="A899" s="129"/>
      <c r="B899" s="129"/>
      <c r="C899" s="129"/>
      <c r="D899" s="129"/>
      <c r="E899" s="129"/>
      <c r="F899" s="129"/>
      <c r="G899" s="129"/>
      <c r="H899" s="129"/>
      <c r="I899" s="129"/>
      <c r="J899" s="129"/>
      <c r="K899" s="129"/>
      <c r="L899" s="129"/>
      <c r="M899" s="129"/>
      <c r="N899" s="129"/>
      <c r="O899" s="129"/>
      <c r="P899" s="129"/>
      <c r="Q899" s="129"/>
      <c r="R899" s="129"/>
      <c r="S899" s="129"/>
      <c r="T899" s="129"/>
      <c r="U899" s="129"/>
      <c r="V899" s="129"/>
      <c r="W899" s="129"/>
      <c r="X899" s="129"/>
      <c r="Y899" s="129"/>
      <c r="Z899" s="129"/>
    </row>
    <row r="900" ht="15.75" customHeight="1">
      <c r="A900" s="129"/>
      <c r="B900" s="129"/>
      <c r="C900" s="129"/>
      <c r="D900" s="129"/>
      <c r="E900" s="129"/>
      <c r="F900" s="129"/>
      <c r="G900" s="129"/>
      <c r="H900" s="129"/>
      <c r="I900" s="129"/>
      <c r="J900" s="129"/>
      <c r="K900" s="129"/>
      <c r="L900" s="129"/>
      <c r="M900" s="129"/>
      <c r="N900" s="129"/>
      <c r="O900" s="129"/>
      <c r="P900" s="129"/>
      <c r="Q900" s="129"/>
      <c r="R900" s="129"/>
      <c r="S900" s="129"/>
      <c r="T900" s="129"/>
      <c r="U900" s="129"/>
      <c r="V900" s="129"/>
      <c r="W900" s="129"/>
      <c r="X900" s="129"/>
      <c r="Y900" s="129"/>
      <c r="Z900" s="129"/>
    </row>
    <row r="901" ht="15.75" customHeight="1">
      <c r="A901" s="129"/>
      <c r="B901" s="129"/>
      <c r="C901" s="129"/>
      <c r="D901" s="129"/>
      <c r="E901" s="129"/>
      <c r="F901" s="129"/>
      <c r="G901" s="129"/>
      <c r="H901" s="129"/>
      <c r="I901" s="129"/>
      <c r="J901" s="129"/>
      <c r="K901" s="129"/>
      <c r="L901" s="129"/>
      <c r="M901" s="129"/>
      <c r="N901" s="129"/>
      <c r="O901" s="129"/>
      <c r="P901" s="129"/>
      <c r="Q901" s="129"/>
      <c r="R901" s="129"/>
      <c r="S901" s="129"/>
      <c r="T901" s="129"/>
      <c r="U901" s="129"/>
      <c r="V901" s="129"/>
      <c r="W901" s="129"/>
      <c r="X901" s="129"/>
      <c r="Y901" s="129"/>
      <c r="Z901" s="129"/>
    </row>
    <row r="902" ht="15.75" customHeight="1">
      <c r="A902" s="129"/>
      <c r="B902" s="129"/>
      <c r="C902" s="129"/>
      <c r="D902" s="129"/>
      <c r="E902" s="129"/>
      <c r="F902" s="129"/>
      <c r="G902" s="129"/>
      <c r="H902" s="129"/>
      <c r="I902" s="129"/>
      <c r="J902" s="129"/>
      <c r="K902" s="129"/>
      <c r="L902" s="129"/>
      <c r="M902" s="129"/>
      <c r="N902" s="129"/>
      <c r="O902" s="129"/>
      <c r="P902" s="129"/>
      <c r="Q902" s="129"/>
      <c r="R902" s="129"/>
      <c r="S902" s="129"/>
      <c r="T902" s="129"/>
      <c r="U902" s="129"/>
      <c r="V902" s="129"/>
      <c r="W902" s="129"/>
      <c r="X902" s="129"/>
      <c r="Y902" s="129"/>
      <c r="Z902" s="129"/>
    </row>
    <row r="903" ht="15.75" customHeight="1">
      <c r="A903" s="129"/>
      <c r="B903" s="129"/>
      <c r="C903" s="129"/>
      <c r="D903" s="129"/>
      <c r="E903" s="129"/>
      <c r="F903" s="129"/>
      <c r="G903" s="129"/>
      <c r="H903" s="129"/>
      <c r="I903" s="129"/>
      <c r="J903" s="129"/>
      <c r="K903" s="129"/>
      <c r="L903" s="129"/>
      <c r="M903" s="129"/>
      <c r="N903" s="129"/>
      <c r="O903" s="129"/>
      <c r="P903" s="129"/>
      <c r="Q903" s="129"/>
      <c r="R903" s="129"/>
      <c r="S903" s="129"/>
      <c r="T903" s="129"/>
      <c r="U903" s="129"/>
      <c r="V903" s="129"/>
      <c r="W903" s="129"/>
      <c r="X903" s="129"/>
      <c r="Y903" s="129"/>
      <c r="Z903" s="129"/>
    </row>
    <row r="904" ht="15.75" customHeight="1">
      <c r="A904" s="129"/>
      <c r="B904" s="129"/>
      <c r="C904" s="129"/>
      <c r="D904" s="129"/>
      <c r="E904" s="129"/>
      <c r="F904" s="129"/>
      <c r="G904" s="129"/>
      <c r="H904" s="129"/>
      <c r="I904" s="129"/>
      <c r="J904" s="129"/>
      <c r="K904" s="129"/>
      <c r="L904" s="129"/>
      <c r="M904" s="129"/>
      <c r="N904" s="129"/>
      <c r="O904" s="129"/>
      <c r="P904" s="129"/>
      <c r="Q904" s="129"/>
      <c r="R904" s="129"/>
      <c r="S904" s="129"/>
      <c r="T904" s="129"/>
      <c r="U904" s="129"/>
      <c r="V904" s="129"/>
      <c r="W904" s="129"/>
      <c r="X904" s="129"/>
      <c r="Y904" s="129"/>
      <c r="Z904" s="129"/>
    </row>
    <row r="905" ht="15.75" customHeight="1">
      <c r="A905" s="129"/>
      <c r="B905" s="129"/>
      <c r="C905" s="129"/>
      <c r="D905" s="129"/>
      <c r="E905" s="129"/>
      <c r="F905" s="129"/>
      <c r="G905" s="129"/>
      <c r="H905" s="129"/>
      <c r="I905" s="129"/>
      <c r="J905" s="129"/>
      <c r="K905" s="129"/>
      <c r="L905" s="129"/>
      <c r="M905" s="129"/>
      <c r="N905" s="129"/>
      <c r="O905" s="129"/>
      <c r="P905" s="129"/>
      <c r="Q905" s="129"/>
      <c r="R905" s="129"/>
      <c r="S905" s="129"/>
      <c r="T905" s="129"/>
      <c r="U905" s="129"/>
      <c r="V905" s="129"/>
      <c r="W905" s="129"/>
      <c r="X905" s="129"/>
      <c r="Y905" s="129"/>
      <c r="Z905" s="129"/>
    </row>
    <row r="906" ht="15.75" customHeight="1">
      <c r="A906" s="129"/>
      <c r="B906" s="129"/>
      <c r="C906" s="129"/>
      <c r="D906" s="129"/>
      <c r="E906" s="129"/>
      <c r="F906" s="129"/>
      <c r="G906" s="129"/>
      <c r="H906" s="129"/>
      <c r="I906" s="129"/>
      <c r="J906" s="129"/>
      <c r="K906" s="129"/>
      <c r="L906" s="129"/>
      <c r="M906" s="129"/>
      <c r="N906" s="129"/>
      <c r="O906" s="129"/>
      <c r="P906" s="129"/>
      <c r="Q906" s="129"/>
      <c r="R906" s="129"/>
      <c r="S906" s="129"/>
      <c r="T906" s="129"/>
      <c r="U906" s="129"/>
      <c r="V906" s="129"/>
      <c r="W906" s="129"/>
      <c r="X906" s="129"/>
      <c r="Y906" s="129"/>
      <c r="Z906" s="129"/>
    </row>
    <row r="907" ht="15.75" customHeight="1">
      <c r="A907" s="129"/>
      <c r="B907" s="129"/>
      <c r="C907" s="129"/>
      <c r="D907" s="129"/>
      <c r="E907" s="129"/>
      <c r="F907" s="129"/>
      <c r="G907" s="129"/>
      <c r="H907" s="129"/>
      <c r="I907" s="129"/>
      <c r="J907" s="129"/>
      <c r="K907" s="129"/>
      <c r="L907" s="129"/>
      <c r="M907" s="129"/>
      <c r="N907" s="129"/>
      <c r="O907" s="129"/>
      <c r="P907" s="129"/>
      <c r="Q907" s="129"/>
      <c r="R907" s="129"/>
      <c r="S907" s="129"/>
      <c r="T907" s="129"/>
      <c r="U907" s="129"/>
      <c r="V907" s="129"/>
      <c r="W907" s="129"/>
      <c r="X907" s="129"/>
      <c r="Y907" s="129"/>
      <c r="Z907" s="129"/>
    </row>
    <row r="908" ht="15.75" customHeight="1">
      <c r="A908" s="129"/>
      <c r="B908" s="129"/>
      <c r="C908" s="129"/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29"/>
      <c r="O908" s="129"/>
      <c r="P908" s="129"/>
      <c r="Q908" s="129"/>
      <c r="R908" s="129"/>
      <c r="S908" s="129"/>
      <c r="T908" s="129"/>
      <c r="U908" s="129"/>
      <c r="V908" s="129"/>
      <c r="W908" s="129"/>
      <c r="X908" s="129"/>
      <c r="Y908" s="129"/>
      <c r="Z908" s="129"/>
    </row>
    <row r="909" ht="15.75" customHeight="1">
      <c r="A909" s="129"/>
      <c r="B909" s="129"/>
      <c r="C909" s="129"/>
      <c r="D909" s="129"/>
      <c r="E909" s="129"/>
      <c r="F909" s="129"/>
      <c r="G909" s="129"/>
      <c r="H909" s="129"/>
      <c r="I909" s="129"/>
      <c r="J909" s="129"/>
      <c r="K909" s="129"/>
      <c r="L909" s="129"/>
      <c r="M909" s="129"/>
      <c r="N909" s="129"/>
      <c r="O909" s="129"/>
      <c r="P909" s="129"/>
      <c r="Q909" s="129"/>
      <c r="R909" s="129"/>
      <c r="S909" s="129"/>
      <c r="T909" s="129"/>
      <c r="U909" s="129"/>
      <c r="V909" s="129"/>
      <c r="W909" s="129"/>
      <c r="X909" s="129"/>
      <c r="Y909" s="129"/>
      <c r="Z909" s="129"/>
    </row>
    <row r="910" ht="15.75" customHeight="1">
      <c r="A910" s="129"/>
      <c r="B910" s="129"/>
      <c r="C910" s="129"/>
      <c r="D910" s="129"/>
      <c r="E910" s="129"/>
      <c r="F910" s="129"/>
      <c r="G910" s="129"/>
      <c r="H910" s="129"/>
      <c r="I910" s="129"/>
      <c r="J910" s="129"/>
      <c r="K910" s="129"/>
      <c r="L910" s="129"/>
      <c r="M910" s="129"/>
      <c r="N910" s="129"/>
      <c r="O910" s="129"/>
      <c r="P910" s="129"/>
      <c r="Q910" s="129"/>
      <c r="R910" s="129"/>
      <c r="S910" s="129"/>
      <c r="T910" s="129"/>
      <c r="U910" s="129"/>
      <c r="V910" s="129"/>
      <c r="W910" s="129"/>
      <c r="X910" s="129"/>
      <c r="Y910" s="129"/>
      <c r="Z910" s="129"/>
    </row>
    <row r="911" ht="15.75" customHeight="1">
      <c r="A911" s="129"/>
      <c r="B911" s="129"/>
      <c r="C911" s="129"/>
      <c r="D911" s="129"/>
      <c r="E911" s="129"/>
      <c r="F911" s="129"/>
      <c r="G911" s="129"/>
      <c r="H911" s="129"/>
      <c r="I911" s="129"/>
      <c r="J911" s="129"/>
      <c r="K911" s="129"/>
      <c r="L911" s="129"/>
      <c r="M911" s="129"/>
      <c r="N911" s="129"/>
      <c r="O911" s="129"/>
      <c r="P911" s="129"/>
      <c r="Q911" s="129"/>
      <c r="R911" s="129"/>
      <c r="S911" s="129"/>
      <c r="T911" s="129"/>
      <c r="U911" s="129"/>
      <c r="V911" s="129"/>
      <c r="W911" s="129"/>
      <c r="X911" s="129"/>
      <c r="Y911" s="129"/>
      <c r="Z911" s="129"/>
    </row>
    <row r="912" ht="15.75" customHeight="1">
      <c r="A912" s="129"/>
      <c r="B912" s="129"/>
      <c r="C912" s="129"/>
      <c r="D912" s="129"/>
      <c r="E912" s="129"/>
      <c r="F912" s="129"/>
      <c r="G912" s="129"/>
      <c r="H912" s="129"/>
      <c r="I912" s="129"/>
      <c r="J912" s="129"/>
      <c r="K912" s="129"/>
      <c r="L912" s="129"/>
      <c r="M912" s="129"/>
      <c r="N912" s="129"/>
      <c r="O912" s="129"/>
      <c r="P912" s="129"/>
      <c r="Q912" s="129"/>
      <c r="R912" s="129"/>
      <c r="S912" s="129"/>
      <c r="T912" s="129"/>
      <c r="U912" s="129"/>
      <c r="V912" s="129"/>
      <c r="W912" s="129"/>
      <c r="X912" s="129"/>
      <c r="Y912" s="129"/>
      <c r="Z912" s="129"/>
    </row>
    <row r="913" ht="15.75" customHeight="1">
      <c r="A913" s="129"/>
      <c r="B913" s="129"/>
      <c r="C913" s="129"/>
      <c r="D913" s="129"/>
      <c r="E913" s="129"/>
      <c r="F913" s="129"/>
      <c r="G913" s="129"/>
      <c r="H913" s="129"/>
      <c r="I913" s="129"/>
      <c r="J913" s="129"/>
      <c r="K913" s="129"/>
      <c r="L913" s="129"/>
      <c r="M913" s="129"/>
      <c r="N913" s="129"/>
      <c r="O913" s="129"/>
      <c r="P913" s="129"/>
      <c r="Q913" s="129"/>
      <c r="R913" s="129"/>
      <c r="S913" s="129"/>
      <c r="T913" s="129"/>
      <c r="U913" s="129"/>
      <c r="V913" s="129"/>
      <c r="W913" s="129"/>
      <c r="X913" s="129"/>
      <c r="Y913" s="129"/>
      <c r="Z913" s="129"/>
    </row>
    <row r="914" ht="15.75" customHeight="1">
      <c r="A914" s="129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  <c r="O914" s="129"/>
      <c r="P914" s="129"/>
      <c r="Q914" s="129"/>
      <c r="R914" s="129"/>
      <c r="S914" s="129"/>
      <c r="T914" s="129"/>
      <c r="U914" s="129"/>
      <c r="V914" s="129"/>
      <c r="W914" s="129"/>
      <c r="X914" s="129"/>
      <c r="Y914" s="129"/>
      <c r="Z914" s="129"/>
    </row>
    <row r="915" ht="15.75" customHeight="1">
      <c r="A915" s="129"/>
      <c r="B915" s="129"/>
      <c r="C915" s="129"/>
      <c r="D915" s="129"/>
      <c r="E915" s="129"/>
      <c r="F915" s="129"/>
      <c r="G915" s="129"/>
      <c r="H915" s="129"/>
      <c r="I915" s="129"/>
      <c r="J915" s="129"/>
      <c r="K915" s="129"/>
      <c r="L915" s="129"/>
      <c r="M915" s="129"/>
      <c r="N915" s="129"/>
      <c r="O915" s="129"/>
      <c r="P915" s="129"/>
      <c r="Q915" s="129"/>
      <c r="R915" s="129"/>
      <c r="S915" s="129"/>
      <c r="T915" s="129"/>
      <c r="U915" s="129"/>
      <c r="V915" s="129"/>
      <c r="W915" s="129"/>
      <c r="X915" s="129"/>
      <c r="Y915" s="129"/>
      <c r="Z915" s="129"/>
    </row>
    <row r="916" ht="15.75" customHeight="1">
      <c r="A916" s="129"/>
      <c r="B916" s="129"/>
      <c r="C916" s="129"/>
      <c r="D916" s="129"/>
      <c r="E916" s="129"/>
      <c r="F916" s="129"/>
      <c r="G916" s="129"/>
      <c r="H916" s="129"/>
      <c r="I916" s="129"/>
      <c r="J916" s="129"/>
      <c r="K916" s="129"/>
      <c r="L916" s="129"/>
      <c r="M916" s="129"/>
      <c r="N916" s="129"/>
      <c r="O916" s="129"/>
      <c r="P916" s="129"/>
      <c r="Q916" s="129"/>
      <c r="R916" s="129"/>
      <c r="S916" s="129"/>
      <c r="T916" s="129"/>
      <c r="U916" s="129"/>
      <c r="V916" s="129"/>
      <c r="W916" s="129"/>
      <c r="X916" s="129"/>
      <c r="Y916" s="129"/>
      <c r="Z916" s="129"/>
    </row>
    <row r="917" ht="15.75" customHeight="1">
      <c r="A917" s="129"/>
      <c r="B917" s="129"/>
      <c r="C917" s="129"/>
      <c r="D917" s="129"/>
      <c r="E917" s="129"/>
      <c r="F917" s="129"/>
      <c r="G917" s="129"/>
      <c r="H917" s="129"/>
      <c r="I917" s="129"/>
      <c r="J917" s="129"/>
      <c r="K917" s="129"/>
      <c r="L917" s="129"/>
      <c r="M917" s="129"/>
      <c r="N917" s="129"/>
      <c r="O917" s="129"/>
      <c r="P917" s="129"/>
      <c r="Q917" s="129"/>
      <c r="R917" s="129"/>
      <c r="S917" s="129"/>
      <c r="T917" s="129"/>
      <c r="U917" s="129"/>
      <c r="V917" s="129"/>
      <c r="W917" s="129"/>
      <c r="X917" s="129"/>
      <c r="Y917" s="129"/>
      <c r="Z917" s="129"/>
    </row>
    <row r="918" ht="15.75" customHeight="1">
      <c r="A918" s="129"/>
      <c r="B918" s="129"/>
      <c r="C918" s="129"/>
      <c r="D918" s="129"/>
      <c r="E918" s="129"/>
      <c r="F918" s="129"/>
      <c r="G918" s="129"/>
      <c r="H918" s="129"/>
      <c r="I918" s="129"/>
      <c r="J918" s="129"/>
      <c r="K918" s="129"/>
      <c r="L918" s="129"/>
      <c r="M918" s="129"/>
      <c r="N918" s="129"/>
      <c r="O918" s="129"/>
      <c r="P918" s="129"/>
      <c r="Q918" s="129"/>
      <c r="R918" s="129"/>
      <c r="S918" s="129"/>
      <c r="T918" s="129"/>
      <c r="U918" s="129"/>
      <c r="V918" s="129"/>
      <c r="W918" s="129"/>
      <c r="X918" s="129"/>
      <c r="Y918" s="129"/>
      <c r="Z918" s="129"/>
    </row>
    <row r="919" ht="15.75" customHeight="1">
      <c r="A919" s="129"/>
      <c r="B919" s="129"/>
      <c r="C919" s="129"/>
      <c r="D919" s="129"/>
      <c r="E919" s="129"/>
      <c r="F919" s="129"/>
      <c r="G919" s="129"/>
      <c r="H919" s="129"/>
      <c r="I919" s="129"/>
      <c r="J919" s="129"/>
      <c r="K919" s="129"/>
      <c r="L919" s="129"/>
      <c r="M919" s="129"/>
      <c r="N919" s="129"/>
      <c r="O919" s="129"/>
      <c r="P919" s="129"/>
      <c r="Q919" s="129"/>
      <c r="R919" s="129"/>
      <c r="S919" s="129"/>
      <c r="T919" s="129"/>
      <c r="U919" s="129"/>
      <c r="V919" s="129"/>
      <c r="W919" s="129"/>
      <c r="X919" s="129"/>
      <c r="Y919" s="129"/>
      <c r="Z919" s="129"/>
    </row>
    <row r="920" ht="15.75" customHeight="1">
      <c r="A920" s="129"/>
      <c r="B920" s="129"/>
      <c r="C920" s="129"/>
      <c r="D920" s="129"/>
      <c r="E920" s="129"/>
      <c r="F920" s="129"/>
      <c r="G920" s="129"/>
      <c r="H920" s="129"/>
      <c r="I920" s="129"/>
      <c r="J920" s="129"/>
      <c r="K920" s="129"/>
      <c r="L920" s="129"/>
      <c r="M920" s="129"/>
      <c r="N920" s="129"/>
      <c r="O920" s="129"/>
      <c r="P920" s="129"/>
      <c r="Q920" s="129"/>
      <c r="R920" s="129"/>
      <c r="S920" s="129"/>
      <c r="T920" s="129"/>
      <c r="U920" s="129"/>
      <c r="V920" s="129"/>
      <c r="W920" s="129"/>
      <c r="X920" s="129"/>
      <c r="Y920" s="129"/>
      <c r="Z920" s="129"/>
    </row>
    <row r="921" ht="15.75" customHeight="1">
      <c r="A921" s="129"/>
      <c r="B921" s="129"/>
      <c r="C921" s="129"/>
      <c r="D921" s="129"/>
      <c r="E921" s="129"/>
      <c r="F921" s="129"/>
      <c r="G921" s="129"/>
      <c r="H921" s="129"/>
      <c r="I921" s="129"/>
      <c r="J921" s="129"/>
      <c r="K921" s="129"/>
      <c r="L921" s="129"/>
      <c r="M921" s="129"/>
      <c r="N921" s="129"/>
      <c r="O921" s="129"/>
      <c r="P921" s="129"/>
      <c r="Q921" s="129"/>
      <c r="R921" s="129"/>
      <c r="S921" s="129"/>
      <c r="T921" s="129"/>
      <c r="U921" s="129"/>
      <c r="V921" s="129"/>
      <c r="W921" s="129"/>
      <c r="X921" s="129"/>
      <c r="Y921" s="129"/>
      <c r="Z921" s="129"/>
    </row>
    <row r="922" ht="15.75" customHeight="1">
      <c r="A922" s="129"/>
      <c r="B922" s="129"/>
      <c r="C922" s="129"/>
      <c r="D922" s="129"/>
      <c r="E922" s="129"/>
      <c r="F922" s="129"/>
      <c r="G922" s="129"/>
      <c r="H922" s="129"/>
      <c r="I922" s="129"/>
      <c r="J922" s="129"/>
      <c r="K922" s="129"/>
      <c r="L922" s="129"/>
      <c r="M922" s="129"/>
      <c r="N922" s="129"/>
      <c r="O922" s="129"/>
      <c r="P922" s="129"/>
      <c r="Q922" s="129"/>
      <c r="R922" s="129"/>
      <c r="S922" s="129"/>
      <c r="T922" s="129"/>
      <c r="U922" s="129"/>
      <c r="V922" s="129"/>
      <c r="W922" s="129"/>
      <c r="X922" s="129"/>
      <c r="Y922" s="129"/>
      <c r="Z922" s="129"/>
    </row>
    <row r="923" ht="15.75" customHeight="1">
      <c r="A923" s="129"/>
      <c r="B923" s="129"/>
      <c r="C923" s="129"/>
      <c r="D923" s="129"/>
      <c r="E923" s="129"/>
      <c r="F923" s="129"/>
      <c r="G923" s="129"/>
      <c r="H923" s="129"/>
      <c r="I923" s="129"/>
      <c r="J923" s="129"/>
      <c r="K923" s="129"/>
      <c r="L923" s="129"/>
      <c r="M923" s="129"/>
      <c r="N923" s="129"/>
      <c r="O923" s="129"/>
      <c r="P923" s="129"/>
      <c r="Q923" s="129"/>
      <c r="R923" s="129"/>
      <c r="S923" s="129"/>
      <c r="T923" s="129"/>
      <c r="U923" s="129"/>
      <c r="V923" s="129"/>
      <c r="W923" s="129"/>
      <c r="X923" s="129"/>
      <c r="Y923" s="129"/>
      <c r="Z923" s="129"/>
    </row>
    <row r="924" ht="15.75" customHeight="1">
      <c r="A924" s="129"/>
      <c r="B924" s="129"/>
      <c r="C924" s="129"/>
      <c r="D924" s="129"/>
      <c r="E924" s="129"/>
      <c r="F924" s="129"/>
      <c r="G924" s="129"/>
      <c r="H924" s="129"/>
      <c r="I924" s="129"/>
      <c r="J924" s="129"/>
      <c r="K924" s="129"/>
      <c r="L924" s="129"/>
      <c r="M924" s="129"/>
      <c r="N924" s="129"/>
      <c r="O924" s="129"/>
      <c r="P924" s="129"/>
      <c r="Q924" s="129"/>
      <c r="R924" s="129"/>
      <c r="S924" s="129"/>
      <c r="T924" s="129"/>
      <c r="U924" s="129"/>
      <c r="V924" s="129"/>
      <c r="W924" s="129"/>
      <c r="X924" s="129"/>
      <c r="Y924" s="129"/>
      <c r="Z924" s="129"/>
    </row>
    <row r="925" ht="15.75" customHeight="1">
      <c r="A925" s="129"/>
      <c r="B925" s="129"/>
      <c r="C925" s="129"/>
      <c r="D925" s="129"/>
      <c r="E925" s="129"/>
      <c r="F925" s="129"/>
      <c r="G925" s="129"/>
      <c r="H925" s="129"/>
      <c r="I925" s="129"/>
      <c r="J925" s="129"/>
      <c r="K925" s="129"/>
      <c r="L925" s="129"/>
      <c r="M925" s="129"/>
      <c r="N925" s="129"/>
      <c r="O925" s="129"/>
      <c r="P925" s="129"/>
      <c r="Q925" s="129"/>
      <c r="R925" s="129"/>
      <c r="S925" s="129"/>
      <c r="T925" s="129"/>
      <c r="U925" s="129"/>
      <c r="V925" s="129"/>
      <c r="W925" s="129"/>
      <c r="X925" s="129"/>
      <c r="Y925" s="129"/>
      <c r="Z925" s="129"/>
    </row>
    <row r="926" ht="15.75" customHeight="1">
      <c r="A926" s="129"/>
      <c r="B926" s="129"/>
      <c r="C926" s="129"/>
      <c r="D926" s="129"/>
      <c r="E926" s="129"/>
      <c r="F926" s="129"/>
      <c r="G926" s="129"/>
      <c r="H926" s="129"/>
      <c r="I926" s="129"/>
      <c r="J926" s="129"/>
      <c r="K926" s="129"/>
      <c r="L926" s="129"/>
      <c r="M926" s="129"/>
      <c r="N926" s="129"/>
      <c r="O926" s="129"/>
      <c r="P926" s="129"/>
      <c r="Q926" s="129"/>
      <c r="R926" s="129"/>
      <c r="S926" s="129"/>
      <c r="T926" s="129"/>
      <c r="U926" s="129"/>
      <c r="V926" s="129"/>
      <c r="W926" s="129"/>
      <c r="X926" s="129"/>
      <c r="Y926" s="129"/>
      <c r="Z926" s="129"/>
    </row>
    <row r="927" ht="15.75" customHeight="1">
      <c r="A927" s="129"/>
      <c r="B927" s="129"/>
      <c r="C927" s="129"/>
      <c r="D927" s="129"/>
      <c r="E927" s="129"/>
      <c r="F927" s="129"/>
      <c r="G927" s="129"/>
      <c r="H927" s="129"/>
      <c r="I927" s="129"/>
      <c r="J927" s="129"/>
      <c r="K927" s="129"/>
      <c r="L927" s="129"/>
      <c r="M927" s="129"/>
      <c r="N927" s="129"/>
      <c r="O927" s="129"/>
      <c r="P927" s="129"/>
      <c r="Q927" s="129"/>
      <c r="R927" s="129"/>
      <c r="S927" s="129"/>
      <c r="T927" s="129"/>
      <c r="U927" s="129"/>
      <c r="V927" s="129"/>
      <c r="W927" s="129"/>
      <c r="X927" s="129"/>
      <c r="Y927" s="129"/>
      <c r="Z927" s="129"/>
    </row>
    <row r="928" ht="15.75" customHeight="1">
      <c r="A928" s="129"/>
      <c r="B928" s="129"/>
      <c r="C928" s="129"/>
      <c r="D928" s="129"/>
      <c r="E928" s="129"/>
      <c r="F928" s="129"/>
      <c r="G928" s="129"/>
      <c r="H928" s="129"/>
      <c r="I928" s="129"/>
      <c r="J928" s="129"/>
      <c r="K928" s="129"/>
      <c r="L928" s="129"/>
      <c r="M928" s="129"/>
      <c r="N928" s="129"/>
      <c r="O928" s="129"/>
      <c r="P928" s="129"/>
      <c r="Q928" s="129"/>
      <c r="R928" s="129"/>
      <c r="S928" s="129"/>
      <c r="T928" s="129"/>
      <c r="U928" s="129"/>
      <c r="V928" s="129"/>
      <c r="W928" s="129"/>
      <c r="X928" s="129"/>
      <c r="Y928" s="129"/>
      <c r="Z928" s="129"/>
    </row>
    <row r="929" ht="15.75" customHeight="1">
      <c r="A929" s="129"/>
      <c r="B929" s="129"/>
      <c r="C929" s="129"/>
      <c r="D929" s="129"/>
      <c r="E929" s="129"/>
      <c r="F929" s="129"/>
      <c r="G929" s="129"/>
      <c r="H929" s="129"/>
      <c r="I929" s="129"/>
      <c r="J929" s="129"/>
      <c r="K929" s="129"/>
      <c r="L929" s="129"/>
      <c r="M929" s="129"/>
      <c r="N929" s="129"/>
      <c r="O929" s="129"/>
      <c r="P929" s="129"/>
      <c r="Q929" s="129"/>
      <c r="R929" s="129"/>
      <c r="S929" s="129"/>
      <c r="T929" s="129"/>
      <c r="U929" s="129"/>
      <c r="V929" s="129"/>
      <c r="W929" s="129"/>
      <c r="X929" s="129"/>
      <c r="Y929" s="129"/>
      <c r="Z929" s="129"/>
    </row>
    <row r="930" ht="15.75" customHeight="1">
      <c r="A930" s="129"/>
      <c r="B930" s="129"/>
      <c r="C930" s="129"/>
      <c r="D930" s="129"/>
      <c r="E930" s="129"/>
      <c r="F930" s="129"/>
      <c r="G930" s="129"/>
      <c r="H930" s="129"/>
      <c r="I930" s="129"/>
      <c r="J930" s="129"/>
      <c r="K930" s="129"/>
      <c r="L930" s="129"/>
      <c r="M930" s="129"/>
      <c r="N930" s="129"/>
      <c r="O930" s="129"/>
      <c r="P930" s="129"/>
      <c r="Q930" s="129"/>
      <c r="R930" s="129"/>
      <c r="S930" s="129"/>
      <c r="T930" s="129"/>
      <c r="U930" s="129"/>
      <c r="V930" s="129"/>
      <c r="W930" s="129"/>
      <c r="X930" s="129"/>
      <c r="Y930" s="129"/>
      <c r="Z930" s="129"/>
    </row>
    <row r="931" ht="15.75" customHeight="1">
      <c r="A931" s="129"/>
      <c r="B931" s="129"/>
      <c r="C931" s="129"/>
      <c r="D931" s="129"/>
      <c r="E931" s="129"/>
      <c r="F931" s="129"/>
      <c r="G931" s="129"/>
      <c r="H931" s="129"/>
      <c r="I931" s="129"/>
      <c r="J931" s="129"/>
      <c r="K931" s="129"/>
      <c r="L931" s="129"/>
      <c r="M931" s="129"/>
      <c r="N931" s="129"/>
      <c r="O931" s="129"/>
      <c r="P931" s="129"/>
      <c r="Q931" s="129"/>
      <c r="R931" s="129"/>
      <c r="S931" s="129"/>
      <c r="T931" s="129"/>
      <c r="U931" s="129"/>
      <c r="V931" s="129"/>
      <c r="W931" s="129"/>
      <c r="X931" s="129"/>
      <c r="Y931" s="129"/>
      <c r="Z931" s="129"/>
    </row>
    <row r="932" ht="15.75" customHeight="1">
      <c r="A932" s="129"/>
      <c r="B932" s="129"/>
      <c r="C932" s="129"/>
      <c r="D932" s="129"/>
      <c r="E932" s="129"/>
      <c r="F932" s="129"/>
      <c r="G932" s="129"/>
      <c r="H932" s="129"/>
      <c r="I932" s="129"/>
      <c r="J932" s="129"/>
      <c r="K932" s="129"/>
      <c r="L932" s="129"/>
      <c r="M932" s="129"/>
      <c r="N932" s="129"/>
      <c r="O932" s="129"/>
      <c r="P932" s="129"/>
      <c r="Q932" s="129"/>
      <c r="R932" s="129"/>
      <c r="S932" s="129"/>
      <c r="T932" s="129"/>
      <c r="U932" s="129"/>
      <c r="V932" s="129"/>
      <c r="W932" s="129"/>
      <c r="X932" s="129"/>
      <c r="Y932" s="129"/>
      <c r="Z932" s="129"/>
    </row>
    <row r="933" ht="15.75" customHeight="1">
      <c r="A933" s="129"/>
      <c r="B933" s="129"/>
      <c r="C933" s="129"/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29"/>
      <c r="O933" s="129"/>
      <c r="P933" s="129"/>
      <c r="Q933" s="129"/>
      <c r="R933" s="129"/>
      <c r="S933" s="129"/>
      <c r="T933" s="129"/>
      <c r="U933" s="129"/>
      <c r="V933" s="129"/>
      <c r="W933" s="129"/>
      <c r="X933" s="129"/>
      <c r="Y933" s="129"/>
      <c r="Z933" s="129"/>
    </row>
    <row r="934" ht="15.75" customHeight="1">
      <c r="A934" s="129"/>
      <c r="B934" s="129"/>
      <c r="C934" s="129"/>
      <c r="D934" s="129"/>
      <c r="E934" s="129"/>
      <c r="F934" s="129"/>
      <c r="G934" s="129"/>
      <c r="H934" s="129"/>
      <c r="I934" s="129"/>
      <c r="J934" s="129"/>
      <c r="K934" s="129"/>
      <c r="L934" s="129"/>
      <c r="M934" s="129"/>
      <c r="N934" s="129"/>
      <c r="O934" s="129"/>
      <c r="P934" s="129"/>
      <c r="Q934" s="129"/>
      <c r="R934" s="129"/>
      <c r="S934" s="129"/>
      <c r="T934" s="129"/>
      <c r="U934" s="129"/>
      <c r="V934" s="129"/>
      <c r="W934" s="129"/>
      <c r="X934" s="129"/>
      <c r="Y934" s="129"/>
      <c r="Z934" s="129"/>
    </row>
    <row r="935" ht="15.75" customHeight="1">
      <c r="A935" s="129"/>
      <c r="B935" s="129"/>
      <c r="C935" s="129"/>
      <c r="D935" s="129"/>
      <c r="E935" s="129"/>
      <c r="F935" s="129"/>
      <c r="G935" s="129"/>
      <c r="H935" s="129"/>
      <c r="I935" s="129"/>
      <c r="J935" s="129"/>
      <c r="K935" s="129"/>
      <c r="L935" s="129"/>
      <c r="M935" s="129"/>
      <c r="N935" s="129"/>
      <c r="O935" s="129"/>
      <c r="P935" s="129"/>
      <c r="Q935" s="129"/>
      <c r="R935" s="129"/>
      <c r="S935" s="129"/>
      <c r="T935" s="129"/>
      <c r="U935" s="129"/>
      <c r="V935" s="129"/>
      <c r="W935" s="129"/>
      <c r="X935" s="129"/>
      <c r="Y935" s="129"/>
      <c r="Z935" s="129"/>
    </row>
    <row r="936" ht="15.75" customHeight="1">
      <c r="A936" s="129"/>
      <c r="B936" s="129"/>
      <c r="C936" s="129"/>
      <c r="D936" s="129"/>
      <c r="E936" s="129"/>
      <c r="F936" s="129"/>
      <c r="G936" s="129"/>
      <c r="H936" s="129"/>
      <c r="I936" s="129"/>
      <c r="J936" s="129"/>
      <c r="K936" s="129"/>
      <c r="L936" s="129"/>
      <c r="M936" s="129"/>
      <c r="N936" s="129"/>
      <c r="O936" s="129"/>
      <c r="P936" s="129"/>
      <c r="Q936" s="129"/>
      <c r="R936" s="129"/>
      <c r="S936" s="129"/>
      <c r="T936" s="129"/>
      <c r="U936" s="129"/>
      <c r="V936" s="129"/>
      <c r="W936" s="129"/>
      <c r="X936" s="129"/>
      <c r="Y936" s="129"/>
      <c r="Z936" s="129"/>
    </row>
    <row r="937" ht="15.75" customHeight="1">
      <c r="A937" s="129"/>
      <c r="B937" s="129"/>
      <c r="C937" s="129"/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29"/>
      <c r="O937" s="129"/>
      <c r="P937" s="129"/>
      <c r="Q937" s="129"/>
      <c r="R937" s="129"/>
      <c r="S937" s="129"/>
      <c r="T937" s="129"/>
      <c r="U937" s="129"/>
      <c r="V937" s="129"/>
      <c r="W937" s="129"/>
      <c r="X937" s="129"/>
      <c r="Y937" s="129"/>
      <c r="Z937" s="129"/>
    </row>
    <row r="938" ht="15.75" customHeight="1">
      <c r="A938" s="129"/>
      <c r="B938" s="129"/>
      <c r="C938" s="129"/>
      <c r="D938" s="129"/>
      <c r="E938" s="129"/>
      <c r="F938" s="129"/>
      <c r="G938" s="129"/>
      <c r="H938" s="129"/>
      <c r="I938" s="129"/>
      <c r="J938" s="129"/>
      <c r="K938" s="129"/>
      <c r="L938" s="129"/>
      <c r="M938" s="129"/>
      <c r="N938" s="129"/>
      <c r="O938" s="129"/>
      <c r="P938" s="129"/>
      <c r="Q938" s="129"/>
      <c r="R938" s="129"/>
      <c r="S938" s="129"/>
      <c r="T938" s="129"/>
      <c r="U938" s="129"/>
      <c r="V938" s="129"/>
      <c r="W938" s="129"/>
      <c r="X938" s="129"/>
      <c r="Y938" s="129"/>
      <c r="Z938" s="129"/>
    </row>
    <row r="939" ht="15.75" customHeight="1">
      <c r="A939" s="129"/>
      <c r="B939" s="129"/>
      <c r="C939" s="129"/>
      <c r="D939" s="129"/>
      <c r="E939" s="129"/>
      <c r="F939" s="129"/>
      <c r="G939" s="129"/>
      <c r="H939" s="129"/>
      <c r="I939" s="129"/>
      <c r="J939" s="129"/>
      <c r="K939" s="129"/>
      <c r="L939" s="129"/>
      <c r="M939" s="129"/>
      <c r="N939" s="129"/>
      <c r="O939" s="129"/>
      <c r="P939" s="129"/>
      <c r="Q939" s="129"/>
      <c r="R939" s="129"/>
      <c r="S939" s="129"/>
      <c r="T939" s="129"/>
      <c r="U939" s="129"/>
      <c r="V939" s="129"/>
      <c r="W939" s="129"/>
      <c r="X939" s="129"/>
      <c r="Y939" s="129"/>
      <c r="Z939" s="129"/>
    </row>
    <row r="940" ht="15.75" customHeight="1">
      <c r="A940" s="129"/>
      <c r="B940" s="129"/>
      <c r="C940" s="129"/>
      <c r="D940" s="129"/>
      <c r="E940" s="129"/>
      <c r="F940" s="129"/>
      <c r="G940" s="129"/>
      <c r="H940" s="129"/>
      <c r="I940" s="129"/>
      <c r="J940" s="129"/>
      <c r="K940" s="129"/>
      <c r="L940" s="129"/>
      <c r="M940" s="129"/>
      <c r="N940" s="129"/>
      <c r="O940" s="129"/>
      <c r="P940" s="129"/>
      <c r="Q940" s="129"/>
      <c r="R940" s="129"/>
      <c r="S940" s="129"/>
      <c r="T940" s="129"/>
      <c r="U940" s="129"/>
      <c r="V940" s="129"/>
      <c r="W940" s="129"/>
      <c r="X940" s="129"/>
      <c r="Y940" s="129"/>
      <c r="Z940" s="129"/>
    </row>
    <row r="941" ht="15.75" customHeight="1">
      <c r="A941" s="129"/>
      <c r="B941" s="129"/>
      <c r="C941" s="129"/>
      <c r="D941" s="129"/>
      <c r="E941" s="129"/>
      <c r="F941" s="129"/>
      <c r="G941" s="129"/>
      <c r="H941" s="129"/>
      <c r="I941" s="129"/>
      <c r="J941" s="129"/>
      <c r="K941" s="129"/>
      <c r="L941" s="129"/>
      <c r="M941" s="129"/>
      <c r="N941" s="129"/>
      <c r="O941" s="129"/>
      <c r="P941" s="129"/>
      <c r="Q941" s="129"/>
      <c r="R941" s="129"/>
      <c r="S941" s="129"/>
      <c r="T941" s="129"/>
      <c r="U941" s="129"/>
      <c r="V941" s="129"/>
      <c r="W941" s="129"/>
      <c r="X941" s="129"/>
      <c r="Y941" s="129"/>
      <c r="Z941" s="129"/>
    </row>
    <row r="942" ht="15.75" customHeight="1">
      <c r="A942" s="129"/>
      <c r="B942" s="129"/>
      <c r="C942" s="129"/>
      <c r="D942" s="129"/>
      <c r="E942" s="129"/>
      <c r="F942" s="129"/>
      <c r="G942" s="129"/>
      <c r="H942" s="129"/>
      <c r="I942" s="129"/>
      <c r="J942" s="129"/>
      <c r="K942" s="129"/>
      <c r="L942" s="129"/>
      <c r="M942" s="129"/>
      <c r="N942" s="129"/>
      <c r="O942" s="129"/>
      <c r="P942" s="129"/>
      <c r="Q942" s="129"/>
      <c r="R942" s="129"/>
      <c r="S942" s="129"/>
      <c r="T942" s="129"/>
      <c r="U942" s="129"/>
      <c r="V942" s="129"/>
      <c r="W942" s="129"/>
      <c r="X942" s="129"/>
      <c r="Y942" s="129"/>
      <c r="Z942" s="129"/>
    </row>
    <row r="943" ht="15.75" customHeight="1">
      <c r="A943" s="129"/>
      <c r="B943" s="129"/>
      <c r="C943" s="129"/>
      <c r="D943" s="129"/>
      <c r="E943" s="129"/>
      <c r="F943" s="129"/>
      <c r="G943" s="129"/>
      <c r="H943" s="129"/>
      <c r="I943" s="129"/>
      <c r="J943" s="129"/>
      <c r="K943" s="129"/>
      <c r="L943" s="129"/>
      <c r="M943" s="129"/>
      <c r="N943" s="129"/>
      <c r="O943" s="129"/>
      <c r="P943" s="129"/>
      <c r="Q943" s="129"/>
      <c r="R943" s="129"/>
      <c r="S943" s="129"/>
      <c r="T943" s="129"/>
      <c r="U943" s="129"/>
      <c r="V943" s="129"/>
      <c r="W943" s="129"/>
      <c r="X943" s="129"/>
      <c r="Y943" s="129"/>
      <c r="Z943" s="129"/>
    </row>
    <row r="944" ht="15.75" customHeight="1">
      <c r="A944" s="129"/>
      <c r="B944" s="129"/>
      <c r="C944" s="129"/>
      <c r="D944" s="129"/>
      <c r="E944" s="129"/>
      <c r="F944" s="129"/>
      <c r="G944" s="129"/>
      <c r="H944" s="129"/>
      <c r="I944" s="129"/>
      <c r="J944" s="129"/>
      <c r="K944" s="129"/>
      <c r="L944" s="129"/>
      <c r="M944" s="129"/>
      <c r="N944" s="129"/>
      <c r="O944" s="129"/>
      <c r="P944" s="129"/>
      <c r="Q944" s="129"/>
      <c r="R944" s="129"/>
      <c r="S944" s="129"/>
      <c r="T944" s="129"/>
      <c r="U944" s="129"/>
      <c r="V944" s="129"/>
      <c r="W944" s="129"/>
      <c r="X944" s="129"/>
      <c r="Y944" s="129"/>
      <c r="Z944" s="129"/>
    </row>
    <row r="945" ht="15.75" customHeight="1">
      <c r="A945" s="129"/>
      <c r="B945" s="129"/>
      <c r="C945" s="129"/>
      <c r="D945" s="129"/>
      <c r="E945" s="129"/>
      <c r="F945" s="129"/>
      <c r="G945" s="129"/>
      <c r="H945" s="129"/>
      <c r="I945" s="129"/>
      <c r="J945" s="129"/>
      <c r="K945" s="129"/>
      <c r="L945" s="129"/>
      <c r="M945" s="129"/>
      <c r="N945" s="129"/>
      <c r="O945" s="129"/>
      <c r="P945" s="129"/>
      <c r="Q945" s="129"/>
      <c r="R945" s="129"/>
      <c r="S945" s="129"/>
      <c r="T945" s="129"/>
      <c r="U945" s="129"/>
      <c r="V945" s="129"/>
      <c r="W945" s="129"/>
      <c r="X945" s="129"/>
      <c r="Y945" s="129"/>
      <c r="Z945" s="129"/>
    </row>
    <row r="946" ht="15.75" customHeight="1">
      <c r="A946" s="129"/>
      <c r="B946" s="129"/>
      <c r="C946" s="129"/>
      <c r="D946" s="129"/>
      <c r="E946" s="129"/>
      <c r="F946" s="129"/>
      <c r="G946" s="129"/>
      <c r="H946" s="129"/>
      <c r="I946" s="129"/>
      <c r="J946" s="129"/>
      <c r="K946" s="129"/>
      <c r="L946" s="129"/>
      <c r="M946" s="129"/>
      <c r="N946" s="129"/>
      <c r="O946" s="129"/>
      <c r="P946" s="129"/>
      <c r="Q946" s="129"/>
      <c r="R946" s="129"/>
      <c r="S946" s="129"/>
      <c r="T946" s="129"/>
      <c r="U946" s="129"/>
      <c r="V946" s="129"/>
      <c r="W946" s="129"/>
      <c r="X946" s="129"/>
      <c r="Y946" s="129"/>
      <c r="Z946" s="129"/>
    </row>
    <row r="947" ht="15.75" customHeight="1">
      <c r="A947" s="129"/>
      <c r="B947" s="129"/>
      <c r="C947" s="129"/>
      <c r="D947" s="129"/>
      <c r="E947" s="129"/>
      <c r="F947" s="129"/>
      <c r="G947" s="129"/>
      <c r="H947" s="129"/>
      <c r="I947" s="129"/>
      <c r="J947" s="129"/>
      <c r="K947" s="129"/>
      <c r="L947" s="129"/>
      <c r="M947" s="129"/>
      <c r="N947" s="129"/>
      <c r="O947" s="129"/>
      <c r="P947" s="129"/>
      <c r="Q947" s="129"/>
      <c r="R947" s="129"/>
      <c r="S947" s="129"/>
      <c r="T947" s="129"/>
      <c r="U947" s="129"/>
      <c r="V947" s="129"/>
      <c r="W947" s="129"/>
      <c r="X947" s="129"/>
      <c r="Y947" s="129"/>
      <c r="Z947" s="129"/>
    </row>
    <row r="948" ht="15.75" customHeight="1">
      <c r="A948" s="129"/>
      <c r="B948" s="129"/>
      <c r="C948" s="129"/>
      <c r="D948" s="129"/>
      <c r="E948" s="129"/>
      <c r="F948" s="129"/>
      <c r="G948" s="129"/>
      <c r="H948" s="129"/>
      <c r="I948" s="129"/>
      <c r="J948" s="129"/>
      <c r="K948" s="129"/>
      <c r="L948" s="129"/>
      <c r="M948" s="129"/>
      <c r="N948" s="129"/>
      <c r="O948" s="129"/>
      <c r="P948" s="129"/>
      <c r="Q948" s="129"/>
      <c r="R948" s="129"/>
      <c r="S948" s="129"/>
      <c r="T948" s="129"/>
      <c r="U948" s="129"/>
      <c r="V948" s="129"/>
      <c r="W948" s="129"/>
      <c r="X948" s="129"/>
      <c r="Y948" s="129"/>
      <c r="Z948" s="129"/>
    </row>
    <row r="949" ht="15.75" customHeight="1">
      <c r="A949" s="129"/>
      <c r="B949" s="129"/>
      <c r="C949" s="129"/>
      <c r="D949" s="129"/>
      <c r="E949" s="129"/>
      <c r="F949" s="129"/>
      <c r="G949" s="129"/>
      <c r="H949" s="129"/>
      <c r="I949" s="129"/>
      <c r="J949" s="129"/>
      <c r="K949" s="129"/>
      <c r="L949" s="129"/>
      <c r="M949" s="129"/>
      <c r="N949" s="129"/>
      <c r="O949" s="129"/>
      <c r="P949" s="129"/>
      <c r="Q949" s="129"/>
      <c r="R949" s="129"/>
      <c r="S949" s="129"/>
      <c r="T949" s="129"/>
      <c r="U949" s="129"/>
      <c r="V949" s="129"/>
      <c r="W949" s="129"/>
      <c r="X949" s="129"/>
      <c r="Y949" s="129"/>
      <c r="Z949" s="129"/>
    </row>
    <row r="950" ht="15.75" customHeight="1">
      <c r="A950" s="129"/>
      <c r="B950" s="129"/>
      <c r="C950" s="129"/>
      <c r="D950" s="129"/>
      <c r="E950" s="129"/>
      <c r="F950" s="129"/>
      <c r="G950" s="129"/>
      <c r="H950" s="129"/>
      <c r="I950" s="129"/>
      <c r="J950" s="129"/>
      <c r="K950" s="129"/>
      <c r="L950" s="129"/>
      <c r="M950" s="129"/>
      <c r="N950" s="129"/>
      <c r="O950" s="129"/>
      <c r="P950" s="129"/>
      <c r="Q950" s="129"/>
      <c r="R950" s="129"/>
      <c r="S950" s="129"/>
      <c r="T950" s="129"/>
      <c r="U950" s="129"/>
      <c r="V950" s="129"/>
      <c r="W950" s="129"/>
      <c r="X950" s="129"/>
      <c r="Y950" s="129"/>
      <c r="Z950" s="129"/>
    </row>
    <row r="951" ht="15.75" customHeight="1">
      <c r="A951" s="129"/>
      <c r="B951" s="129"/>
      <c r="C951" s="129"/>
      <c r="D951" s="129"/>
      <c r="E951" s="129"/>
      <c r="F951" s="129"/>
      <c r="G951" s="129"/>
      <c r="H951" s="129"/>
      <c r="I951" s="129"/>
      <c r="J951" s="129"/>
      <c r="K951" s="129"/>
      <c r="L951" s="129"/>
      <c r="M951" s="129"/>
      <c r="N951" s="129"/>
      <c r="O951" s="129"/>
      <c r="P951" s="129"/>
      <c r="Q951" s="129"/>
      <c r="R951" s="129"/>
      <c r="S951" s="129"/>
      <c r="T951" s="129"/>
      <c r="U951" s="129"/>
      <c r="V951" s="129"/>
      <c r="W951" s="129"/>
      <c r="X951" s="129"/>
      <c r="Y951" s="129"/>
      <c r="Z951" s="129"/>
    </row>
    <row r="952" ht="15.75" customHeight="1">
      <c r="A952" s="129"/>
      <c r="B952" s="129"/>
      <c r="C952" s="129"/>
      <c r="D952" s="129"/>
      <c r="E952" s="129"/>
      <c r="F952" s="129"/>
      <c r="G952" s="129"/>
      <c r="H952" s="129"/>
      <c r="I952" s="129"/>
      <c r="J952" s="129"/>
      <c r="K952" s="129"/>
      <c r="L952" s="129"/>
      <c r="M952" s="129"/>
      <c r="N952" s="129"/>
      <c r="O952" s="129"/>
      <c r="P952" s="129"/>
      <c r="Q952" s="129"/>
      <c r="R952" s="129"/>
      <c r="S952" s="129"/>
      <c r="T952" s="129"/>
      <c r="U952" s="129"/>
      <c r="V952" s="129"/>
      <c r="W952" s="129"/>
      <c r="X952" s="129"/>
      <c r="Y952" s="129"/>
      <c r="Z952" s="129"/>
    </row>
    <row r="953" ht="15.75" customHeight="1">
      <c r="A953" s="129"/>
      <c r="B953" s="129"/>
      <c r="C953" s="129"/>
      <c r="D953" s="129"/>
      <c r="E953" s="129"/>
      <c r="F953" s="129"/>
      <c r="G953" s="129"/>
      <c r="H953" s="129"/>
      <c r="I953" s="129"/>
      <c r="J953" s="129"/>
      <c r="K953" s="129"/>
      <c r="L953" s="129"/>
      <c r="M953" s="129"/>
      <c r="N953" s="129"/>
      <c r="O953" s="129"/>
      <c r="P953" s="129"/>
      <c r="Q953" s="129"/>
      <c r="R953" s="129"/>
      <c r="S953" s="129"/>
      <c r="T953" s="129"/>
      <c r="U953" s="129"/>
      <c r="V953" s="129"/>
      <c r="W953" s="129"/>
      <c r="X953" s="129"/>
      <c r="Y953" s="129"/>
      <c r="Z953" s="129"/>
    </row>
    <row r="954" ht="15.75" customHeight="1">
      <c r="A954" s="129"/>
      <c r="B954" s="129"/>
      <c r="C954" s="129"/>
      <c r="D954" s="129"/>
      <c r="E954" s="129"/>
      <c r="F954" s="129"/>
      <c r="G954" s="129"/>
      <c r="H954" s="129"/>
      <c r="I954" s="129"/>
      <c r="J954" s="129"/>
      <c r="K954" s="129"/>
      <c r="L954" s="129"/>
      <c r="M954" s="129"/>
      <c r="N954" s="129"/>
      <c r="O954" s="129"/>
      <c r="P954" s="129"/>
      <c r="Q954" s="129"/>
      <c r="R954" s="129"/>
      <c r="S954" s="129"/>
      <c r="T954" s="129"/>
      <c r="U954" s="129"/>
      <c r="V954" s="129"/>
      <c r="W954" s="129"/>
      <c r="X954" s="129"/>
      <c r="Y954" s="129"/>
      <c r="Z954" s="129"/>
    </row>
    <row r="955" ht="15.75" customHeight="1">
      <c r="A955" s="129"/>
      <c r="B955" s="129"/>
      <c r="C955" s="129"/>
      <c r="D955" s="129"/>
      <c r="E955" s="129"/>
      <c r="F955" s="129"/>
      <c r="G955" s="129"/>
      <c r="H955" s="129"/>
      <c r="I955" s="129"/>
      <c r="J955" s="129"/>
      <c r="K955" s="129"/>
      <c r="L955" s="129"/>
      <c r="M955" s="129"/>
      <c r="N955" s="129"/>
      <c r="O955" s="129"/>
      <c r="P955" s="129"/>
      <c r="Q955" s="129"/>
      <c r="R955" s="129"/>
      <c r="S955" s="129"/>
      <c r="T955" s="129"/>
      <c r="U955" s="129"/>
      <c r="V955" s="129"/>
      <c r="W955" s="129"/>
      <c r="X955" s="129"/>
      <c r="Y955" s="129"/>
      <c r="Z955" s="129"/>
    </row>
    <row r="956" ht="15.75" customHeight="1">
      <c r="A956" s="129"/>
      <c r="B956" s="129"/>
      <c r="C956" s="129"/>
      <c r="D956" s="129"/>
      <c r="E956" s="129"/>
      <c r="F956" s="129"/>
      <c r="G956" s="129"/>
      <c r="H956" s="129"/>
      <c r="I956" s="129"/>
      <c r="J956" s="129"/>
      <c r="K956" s="129"/>
      <c r="L956" s="129"/>
      <c r="M956" s="129"/>
      <c r="N956" s="129"/>
      <c r="O956" s="129"/>
      <c r="P956" s="129"/>
      <c r="Q956" s="129"/>
      <c r="R956" s="129"/>
      <c r="S956" s="129"/>
      <c r="T956" s="129"/>
      <c r="U956" s="129"/>
      <c r="V956" s="129"/>
      <c r="W956" s="129"/>
      <c r="X956" s="129"/>
      <c r="Y956" s="129"/>
      <c r="Z956" s="129"/>
    </row>
    <row r="957" ht="15.75" customHeight="1">
      <c r="A957" s="129"/>
      <c r="B957" s="129"/>
      <c r="C957" s="129"/>
      <c r="D957" s="129"/>
      <c r="E957" s="129"/>
      <c r="F957" s="129"/>
      <c r="G957" s="129"/>
      <c r="H957" s="129"/>
      <c r="I957" s="129"/>
      <c r="J957" s="129"/>
      <c r="K957" s="129"/>
      <c r="L957" s="129"/>
      <c r="M957" s="129"/>
      <c r="N957" s="129"/>
      <c r="O957" s="129"/>
      <c r="P957" s="129"/>
      <c r="Q957" s="129"/>
      <c r="R957" s="129"/>
      <c r="S957" s="129"/>
      <c r="T957" s="129"/>
      <c r="U957" s="129"/>
      <c r="V957" s="129"/>
      <c r="W957" s="129"/>
      <c r="X957" s="129"/>
      <c r="Y957" s="129"/>
      <c r="Z957" s="129"/>
    </row>
    <row r="958" ht="15.75" customHeight="1">
      <c r="A958" s="129"/>
      <c r="B958" s="129"/>
      <c r="C958" s="129"/>
      <c r="D958" s="129"/>
      <c r="E958" s="129"/>
      <c r="F958" s="129"/>
      <c r="G958" s="129"/>
      <c r="H958" s="129"/>
      <c r="I958" s="129"/>
      <c r="J958" s="129"/>
      <c r="K958" s="129"/>
      <c r="L958" s="129"/>
      <c r="M958" s="129"/>
      <c r="N958" s="129"/>
      <c r="O958" s="129"/>
      <c r="P958" s="129"/>
      <c r="Q958" s="129"/>
      <c r="R958" s="129"/>
      <c r="S958" s="129"/>
      <c r="T958" s="129"/>
      <c r="U958" s="129"/>
      <c r="V958" s="129"/>
      <c r="W958" s="129"/>
      <c r="X958" s="129"/>
      <c r="Y958" s="129"/>
      <c r="Z958" s="129"/>
    </row>
    <row r="959" ht="15.75" customHeight="1">
      <c r="A959" s="129"/>
      <c r="B959" s="129"/>
      <c r="C959" s="129"/>
      <c r="D959" s="129"/>
      <c r="E959" s="129"/>
      <c r="F959" s="129"/>
      <c r="G959" s="129"/>
      <c r="H959" s="129"/>
      <c r="I959" s="129"/>
      <c r="J959" s="129"/>
      <c r="K959" s="129"/>
      <c r="L959" s="129"/>
      <c r="M959" s="129"/>
      <c r="N959" s="129"/>
      <c r="O959" s="129"/>
      <c r="P959" s="129"/>
      <c r="Q959" s="129"/>
      <c r="R959" s="129"/>
      <c r="S959" s="129"/>
      <c r="T959" s="129"/>
      <c r="U959" s="129"/>
      <c r="V959" s="129"/>
      <c r="W959" s="129"/>
      <c r="X959" s="129"/>
      <c r="Y959" s="129"/>
      <c r="Z959" s="129"/>
    </row>
    <row r="960" ht="15.75" customHeight="1">
      <c r="A960" s="129"/>
      <c r="B960" s="129"/>
      <c r="C960" s="129"/>
      <c r="D960" s="129"/>
      <c r="E960" s="129"/>
      <c r="F960" s="129"/>
      <c r="G960" s="129"/>
      <c r="H960" s="129"/>
      <c r="I960" s="129"/>
      <c r="J960" s="129"/>
      <c r="K960" s="129"/>
      <c r="L960" s="129"/>
      <c r="M960" s="129"/>
      <c r="N960" s="129"/>
      <c r="O960" s="129"/>
      <c r="P960" s="129"/>
      <c r="Q960" s="129"/>
      <c r="R960" s="129"/>
      <c r="S960" s="129"/>
      <c r="T960" s="129"/>
      <c r="U960" s="129"/>
      <c r="V960" s="129"/>
      <c r="W960" s="129"/>
      <c r="X960" s="129"/>
      <c r="Y960" s="129"/>
      <c r="Z960" s="129"/>
    </row>
    <row r="961" ht="15.75" customHeight="1">
      <c r="A961" s="129"/>
      <c r="B961" s="129"/>
      <c r="C961" s="129"/>
      <c r="D961" s="129"/>
      <c r="E961" s="129"/>
      <c r="F961" s="129"/>
      <c r="G961" s="129"/>
      <c r="H961" s="129"/>
      <c r="I961" s="129"/>
      <c r="J961" s="129"/>
      <c r="K961" s="129"/>
      <c r="L961" s="129"/>
      <c r="M961" s="129"/>
      <c r="N961" s="129"/>
      <c r="O961" s="129"/>
      <c r="P961" s="129"/>
      <c r="Q961" s="129"/>
      <c r="R961" s="129"/>
      <c r="S961" s="129"/>
      <c r="T961" s="129"/>
      <c r="U961" s="129"/>
      <c r="V961" s="129"/>
      <c r="W961" s="129"/>
      <c r="X961" s="129"/>
      <c r="Y961" s="129"/>
      <c r="Z961" s="129"/>
    </row>
    <row r="962" ht="15.75" customHeight="1">
      <c r="A962" s="129"/>
      <c r="B962" s="129"/>
      <c r="C962" s="129"/>
      <c r="D962" s="129"/>
      <c r="E962" s="129"/>
      <c r="F962" s="129"/>
      <c r="G962" s="129"/>
      <c r="H962" s="129"/>
      <c r="I962" s="129"/>
      <c r="J962" s="129"/>
      <c r="K962" s="129"/>
      <c r="L962" s="129"/>
      <c r="M962" s="129"/>
      <c r="N962" s="129"/>
      <c r="O962" s="129"/>
      <c r="P962" s="129"/>
      <c r="Q962" s="129"/>
      <c r="R962" s="129"/>
      <c r="S962" s="129"/>
      <c r="T962" s="129"/>
      <c r="U962" s="129"/>
      <c r="V962" s="129"/>
      <c r="W962" s="129"/>
      <c r="X962" s="129"/>
      <c r="Y962" s="129"/>
      <c r="Z962" s="129"/>
    </row>
    <row r="963" ht="15.75" customHeight="1">
      <c r="A963" s="129"/>
      <c r="B963" s="129"/>
      <c r="C963" s="129"/>
      <c r="D963" s="129"/>
      <c r="E963" s="129"/>
      <c r="F963" s="129"/>
      <c r="G963" s="129"/>
      <c r="H963" s="129"/>
      <c r="I963" s="129"/>
      <c r="J963" s="129"/>
      <c r="K963" s="129"/>
      <c r="L963" s="129"/>
      <c r="M963" s="129"/>
      <c r="N963" s="129"/>
      <c r="O963" s="129"/>
      <c r="P963" s="129"/>
      <c r="Q963" s="129"/>
      <c r="R963" s="129"/>
      <c r="S963" s="129"/>
      <c r="T963" s="129"/>
      <c r="U963" s="129"/>
      <c r="V963" s="129"/>
      <c r="W963" s="129"/>
      <c r="X963" s="129"/>
      <c r="Y963" s="129"/>
      <c r="Z963" s="129"/>
    </row>
    <row r="964" ht="15.75" customHeight="1">
      <c r="A964" s="129"/>
      <c r="B964" s="129"/>
      <c r="C964" s="129"/>
      <c r="D964" s="129"/>
      <c r="E964" s="129"/>
      <c r="F964" s="129"/>
      <c r="G964" s="129"/>
      <c r="H964" s="129"/>
      <c r="I964" s="129"/>
      <c r="J964" s="129"/>
      <c r="K964" s="129"/>
      <c r="L964" s="129"/>
      <c r="M964" s="129"/>
      <c r="N964" s="129"/>
      <c r="O964" s="129"/>
      <c r="P964" s="129"/>
      <c r="Q964" s="129"/>
      <c r="R964" s="129"/>
      <c r="S964" s="129"/>
      <c r="T964" s="129"/>
      <c r="U964" s="129"/>
      <c r="V964" s="129"/>
      <c r="W964" s="129"/>
      <c r="X964" s="129"/>
      <c r="Y964" s="129"/>
      <c r="Z964" s="129"/>
    </row>
    <row r="965" ht="15.75" customHeight="1">
      <c r="A965" s="129"/>
      <c r="B965" s="129"/>
      <c r="C965" s="129"/>
      <c r="D965" s="129"/>
      <c r="E965" s="129"/>
      <c r="F965" s="129"/>
      <c r="G965" s="129"/>
      <c r="H965" s="129"/>
      <c r="I965" s="129"/>
      <c r="J965" s="129"/>
      <c r="K965" s="129"/>
      <c r="L965" s="129"/>
      <c r="M965" s="129"/>
      <c r="N965" s="129"/>
      <c r="O965" s="129"/>
      <c r="P965" s="129"/>
      <c r="Q965" s="129"/>
      <c r="R965" s="129"/>
      <c r="S965" s="129"/>
      <c r="T965" s="129"/>
      <c r="U965" s="129"/>
      <c r="V965" s="129"/>
      <c r="W965" s="129"/>
      <c r="X965" s="129"/>
      <c r="Y965" s="129"/>
      <c r="Z965" s="129"/>
    </row>
    <row r="966" ht="15.75" customHeight="1">
      <c r="A966" s="129"/>
      <c r="B966" s="129"/>
      <c r="C966" s="129"/>
      <c r="D966" s="129"/>
      <c r="E966" s="129"/>
      <c r="F966" s="129"/>
      <c r="G966" s="129"/>
      <c r="H966" s="129"/>
      <c r="I966" s="129"/>
      <c r="J966" s="129"/>
      <c r="K966" s="129"/>
      <c r="L966" s="129"/>
      <c r="M966" s="129"/>
      <c r="N966" s="129"/>
      <c r="O966" s="129"/>
      <c r="P966" s="129"/>
      <c r="Q966" s="129"/>
      <c r="R966" s="129"/>
      <c r="S966" s="129"/>
      <c r="T966" s="129"/>
      <c r="U966" s="129"/>
      <c r="V966" s="129"/>
      <c r="W966" s="129"/>
      <c r="X966" s="129"/>
      <c r="Y966" s="129"/>
      <c r="Z966" s="129"/>
    </row>
    <row r="967" ht="15.75" customHeight="1">
      <c r="A967" s="129"/>
      <c r="B967" s="129"/>
      <c r="C967" s="129"/>
      <c r="D967" s="129"/>
      <c r="E967" s="129"/>
      <c r="F967" s="129"/>
      <c r="G967" s="129"/>
      <c r="H967" s="129"/>
      <c r="I967" s="129"/>
      <c r="J967" s="129"/>
      <c r="K967" s="129"/>
      <c r="L967" s="129"/>
      <c r="M967" s="129"/>
      <c r="N967" s="129"/>
      <c r="O967" s="129"/>
      <c r="P967" s="129"/>
      <c r="Q967" s="129"/>
      <c r="R967" s="129"/>
      <c r="S967" s="129"/>
      <c r="T967" s="129"/>
      <c r="U967" s="129"/>
      <c r="V967" s="129"/>
      <c r="W967" s="129"/>
      <c r="X967" s="129"/>
      <c r="Y967" s="129"/>
      <c r="Z967" s="129"/>
    </row>
    <row r="968" ht="15.75" customHeight="1">
      <c r="A968" s="129"/>
      <c r="B968" s="129"/>
      <c r="C968" s="129"/>
      <c r="D968" s="129"/>
      <c r="E968" s="129"/>
      <c r="F968" s="129"/>
      <c r="G968" s="129"/>
      <c r="H968" s="129"/>
      <c r="I968" s="129"/>
      <c r="J968" s="129"/>
      <c r="K968" s="129"/>
      <c r="L968" s="129"/>
      <c r="M968" s="129"/>
      <c r="N968" s="129"/>
      <c r="O968" s="129"/>
      <c r="P968" s="129"/>
      <c r="Q968" s="129"/>
      <c r="R968" s="129"/>
      <c r="S968" s="129"/>
      <c r="T968" s="129"/>
      <c r="U968" s="129"/>
      <c r="V968" s="129"/>
      <c r="W968" s="129"/>
      <c r="X968" s="129"/>
      <c r="Y968" s="129"/>
      <c r="Z968" s="129"/>
    </row>
    <row r="969" ht="15.75" customHeight="1">
      <c r="A969" s="129"/>
      <c r="B969" s="129"/>
      <c r="C969" s="129"/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29"/>
      <c r="O969" s="129"/>
      <c r="P969" s="129"/>
      <c r="Q969" s="129"/>
      <c r="R969" s="129"/>
      <c r="S969" s="129"/>
      <c r="T969" s="129"/>
      <c r="U969" s="129"/>
      <c r="V969" s="129"/>
      <c r="W969" s="129"/>
      <c r="X969" s="129"/>
      <c r="Y969" s="129"/>
      <c r="Z969" s="129"/>
    </row>
    <row r="970" ht="15.75" customHeight="1">
      <c r="A970" s="129"/>
      <c r="B970" s="129"/>
      <c r="C970" s="129"/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29"/>
      <c r="O970" s="129"/>
      <c r="P970" s="129"/>
      <c r="Q970" s="129"/>
      <c r="R970" s="129"/>
      <c r="S970" s="129"/>
      <c r="T970" s="129"/>
      <c r="U970" s="129"/>
      <c r="V970" s="129"/>
      <c r="W970" s="129"/>
      <c r="X970" s="129"/>
      <c r="Y970" s="129"/>
      <c r="Z970" s="129"/>
    </row>
    <row r="971" ht="15.75" customHeight="1">
      <c r="A971" s="129"/>
      <c r="B971" s="129"/>
      <c r="C971" s="129"/>
      <c r="D971" s="129"/>
      <c r="E971" s="129"/>
      <c r="F971" s="129"/>
      <c r="G971" s="129"/>
      <c r="H971" s="129"/>
      <c r="I971" s="129"/>
      <c r="J971" s="129"/>
      <c r="K971" s="129"/>
      <c r="L971" s="129"/>
      <c r="M971" s="129"/>
      <c r="N971" s="129"/>
      <c r="O971" s="129"/>
      <c r="P971" s="129"/>
      <c r="Q971" s="129"/>
      <c r="R971" s="129"/>
      <c r="S971" s="129"/>
      <c r="T971" s="129"/>
      <c r="U971" s="129"/>
      <c r="V971" s="129"/>
      <c r="W971" s="129"/>
      <c r="X971" s="129"/>
      <c r="Y971" s="129"/>
      <c r="Z971" s="129"/>
    </row>
    <row r="972" ht="15.75" customHeight="1">
      <c r="A972" s="129"/>
      <c r="B972" s="129"/>
      <c r="C972" s="129"/>
      <c r="D972" s="129"/>
      <c r="E972" s="129"/>
      <c r="F972" s="129"/>
      <c r="G972" s="129"/>
      <c r="H972" s="129"/>
      <c r="I972" s="129"/>
      <c r="J972" s="129"/>
      <c r="K972" s="129"/>
      <c r="L972" s="129"/>
      <c r="M972" s="129"/>
      <c r="N972" s="129"/>
      <c r="O972" s="129"/>
      <c r="P972" s="129"/>
      <c r="Q972" s="129"/>
      <c r="R972" s="129"/>
      <c r="S972" s="129"/>
      <c r="T972" s="129"/>
      <c r="U972" s="129"/>
      <c r="V972" s="129"/>
      <c r="W972" s="129"/>
      <c r="X972" s="129"/>
      <c r="Y972" s="129"/>
      <c r="Z972" s="129"/>
    </row>
    <row r="973" ht="15.75" customHeight="1">
      <c r="A973" s="129"/>
      <c r="B973" s="129"/>
      <c r="C973" s="129"/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29"/>
      <c r="O973" s="129"/>
      <c r="P973" s="129"/>
      <c r="Q973" s="129"/>
      <c r="R973" s="129"/>
      <c r="S973" s="129"/>
      <c r="T973" s="129"/>
      <c r="U973" s="129"/>
      <c r="V973" s="129"/>
      <c r="W973" s="129"/>
      <c r="X973" s="129"/>
      <c r="Y973" s="129"/>
      <c r="Z973" s="129"/>
    </row>
    <row r="974" ht="15.75" customHeight="1">
      <c r="A974" s="129"/>
      <c r="B974" s="129"/>
      <c r="C974" s="129"/>
      <c r="D974" s="129"/>
      <c r="E974" s="129"/>
      <c r="F974" s="129"/>
      <c r="G974" s="129"/>
      <c r="H974" s="129"/>
      <c r="I974" s="129"/>
      <c r="J974" s="129"/>
      <c r="K974" s="129"/>
      <c r="L974" s="129"/>
      <c r="M974" s="129"/>
      <c r="N974" s="129"/>
      <c r="O974" s="129"/>
      <c r="P974" s="129"/>
      <c r="Q974" s="129"/>
      <c r="R974" s="129"/>
      <c r="S974" s="129"/>
      <c r="T974" s="129"/>
      <c r="U974" s="129"/>
      <c r="V974" s="129"/>
      <c r="W974" s="129"/>
      <c r="X974" s="129"/>
      <c r="Y974" s="129"/>
      <c r="Z974" s="129"/>
    </row>
    <row r="975" ht="15.75" customHeight="1">
      <c r="A975" s="129"/>
      <c r="B975" s="129"/>
      <c r="C975" s="129"/>
      <c r="D975" s="129"/>
      <c r="E975" s="129"/>
      <c r="F975" s="129"/>
      <c r="G975" s="129"/>
      <c r="H975" s="129"/>
      <c r="I975" s="129"/>
      <c r="J975" s="129"/>
      <c r="K975" s="129"/>
      <c r="L975" s="129"/>
      <c r="M975" s="129"/>
      <c r="N975" s="129"/>
      <c r="O975" s="129"/>
      <c r="P975" s="129"/>
      <c r="Q975" s="129"/>
      <c r="R975" s="129"/>
      <c r="S975" s="129"/>
      <c r="T975" s="129"/>
      <c r="U975" s="129"/>
      <c r="V975" s="129"/>
      <c r="W975" s="129"/>
      <c r="X975" s="129"/>
      <c r="Y975" s="129"/>
      <c r="Z975" s="129"/>
    </row>
    <row r="976" ht="15.75" customHeight="1">
      <c r="A976" s="129"/>
      <c r="B976" s="129"/>
      <c r="C976" s="129"/>
      <c r="D976" s="129"/>
      <c r="E976" s="129"/>
      <c r="F976" s="129"/>
      <c r="G976" s="129"/>
      <c r="H976" s="129"/>
      <c r="I976" s="129"/>
      <c r="J976" s="129"/>
      <c r="K976" s="129"/>
      <c r="L976" s="129"/>
      <c r="M976" s="129"/>
      <c r="N976" s="129"/>
      <c r="O976" s="129"/>
      <c r="P976" s="129"/>
      <c r="Q976" s="129"/>
      <c r="R976" s="129"/>
      <c r="S976" s="129"/>
      <c r="T976" s="129"/>
      <c r="U976" s="129"/>
      <c r="V976" s="129"/>
      <c r="W976" s="129"/>
      <c r="X976" s="129"/>
      <c r="Y976" s="129"/>
      <c r="Z976" s="129"/>
    </row>
    <row r="977" ht="15.75" customHeight="1">
      <c r="A977" s="129"/>
      <c r="B977" s="129"/>
      <c r="C977" s="129"/>
      <c r="D977" s="129"/>
      <c r="E977" s="129"/>
      <c r="F977" s="129"/>
      <c r="G977" s="129"/>
      <c r="H977" s="129"/>
      <c r="I977" s="129"/>
      <c r="J977" s="129"/>
      <c r="K977" s="129"/>
      <c r="L977" s="129"/>
      <c r="M977" s="129"/>
      <c r="N977" s="129"/>
      <c r="O977" s="129"/>
      <c r="P977" s="129"/>
      <c r="Q977" s="129"/>
      <c r="R977" s="129"/>
      <c r="S977" s="129"/>
      <c r="T977" s="129"/>
      <c r="U977" s="129"/>
      <c r="V977" s="129"/>
      <c r="W977" s="129"/>
      <c r="X977" s="129"/>
      <c r="Y977" s="129"/>
      <c r="Z977" s="129"/>
    </row>
    <row r="978" ht="15.75" customHeight="1">
      <c r="A978" s="129"/>
      <c r="B978" s="129"/>
      <c r="C978" s="129"/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29"/>
      <c r="O978" s="129"/>
      <c r="P978" s="129"/>
      <c r="Q978" s="129"/>
      <c r="R978" s="129"/>
      <c r="S978" s="129"/>
      <c r="T978" s="129"/>
      <c r="U978" s="129"/>
      <c r="V978" s="129"/>
      <c r="W978" s="129"/>
      <c r="X978" s="129"/>
      <c r="Y978" s="129"/>
      <c r="Z978" s="129"/>
    </row>
    <row r="979" ht="15.75" customHeight="1">
      <c r="A979" s="129"/>
      <c r="B979" s="129"/>
      <c r="C979" s="129"/>
      <c r="D979" s="129"/>
      <c r="E979" s="129"/>
      <c r="F979" s="129"/>
      <c r="G979" s="129"/>
      <c r="H979" s="129"/>
      <c r="I979" s="129"/>
      <c r="J979" s="129"/>
      <c r="K979" s="129"/>
      <c r="L979" s="129"/>
      <c r="M979" s="129"/>
      <c r="N979" s="129"/>
      <c r="O979" s="129"/>
      <c r="P979" s="129"/>
      <c r="Q979" s="129"/>
      <c r="R979" s="129"/>
      <c r="S979" s="129"/>
      <c r="T979" s="129"/>
      <c r="U979" s="129"/>
      <c r="V979" s="129"/>
      <c r="W979" s="129"/>
      <c r="X979" s="129"/>
      <c r="Y979" s="129"/>
      <c r="Z979" s="129"/>
    </row>
    <row r="980" ht="15.75" customHeight="1">
      <c r="A980" s="129"/>
      <c r="B980" s="129"/>
      <c r="C980" s="129"/>
      <c r="D980" s="129"/>
      <c r="E980" s="129"/>
      <c r="F980" s="129"/>
      <c r="G980" s="129"/>
      <c r="H980" s="129"/>
      <c r="I980" s="129"/>
      <c r="J980" s="129"/>
      <c r="K980" s="129"/>
      <c r="L980" s="129"/>
      <c r="M980" s="129"/>
      <c r="N980" s="129"/>
      <c r="O980" s="129"/>
      <c r="P980" s="129"/>
      <c r="Q980" s="129"/>
      <c r="R980" s="129"/>
      <c r="S980" s="129"/>
      <c r="T980" s="129"/>
      <c r="U980" s="129"/>
      <c r="V980" s="129"/>
      <c r="W980" s="129"/>
      <c r="X980" s="129"/>
      <c r="Y980" s="129"/>
      <c r="Z980" s="129"/>
    </row>
    <row r="981" ht="15.75" customHeight="1">
      <c r="A981" s="129"/>
      <c r="B981" s="129"/>
      <c r="C981" s="129"/>
      <c r="D981" s="129"/>
      <c r="E981" s="129"/>
      <c r="F981" s="129"/>
      <c r="G981" s="129"/>
      <c r="H981" s="129"/>
      <c r="I981" s="129"/>
      <c r="J981" s="129"/>
      <c r="K981" s="129"/>
      <c r="L981" s="129"/>
      <c r="M981" s="129"/>
      <c r="N981" s="129"/>
      <c r="O981" s="129"/>
      <c r="P981" s="129"/>
      <c r="Q981" s="129"/>
      <c r="R981" s="129"/>
      <c r="S981" s="129"/>
      <c r="T981" s="129"/>
      <c r="U981" s="129"/>
      <c r="V981" s="129"/>
      <c r="W981" s="129"/>
      <c r="X981" s="129"/>
      <c r="Y981" s="129"/>
      <c r="Z981" s="129"/>
    </row>
    <row r="982" ht="15.75" customHeight="1">
      <c r="A982" s="129"/>
      <c r="B982" s="129"/>
      <c r="C982" s="129"/>
      <c r="D982" s="129"/>
      <c r="E982" s="129"/>
      <c r="F982" s="129"/>
      <c r="G982" s="129"/>
      <c r="H982" s="129"/>
      <c r="I982" s="129"/>
      <c r="J982" s="129"/>
      <c r="K982" s="129"/>
      <c r="L982" s="129"/>
      <c r="M982" s="129"/>
      <c r="N982" s="129"/>
      <c r="O982" s="129"/>
      <c r="P982" s="129"/>
      <c r="Q982" s="129"/>
      <c r="R982" s="129"/>
      <c r="S982" s="129"/>
      <c r="T982" s="129"/>
      <c r="U982" s="129"/>
      <c r="V982" s="129"/>
      <c r="W982" s="129"/>
      <c r="X982" s="129"/>
      <c r="Y982" s="129"/>
      <c r="Z982" s="129"/>
    </row>
    <row r="983" ht="15.75" customHeight="1">
      <c r="A983" s="129"/>
      <c r="B983" s="129"/>
      <c r="C983" s="129"/>
      <c r="D983" s="129"/>
      <c r="E983" s="129"/>
      <c r="F983" s="129"/>
      <c r="G983" s="129"/>
      <c r="H983" s="129"/>
      <c r="I983" s="129"/>
      <c r="J983" s="129"/>
      <c r="K983" s="129"/>
      <c r="L983" s="129"/>
      <c r="M983" s="129"/>
      <c r="N983" s="129"/>
      <c r="O983" s="129"/>
      <c r="P983" s="129"/>
      <c r="Q983" s="129"/>
      <c r="R983" s="129"/>
      <c r="S983" s="129"/>
      <c r="T983" s="129"/>
      <c r="U983" s="129"/>
      <c r="V983" s="129"/>
      <c r="W983" s="129"/>
      <c r="X983" s="129"/>
      <c r="Y983" s="129"/>
      <c r="Z983" s="129"/>
    </row>
    <row r="984" ht="15.75" customHeight="1">
      <c r="A984" s="129"/>
      <c r="B984" s="129"/>
      <c r="C984" s="129"/>
      <c r="D984" s="129"/>
      <c r="E984" s="129"/>
      <c r="F984" s="129"/>
      <c r="G984" s="129"/>
      <c r="H984" s="129"/>
      <c r="I984" s="129"/>
      <c r="J984" s="129"/>
      <c r="K984" s="129"/>
      <c r="L984" s="129"/>
      <c r="M984" s="129"/>
      <c r="N984" s="129"/>
      <c r="O984" s="129"/>
      <c r="P984" s="129"/>
      <c r="Q984" s="129"/>
      <c r="R984" s="129"/>
      <c r="S984" s="129"/>
      <c r="T984" s="129"/>
      <c r="U984" s="129"/>
      <c r="V984" s="129"/>
      <c r="W984" s="129"/>
      <c r="X984" s="129"/>
      <c r="Y984" s="129"/>
      <c r="Z984" s="129"/>
    </row>
    <row r="985" ht="15.75" customHeight="1">
      <c r="A985" s="129"/>
      <c r="B985" s="129"/>
      <c r="C985" s="129"/>
      <c r="D985" s="129"/>
      <c r="E985" s="129"/>
      <c r="F985" s="129"/>
      <c r="G985" s="129"/>
      <c r="H985" s="129"/>
      <c r="I985" s="129"/>
      <c r="J985" s="129"/>
      <c r="K985" s="129"/>
      <c r="L985" s="129"/>
      <c r="M985" s="129"/>
      <c r="N985" s="129"/>
      <c r="O985" s="129"/>
      <c r="P985" s="129"/>
      <c r="Q985" s="129"/>
      <c r="R985" s="129"/>
      <c r="S985" s="129"/>
      <c r="T985" s="129"/>
      <c r="U985" s="129"/>
      <c r="V985" s="129"/>
      <c r="W985" s="129"/>
      <c r="X985" s="129"/>
      <c r="Y985" s="129"/>
      <c r="Z985" s="129"/>
    </row>
    <row r="986" ht="15.75" customHeight="1">
      <c r="A986" s="129"/>
      <c r="B986" s="129"/>
      <c r="C986" s="129"/>
      <c r="D986" s="129"/>
      <c r="E986" s="129"/>
      <c r="F986" s="129"/>
      <c r="G986" s="129"/>
      <c r="H986" s="129"/>
      <c r="I986" s="129"/>
      <c r="J986" s="129"/>
      <c r="K986" s="129"/>
      <c r="L986" s="129"/>
      <c r="M986" s="129"/>
      <c r="N986" s="129"/>
      <c r="O986" s="129"/>
      <c r="P986" s="129"/>
      <c r="Q986" s="129"/>
      <c r="R986" s="129"/>
      <c r="S986" s="129"/>
      <c r="T986" s="129"/>
      <c r="U986" s="129"/>
      <c r="V986" s="129"/>
      <c r="W986" s="129"/>
      <c r="X986" s="129"/>
      <c r="Y986" s="129"/>
      <c r="Z986" s="129"/>
    </row>
    <row r="987" ht="15.75" customHeight="1">
      <c r="A987" s="129"/>
      <c r="B987" s="129"/>
      <c r="C987" s="129"/>
      <c r="D987" s="129"/>
      <c r="E987" s="129"/>
      <c r="F987" s="129"/>
      <c r="G987" s="129"/>
      <c r="H987" s="129"/>
      <c r="I987" s="129"/>
      <c r="J987" s="129"/>
      <c r="K987" s="129"/>
      <c r="L987" s="129"/>
      <c r="M987" s="129"/>
      <c r="N987" s="129"/>
      <c r="O987" s="129"/>
      <c r="P987" s="129"/>
      <c r="Q987" s="129"/>
      <c r="R987" s="129"/>
      <c r="S987" s="129"/>
      <c r="T987" s="129"/>
      <c r="U987" s="129"/>
      <c r="V987" s="129"/>
      <c r="W987" s="129"/>
      <c r="X987" s="129"/>
      <c r="Y987" s="129"/>
      <c r="Z987" s="129"/>
    </row>
    <row r="988" ht="15.75" customHeight="1">
      <c r="A988" s="129"/>
      <c r="B988" s="129"/>
      <c r="C988" s="129"/>
      <c r="D988" s="129"/>
      <c r="E988" s="129"/>
      <c r="F988" s="129"/>
      <c r="G988" s="129"/>
      <c r="H988" s="129"/>
      <c r="I988" s="129"/>
      <c r="J988" s="129"/>
      <c r="K988" s="129"/>
      <c r="L988" s="129"/>
      <c r="M988" s="129"/>
      <c r="N988" s="129"/>
      <c r="O988" s="129"/>
      <c r="P988" s="129"/>
      <c r="Q988" s="129"/>
      <c r="R988" s="129"/>
      <c r="S988" s="129"/>
      <c r="T988" s="129"/>
      <c r="U988" s="129"/>
      <c r="V988" s="129"/>
      <c r="W988" s="129"/>
      <c r="X988" s="129"/>
      <c r="Y988" s="129"/>
      <c r="Z988" s="129"/>
    </row>
    <row r="989" ht="15.75" customHeight="1">
      <c r="A989" s="129"/>
      <c r="B989" s="129"/>
      <c r="C989" s="129"/>
      <c r="D989" s="129"/>
      <c r="E989" s="129"/>
      <c r="F989" s="129"/>
      <c r="G989" s="129"/>
      <c r="H989" s="129"/>
      <c r="I989" s="129"/>
      <c r="J989" s="129"/>
      <c r="K989" s="129"/>
      <c r="L989" s="129"/>
      <c r="M989" s="129"/>
      <c r="N989" s="129"/>
      <c r="O989" s="129"/>
      <c r="P989" s="129"/>
      <c r="Q989" s="129"/>
      <c r="R989" s="129"/>
      <c r="S989" s="129"/>
      <c r="T989" s="129"/>
      <c r="U989" s="129"/>
      <c r="V989" s="129"/>
      <c r="W989" s="129"/>
      <c r="X989" s="129"/>
      <c r="Y989" s="129"/>
      <c r="Z989" s="129"/>
    </row>
    <row r="990" ht="15.75" customHeight="1">
      <c r="A990" s="129"/>
      <c r="B990" s="129"/>
      <c r="C990" s="129"/>
      <c r="D990" s="129"/>
      <c r="E990" s="129"/>
      <c r="F990" s="129"/>
      <c r="G990" s="129"/>
      <c r="H990" s="129"/>
      <c r="I990" s="129"/>
      <c r="J990" s="129"/>
      <c r="K990" s="129"/>
      <c r="L990" s="129"/>
      <c r="M990" s="129"/>
      <c r="N990" s="129"/>
      <c r="O990" s="129"/>
      <c r="P990" s="129"/>
      <c r="Q990" s="129"/>
      <c r="R990" s="129"/>
      <c r="S990" s="129"/>
      <c r="T990" s="129"/>
      <c r="U990" s="129"/>
      <c r="V990" s="129"/>
      <c r="W990" s="129"/>
      <c r="X990" s="129"/>
      <c r="Y990" s="129"/>
      <c r="Z990" s="129"/>
    </row>
    <row r="991" ht="15.75" customHeight="1">
      <c r="A991" s="129"/>
      <c r="B991" s="129"/>
      <c r="C991" s="129"/>
      <c r="D991" s="129"/>
      <c r="E991" s="129"/>
      <c r="F991" s="129"/>
      <c r="G991" s="129"/>
      <c r="H991" s="129"/>
      <c r="I991" s="129"/>
      <c r="J991" s="129"/>
      <c r="K991" s="129"/>
      <c r="L991" s="129"/>
      <c r="M991" s="129"/>
      <c r="N991" s="129"/>
      <c r="O991" s="129"/>
      <c r="P991" s="129"/>
      <c r="Q991" s="129"/>
      <c r="R991" s="129"/>
      <c r="S991" s="129"/>
      <c r="T991" s="129"/>
      <c r="U991" s="129"/>
      <c r="V991" s="129"/>
      <c r="W991" s="129"/>
      <c r="X991" s="129"/>
      <c r="Y991" s="129"/>
      <c r="Z991" s="129"/>
    </row>
    <row r="992" ht="15.75" customHeight="1">
      <c r="A992" s="129"/>
      <c r="B992" s="129"/>
      <c r="C992" s="129"/>
      <c r="D992" s="129"/>
      <c r="E992" s="129"/>
      <c r="F992" s="129"/>
      <c r="G992" s="129"/>
      <c r="H992" s="129"/>
      <c r="I992" s="129"/>
      <c r="J992" s="129"/>
      <c r="K992" s="129"/>
      <c r="L992" s="129"/>
      <c r="M992" s="129"/>
      <c r="N992" s="129"/>
      <c r="O992" s="129"/>
      <c r="P992" s="129"/>
      <c r="Q992" s="129"/>
      <c r="R992" s="129"/>
      <c r="S992" s="129"/>
      <c r="T992" s="129"/>
      <c r="U992" s="129"/>
      <c r="V992" s="129"/>
      <c r="W992" s="129"/>
      <c r="X992" s="129"/>
      <c r="Y992" s="129"/>
      <c r="Z992" s="129"/>
    </row>
    <row r="993" ht="15.75" customHeight="1">
      <c r="A993" s="129"/>
      <c r="B993" s="129"/>
      <c r="C993" s="129"/>
      <c r="D993" s="129"/>
      <c r="E993" s="129"/>
      <c r="F993" s="129"/>
      <c r="G993" s="129"/>
      <c r="H993" s="129"/>
      <c r="I993" s="129"/>
      <c r="J993" s="129"/>
      <c r="K993" s="129"/>
      <c r="L993" s="129"/>
      <c r="M993" s="129"/>
      <c r="N993" s="129"/>
      <c r="O993" s="129"/>
      <c r="P993" s="129"/>
      <c r="Q993" s="129"/>
      <c r="R993" s="129"/>
      <c r="S993" s="129"/>
      <c r="T993" s="129"/>
      <c r="U993" s="129"/>
      <c r="V993" s="129"/>
      <c r="W993" s="129"/>
      <c r="X993" s="129"/>
      <c r="Y993" s="129"/>
      <c r="Z993" s="129"/>
    </row>
    <row r="994" ht="15.75" customHeight="1">
      <c r="A994" s="129"/>
      <c r="B994" s="129"/>
      <c r="C994" s="129"/>
      <c r="D994" s="129"/>
      <c r="E994" s="129"/>
      <c r="F994" s="129"/>
      <c r="G994" s="129"/>
      <c r="H994" s="129"/>
      <c r="I994" s="129"/>
      <c r="J994" s="129"/>
      <c r="K994" s="129"/>
      <c r="L994" s="129"/>
      <c r="M994" s="129"/>
      <c r="N994" s="129"/>
      <c r="O994" s="129"/>
      <c r="P994" s="129"/>
      <c r="Q994" s="129"/>
      <c r="R994" s="129"/>
      <c r="S994" s="129"/>
      <c r="T994" s="129"/>
      <c r="U994" s="129"/>
      <c r="V994" s="129"/>
      <c r="W994" s="129"/>
      <c r="X994" s="129"/>
      <c r="Y994" s="129"/>
      <c r="Z994" s="129"/>
    </row>
    <row r="995" ht="15.75" customHeight="1">
      <c r="A995" s="129"/>
      <c r="B995" s="129"/>
      <c r="C995" s="129"/>
      <c r="D995" s="129"/>
      <c r="E995" s="129"/>
      <c r="F995" s="129"/>
      <c r="G995" s="129"/>
      <c r="H995" s="129"/>
      <c r="I995" s="129"/>
      <c r="J995" s="129"/>
      <c r="K995" s="129"/>
      <c r="L995" s="129"/>
      <c r="M995" s="129"/>
      <c r="N995" s="129"/>
      <c r="O995" s="129"/>
      <c r="P995" s="129"/>
      <c r="Q995" s="129"/>
      <c r="R995" s="129"/>
      <c r="S995" s="129"/>
      <c r="T995" s="129"/>
      <c r="U995" s="129"/>
      <c r="V995" s="129"/>
      <c r="W995" s="129"/>
      <c r="X995" s="129"/>
      <c r="Y995" s="129"/>
      <c r="Z995" s="129"/>
    </row>
    <row r="996" ht="15.75" customHeight="1">
      <c r="A996" s="129"/>
      <c r="B996" s="129"/>
      <c r="C996" s="129"/>
      <c r="D996" s="129"/>
      <c r="E996" s="129"/>
      <c r="F996" s="129"/>
      <c r="G996" s="129"/>
      <c r="H996" s="129"/>
      <c r="I996" s="129"/>
      <c r="J996" s="129"/>
      <c r="K996" s="129"/>
      <c r="L996" s="129"/>
      <c r="M996" s="129"/>
      <c r="N996" s="129"/>
      <c r="O996" s="129"/>
      <c r="P996" s="129"/>
      <c r="Q996" s="129"/>
      <c r="R996" s="129"/>
      <c r="S996" s="129"/>
      <c r="T996" s="129"/>
      <c r="U996" s="129"/>
      <c r="V996" s="129"/>
      <c r="W996" s="129"/>
      <c r="X996" s="129"/>
      <c r="Y996" s="129"/>
      <c r="Z996" s="129"/>
    </row>
    <row r="997" ht="15.75" customHeight="1">
      <c r="A997" s="129"/>
      <c r="B997" s="129"/>
      <c r="C997" s="129"/>
      <c r="D997" s="129"/>
      <c r="E997" s="129"/>
      <c r="F997" s="129"/>
      <c r="G997" s="129"/>
      <c r="H997" s="129"/>
      <c r="I997" s="129"/>
      <c r="J997" s="129"/>
      <c r="K997" s="129"/>
      <c r="L997" s="129"/>
      <c r="M997" s="129"/>
      <c r="N997" s="129"/>
      <c r="O997" s="129"/>
      <c r="P997" s="129"/>
      <c r="Q997" s="129"/>
      <c r="R997" s="129"/>
      <c r="S997" s="129"/>
      <c r="T997" s="129"/>
      <c r="U997" s="129"/>
      <c r="V997" s="129"/>
      <c r="W997" s="129"/>
      <c r="X997" s="129"/>
      <c r="Y997" s="129"/>
      <c r="Z997" s="129"/>
    </row>
    <row r="998" ht="15.75" customHeight="1">
      <c r="A998" s="129"/>
      <c r="B998" s="129"/>
      <c r="C998" s="129"/>
      <c r="D998" s="129"/>
      <c r="E998" s="129"/>
      <c r="F998" s="129"/>
      <c r="G998" s="129"/>
      <c r="H998" s="129"/>
      <c r="I998" s="129"/>
      <c r="J998" s="129"/>
      <c r="K998" s="129"/>
      <c r="L998" s="129"/>
      <c r="M998" s="129"/>
      <c r="N998" s="129"/>
      <c r="O998" s="129"/>
      <c r="P998" s="129"/>
      <c r="Q998" s="129"/>
      <c r="R998" s="129"/>
      <c r="S998" s="129"/>
      <c r="T998" s="129"/>
      <c r="U998" s="129"/>
      <c r="V998" s="129"/>
      <c r="W998" s="129"/>
      <c r="X998" s="129"/>
      <c r="Y998" s="129"/>
      <c r="Z998" s="129"/>
    </row>
    <row r="999" ht="15.75" customHeight="1">
      <c r="A999" s="129"/>
      <c r="B999" s="129"/>
      <c r="C999" s="129"/>
      <c r="D999" s="129"/>
      <c r="E999" s="129"/>
      <c r="F999" s="129"/>
      <c r="G999" s="129"/>
      <c r="H999" s="129"/>
      <c r="I999" s="129"/>
      <c r="J999" s="129"/>
      <c r="K999" s="129"/>
      <c r="L999" s="129"/>
      <c r="M999" s="129"/>
      <c r="N999" s="129"/>
      <c r="O999" s="129"/>
      <c r="P999" s="129"/>
      <c r="Q999" s="129"/>
      <c r="R999" s="129"/>
      <c r="S999" s="129"/>
      <c r="T999" s="129"/>
      <c r="U999" s="129"/>
      <c r="V999" s="129"/>
      <c r="W999" s="129"/>
      <c r="X999" s="129"/>
      <c r="Y999" s="129"/>
      <c r="Z999" s="129"/>
    </row>
    <row r="1000" ht="15.75" customHeight="1">
      <c r="A1000" s="129"/>
      <c r="B1000" s="129"/>
      <c r="C1000" s="129"/>
      <c r="D1000" s="129"/>
      <c r="E1000" s="129"/>
      <c r="F1000" s="129"/>
      <c r="G1000" s="129"/>
      <c r="H1000" s="129"/>
      <c r="I1000" s="129"/>
      <c r="J1000" s="129"/>
      <c r="K1000" s="129"/>
      <c r="L1000" s="129"/>
      <c r="M1000" s="129"/>
      <c r="N1000" s="129"/>
      <c r="O1000" s="129"/>
      <c r="P1000" s="129"/>
      <c r="Q1000" s="129"/>
      <c r="R1000" s="129"/>
      <c r="S1000" s="129"/>
      <c r="T1000" s="129"/>
      <c r="U1000" s="129"/>
      <c r="V1000" s="129"/>
      <c r="W1000" s="129"/>
      <c r="X1000" s="129"/>
      <c r="Y1000" s="129"/>
      <c r="Z1000" s="129"/>
    </row>
  </sheetData>
  <hyperlinks>
    <hyperlink r:id="rId1" location="gid=585939456" ref="F2"/>
    <hyperlink r:id="rId2" ref="F3"/>
    <hyperlink r:id="rId3" ref="F4"/>
    <hyperlink r:id="rId4" ref="F5"/>
    <hyperlink r:id="rId5" ref="F6"/>
    <hyperlink r:id="rId6" ref="F7"/>
    <hyperlink r:id="rId7" ref="F8"/>
    <hyperlink r:id="rId8" ref="F9"/>
    <hyperlink r:id="rId9" ref="F10"/>
    <hyperlink r:id="rId10" ref="F11"/>
    <hyperlink r:id="rId11" ref="F12"/>
    <hyperlink r:id="rId12" ref="F13"/>
    <hyperlink r:id="rId13" ref="F14"/>
    <hyperlink r:id="rId14" ref="F15"/>
    <hyperlink r:id="rId15" ref="F16"/>
    <hyperlink r:id="rId16" ref="F17"/>
    <hyperlink r:id="rId17" ref="F18"/>
    <hyperlink r:id="rId18" ref="F19"/>
    <hyperlink r:id="rId19" ref="F20"/>
    <hyperlink r:id="rId20" ref="F21"/>
    <hyperlink r:id="rId21" ref="F22"/>
    <hyperlink r:id="rId22" ref="F23"/>
    <hyperlink r:id="rId23" ref="F24"/>
    <hyperlink r:id="rId24" ref="F25"/>
    <hyperlink r:id="rId25" ref="F26"/>
    <hyperlink r:id="rId26" ref="F27"/>
    <hyperlink r:id="rId27" ref="F28"/>
    <hyperlink r:id="rId28" ref="F29"/>
    <hyperlink r:id="rId29" ref="F30"/>
    <hyperlink r:id="rId30" ref="F31"/>
    <hyperlink r:id="rId31" ref="F32"/>
    <hyperlink r:id="rId32" ref="F33"/>
    <hyperlink r:id="rId33" ref="F34"/>
    <hyperlink r:id="rId34" ref="F35"/>
    <hyperlink r:id="rId35" ref="F36"/>
    <hyperlink r:id="rId36" ref="F37"/>
    <hyperlink r:id="rId37" ref="F38"/>
    <hyperlink r:id="rId38" ref="F39"/>
    <hyperlink r:id="rId39" ref="F40"/>
    <hyperlink r:id="rId40" ref="F41"/>
    <hyperlink r:id="rId41" ref="F42"/>
    <hyperlink r:id="rId42" ref="F43"/>
    <hyperlink r:id="rId43" ref="F44"/>
    <hyperlink r:id="rId44" ref="F45"/>
    <hyperlink r:id="rId45" ref="F46"/>
    <hyperlink r:id="rId46" ref="F47"/>
    <hyperlink r:id="rId47" ref="F48"/>
    <hyperlink r:id="rId48" ref="F49"/>
    <hyperlink r:id="rId49" ref="F50"/>
    <hyperlink r:id="rId50" ref="F51"/>
    <hyperlink r:id="rId51" ref="F52"/>
    <hyperlink r:id="rId52" ref="F53"/>
    <hyperlink r:id="rId53" ref="F54"/>
    <hyperlink r:id="rId54" ref="F55"/>
    <hyperlink r:id="rId55" ref="F56"/>
    <hyperlink r:id="rId56" ref="F57"/>
    <hyperlink r:id="rId57" ref="F58"/>
    <hyperlink r:id="rId58" ref="F59"/>
    <hyperlink r:id="rId59" ref="F60"/>
    <hyperlink r:id="rId60" ref="F61"/>
    <hyperlink r:id="rId61" ref="F62"/>
    <hyperlink r:id="rId62" ref="F63"/>
    <hyperlink r:id="rId63" ref="F64"/>
    <hyperlink r:id="rId64" ref="F65"/>
    <hyperlink r:id="rId65" ref="F66"/>
    <hyperlink r:id="rId66" ref="F67"/>
    <hyperlink r:id="rId67" ref="F68"/>
    <hyperlink r:id="rId68" ref="F69"/>
    <hyperlink r:id="rId69" ref="F70"/>
    <hyperlink r:id="rId70" ref="F71"/>
    <hyperlink r:id="rId71" ref="F72"/>
    <hyperlink r:id="rId72" ref="F73"/>
    <hyperlink r:id="rId73" ref="F74"/>
    <hyperlink r:id="rId74" ref="F75"/>
    <hyperlink r:id="rId75" ref="F76"/>
    <hyperlink r:id="rId76" ref="F77"/>
    <hyperlink r:id="rId77" ref="F78"/>
    <hyperlink r:id="rId78" ref="F79"/>
    <hyperlink r:id="rId79" ref="F80"/>
    <hyperlink r:id="rId80" ref="F81"/>
    <hyperlink r:id="rId81" ref="F82"/>
    <hyperlink r:id="rId82" ref="F83"/>
    <hyperlink r:id="rId83" ref="F84"/>
    <hyperlink r:id="rId84" ref="F85"/>
    <hyperlink r:id="rId85" ref="F86"/>
    <hyperlink r:id="rId86" ref="F87"/>
    <hyperlink r:id="rId87" ref="F88"/>
    <hyperlink r:id="rId88" ref="F89"/>
    <hyperlink r:id="rId89" ref="F90"/>
    <hyperlink r:id="rId90" ref="F91"/>
    <hyperlink r:id="rId91" ref="F92"/>
    <hyperlink r:id="rId92" ref="F93"/>
    <hyperlink r:id="rId93" ref="F94"/>
    <hyperlink r:id="rId94" ref="F95"/>
    <hyperlink r:id="rId95" ref="F96"/>
    <hyperlink r:id="rId96" ref="F97"/>
    <hyperlink r:id="rId97" ref="F98"/>
    <hyperlink r:id="rId98" ref="F99"/>
    <hyperlink r:id="rId99" ref="F100"/>
    <hyperlink r:id="rId100" ref="F101"/>
    <hyperlink r:id="rId101" ref="F102"/>
    <hyperlink r:id="rId102" ref="F103"/>
    <hyperlink r:id="rId103" ref="F104"/>
    <hyperlink r:id="rId104" ref="F105"/>
    <hyperlink r:id="rId105" ref="F106"/>
    <hyperlink r:id="rId106" ref="F107"/>
    <hyperlink r:id="rId107" ref="F108"/>
    <hyperlink r:id="rId108" ref="F109"/>
    <hyperlink r:id="rId109" ref="F110"/>
    <hyperlink r:id="rId110" ref="F111"/>
    <hyperlink r:id="rId111" ref="F112"/>
    <hyperlink r:id="rId112" ref="F113"/>
    <hyperlink r:id="rId113" ref="F114"/>
    <hyperlink r:id="rId114" ref="F115"/>
    <hyperlink r:id="rId115" ref="F116"/>
    <hyperlink r:id="rId116" ref="F117"/>
    <hyperlink r:id="rId117" ref="F118"/>
    <hyperlink r:id="rId118" ref="F119"/>
    <hyperlink r:id="rId119" ref="F120"/>
    <hyperlink r:id="rId120" ref="F121"/>
    <hyperlink r:id="rId121" location="gid=1190714847" ref="F122"/>
    <hyperlink r:id="rId122" ref="F123"/>
    <hyperlink r:id="rId123" ref="F124"/>
    <hyperlink r:id="rId124" ref="F125"/>
    <hyperlink r:id="rId125" ref="F126"/>
    <hyperlink r:id="rId126" ref="F127"/>
    <hyperlink r:id="rId127" ref="F128"/>
    <hyperlink r:id="rId128" ref="F129"/>
    <hyperlink r:id="rId129" ref="F130"/>
    <hyperlink r:id="rId130" ref="F131"/>
    <hyperlink r:id="rId131" ref="F132"/>
    <hyperlink r:id="rId132" ref="F133"/>
    <hyperlink r:id="rId133" ref="F134"/>
    <hyperlink r:id="rId134" ref="F135"/>
    <hyperlink r:id="rId135" ref="F136"/>
    <hyperlink r:id="rId136" ref="F137"/>
    <hyperlink r:id="rId137" ref="F138"/>
    <hyperlink r:id="rId138" ref="F139"/>
    <hyperlink r:id="rId139" ref="F140"/>
    <hyperlink r:id="rId140" ref="F141"/>
    <hyperlink r:id="rId141" ref="F142"/>
    <hyperlink r:id="rId142" ref="F143"/>
    <hyperlink r:id="rId143" ref="F144"/>
    <hyperlink r:id="rId144" ref="F145"/>
    <hyperlink r:id="rId145" ref="F146"/>
    <hyperlink r:id="rId146" ref="F147"/>
    <hyperlink r:id="rId147" ref="F148"/>
    <hyperlink r:id="rId148" ref="F149"/>
    <hyperlink r:id="rId149" ref="F150"/>
    <hyperlink r:id="rId150" ref="F151"/>
    <hyperlink r:id="rId151" ref="F152"/>
    <hyperlink r:id="rId152" ref="F153"/>
  </hyperlinks>
  <drawing r:id="rId153"/>
  <tableParts count="1">
    <tablePart r:id="rId155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1.43"/>
    <col customWidth="1" min="2" max="2" width="54.0"/>
    <col customWidth="1" min="3" max="20" width="83.0"/>
  </cols>
  <sheetData>
    <row r="1">
      <c r="A1" s="150" t="s">
        <v>435</v>
      </c>
      <c r="B1" s="150" t="s">
        <v>793</v>
      </c>
      <c r="C1" s="150" t="s">
        <v>414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</row>
    <row r="2">
      <c r="A2" s="152" t="s">
        <v>794</v>
      </c>
      <c r="B2" s="152" t="s">
        <v>795</v>
      </c>
      <c r="C2" s="152">
        <v>2026.0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</row>
    <row r="3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</row>
    <row r="5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</row>
    <row r="6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</row>
    <row r="7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</row>
    <row r="9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</row>
    <row r="10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</row>
    <row r="11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</row>
    <row r="12">
      <c r="A12" s="153"/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</row>
    <row r="13">
      <c r="A13" s="153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</row>
    <row r="14">
      <c r="A14" s="153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</row>
    <row r="1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</row>
    <row r="16">
      <c r="A16" s="153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</row>
    <row r="17">
      <c r="A17" s="153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</row>
    <row r="18" ht="15.75" customHeight="1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</row>
    <row r="19" ht="15.75" customHeight="1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</row>
    <row r="20" ht="15.75" customHeight="1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</row>
    <row r="21" ht="15.75" customHeight="1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</row>
    <row r="22" ht="15.75" customHeight="1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</row>
    <row r="23" ht="15.75" customHeight="1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</row>
    <row r="24" ht="15.75" customHeight="1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</row>
    <row r="25" ht="15.75" customHeight="1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</row>
    <row r="26" ht="15.75" customHeight="1">
      <c r="A26" s="15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</row>
    <row r="27" ht="15.75" customHeight="1">
      <c r="A27" s="153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</row>
    <row r="28" ht="15.75" customHeight="1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</row>
    <row r="29" ht="15.75" customHeight="1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</row>
    <row r="30" ht="15.75" customHeight="1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ht="15.75" customHeight="1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</row>
    <row r="32" ht="15.75" customHeigh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ht="15.75" customHeight="1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</row>
    <row r="34" ht="15.75" customHeight="1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</row>
    <row r="35" ht="15.75" customHeight="1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</row>
    <row r="36" ht="15.75" customHeigh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</row>
    <row r="37" ht="15.75" customHeight="1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</row>
    <row r="38" ht="15.75" customHeight="1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</row>
    <row r="39" ht="15.75" customHeigh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</row>
    <row r="40" ht="15.75" customHeigh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</row>
    <row r="41" ht="15.75" customHeigh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</row>
    <row r="42" ht="15.75" customHeight="1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</row>
    <row r="43" ht="15.75" customHeight="1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</row>
    <row r="44" ht="15.75" customHeight="1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</row>
    <row r="45" ht="15.75" customHeigh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</row>
    <row r="46" ht="15.75" customHeigh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</row>
    <row r="47" ht="15.75" customHeight="1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</row>
    <row r="48" ht="15.75" customHeight="1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</row>
    <row r="49" ht="15.75" customHeigh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</row>
    <row r="50" ht="15.75" customHeight="1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</row>
    <row r="51" ht="15.75" customHeight="1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</row>
    <row r="52" ht="15.75" customHeigh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</row>
    <row r="53" ht="15.75" customHeight="1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</row>
    <row r="54" ht="15.75" customHeight="1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</row>
    <row r="55" ht="15.75" customHeight="1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</row>
    <row r="56" ht="15.75" customHeigh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</row>
    <row r="57" ht="15.75" customHeigh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</row>
    <row r="58" ht="15.75" customHeigh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</row>
    <row r="59" ht="15.75" customHeight="1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</row>
    <row r="60" ht="15.75" customHeight="1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</row>
    <row r="61" ht="15.75" customHeight="1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</row>
    <row r="62" ht="15.75" customHeigh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</row>
    <row r="63" ht="15.75" customHeigh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</row>
    <row r="64" ht="15.75" customHeight="1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</row>
    <row r="65" ht="15.75" customHeight="1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</row>
    <row r="66" ht="15.75" customHeight="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</row>
    <row r="67" ht="15.75" customHeight="1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</row>
    <row r="68" ht="15.75" customHeight="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</row>
    <row r="69" ht="15.75" customHeight="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</row>
    <row r="70" ht="15.75" customHeigh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</row>
    <row r="71" ht="15.75" customHeight="1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</row>
    <row r="72" ht="15.75" customHeight="1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</row>
    <row r="73" ht="15.75" customHeight="1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</row>
    <row r="74" ht="15.75" customHeight="1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</row>
    <row r="75" ht="15.75" customHeight="1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</row>
    <row r="76" ht="15.75" customHeight="1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</row>
    <row r="77" ht="15.75" customHeight="1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</row>
    <row r="78" ht="15.75" customHeight="1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</row>
    <row r="79" ht="15.75" customHeight="1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</row>
    <row r="80" ht="15.75" customHeight="1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</row>
    <row r="81" ht="15.75" customHeight="1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</row>
    <row r="82" ht="15.75" customHeight="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</row>
    <row r="83" ht="15.75" customHeight="1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</row>
    <row r="84" ht="15.75" customHeight="1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</row>
    <row r="85" ht="15.75" customHeight="1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</row>
    <row r="86" ht="15.75" customHeight="1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</row>
    <row r="87" ht="15.75" customHeight="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</row>
    <row r="88" ht="15.75" customHeight="1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</row>
    <row r="89" ht="15.75" customHeight="1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</row>
    <row r="90" ht="15.75" customHeight="1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</row>
    <row r="91" ht="15.75" customHeight="1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</row>
    <row r="92" ht="15.75" customHeight="1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</row>
    <row r="93" ht="15.75" customHeight="1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</row>
    <row r="94" ht="15.75" customHeight="1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</row>
    <row r="95" ht="15.75" customHeight="1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</row>
    <row r="96" ht="15.75" customHeight="1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</row>
    <row r="97" ht="15.75" customHeight="1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</row>
    <row r="98" ht="15.75" customHeight="1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</row>
    <row r="99" ht="15.75" customHeigh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</row>
    <row r="100" ht="15.75" customHeight="1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</row>
    <row r="101" ht="15.75" customHeight="1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</row>
    <row r="102" ht="15.75" customHeight="1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</row>
    <row r="103" ht="15.75" customHeight="1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</row>
    <row r="104" ht="15.75" customHeight="1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</row>
    <row r="105" ht="15.75" customHeight="1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</row>
    <row r="106" ht="15.75" customHeight="1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</row>
    <row r="107" ht="15.75" customHeight="1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</row>
    <row r="108" ht="15.75" customHeight="1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</row>
    <row r="109" ht="15.75" customHeight="1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</row>
    <row r="110" ht="15.75" customHeight="1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</row>
    <row r="111" ht="15.75" customHeight="1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</row>
    <row r="112" ht="15.75" customHeigh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</row>
    <row r="113" ht="15.75" customHeigh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</row>
    <row r="114" ht="15.75" customHeigh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</row>
    <row r="115" ht="15.75" customHeigh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</row>
    <row r="116" ht="15.75" customHeigh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</row>
    <row r="117" ht="15.75" customHeigh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</row>
    <row r="118" ht="15.75" customHeigh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</row>
    <row r="119" ht="15.75" customHeigh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</row>
    <row r="120" ht="15.75" customHeigh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</row>
    <row r="121" ht="15.75" customHeigh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</row>
    <row r="122" ht="15.75" customHeigh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</row>
    <row r="123" ht="15.75" customHeigh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</row>
    <row r="124" ht="15.75" customHeigh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</row>
    <row r="125" ht="15.75" customHeigh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</row>
    <row r="126" ht="15.75" customHeigh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</row>
    <row r="127" ht="15.75" customHeigh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</row>
    <row r="128" ht="15.75" customHeigh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</row>
    <row r="129" ht="15.75" customHeigh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</row>
    <row r="130" ht="15.75" customHeigh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</row>
    <row r="131" ht="15.75" customHeigh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</row>
    <row r="132" ht="15.75" customHeigh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</row>
    <row r="133" ht="15.75" customHeigh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</row>
    <row r="134" ht="15.75" customHeigh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</row>
    <row r="135" ht="15.75" customHeigh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</row>
    <row r="136" ht="15.75" customHeigh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</row>
    <row r="137" ht="15.75" customHeigh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</row>
    <row r="138" ht="15.75" customHeigh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</row>
    <row r="139" ht="15.75" customHeigh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</row>
    <row r="140" ht="15.75" customHeigh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</row>
    <row r="141" ht="15.75" customHeigh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</row>
    <row r="142" ht="15.75" customHeigh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</row>
    <row r="143" ht="15.75" customHeigh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</row>
    <row r="144" ht="15.75" customHeigh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</row>
    <row r="145" ht="15.75" customHeigh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</row>
    <row r="146" ht="15.75" customHeigh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</row>
    <row r="147" ht="15.75" customHeigh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</row>
    <row r="148" ht="15.75" customHeigh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</row>
    <row r="149" ht="15.75" customHeigh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</row>
    <row r="150" ht="15.75" customHeigh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</row>
    <row r="151" ht="15.75" customHeigh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</row>
    <row r="152" ht="15.75" customHeigh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</row>
    <row r="153" ht="15.75" customHeigh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</row>
    <row r="154" ht="15.75" customHeigh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</row>
    <row r="155" ht="15.75" customHeigh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</row>
    <row r="156" ht="15.75" customHeigh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</row>
    <row r="157" ht="15.75" customHeigh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</row>
    <row r="158" ht="15.75" customHeigh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</row>
    <row r="159" ht="15.75" customHeigh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</row>
    <row r="160" ht="15.75" customHeigh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</row>
    <row r="161" ht="15.75" customHeigh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</row>
    <row r="162" ht="15.75" customHeigh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</row>
    <row r="163" ht="15.75" customHeigh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</row>
    <row r="164" ht="15.75" customHeigh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</row>
    <row r="165" ht="15.75" customHeigh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</row>
    <row r="166" ht="15.75" customHeigh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</row>
    <row r="167" ht="15.75" customHeigh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</row>
    <row r="168" ht="15.75" customHeigh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</row>
    <row r="169" ht="15.75" customHeigh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</row>
    <row r="170" ht="15.75" customHeigh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</row>
    <row r="171" ht="15.75" customHeigh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</row>
    <row r="172" ht="15.75" customHeigh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</row>
    <row r="173" ht="15.75" customHeigh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</row>
    <row r="174" ht="15.75" customHeigh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</row>
    <row r="175" ht="15.75" customHeigh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</row>
    <row r="176" ht="15.75" customHeigh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</row>
    <row r="177" ht="15.75" customHeigh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</row>
    <row r="178" ht="15.75" customHeigh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</row>
    <row r="179" ht="15.75" customHeigh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</row>
    <row r="180" ht="15.75" customHeigh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</row>
    <row r="181" ht="15.75" customHeigh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</row>
    <row r="182" ht="15.75" customHeigh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</row>
    <row r="183" ht="15.75" customHeigh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</row>
    <row r="184" ht="15.75" customHeigh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</row>
    <row r="185" ht="15.75" customHeigh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</row>
    <row r="186" ht="15.75" customHeigh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</row>
    <row r="187" ht="15.75" customHeigh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</row>
    <row r="188" ht="15.75" customHeigh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</row>
    <row r="189" ht="15.75" customHeigh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</row>
    <row r="190" ht="15.75" customHeigh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</row>
    <row r="191" ht="15.75" customHeigh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</row>
    <row r="192" ht="15.75" customHeigh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</row>
    <row r="193" ht="15.75" customHeigh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</row>
    <row r="194" ht="15.75" customHeigh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</row>
    <row r="195" ht="15.75" customHeigh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</row>
    <row r="196" ht="15.75" customHeigh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</row>
    <row r="197" ht="15.75" customHeigh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</row>
    <row r="198" ht="15.75" customHeigh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</row>
    <row r="199" ht="15.75" customHeigh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</row>
    <row r="200" ht="15.75" customHeigh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</row>
    <row r="201" ht="15.75" customHeigh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</row>
    <row r="202" ht="15.75" customHeigh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</row>
    <row r="203" ht="15.75" customHeigh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</row>
    <row r="204" ht="15.75" customHeigh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</row>
    <row r="205" ht="15.75" customHeigh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</row>
    <row r="206" ht="15.75" customHeigh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</row>
    <row r="207" ht="15.75" customHeigh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</row>
    <row r="208" ht="15.75" customHeigh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</row>
    <row r="209" ht="15.75" customHeigh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</row>
    <row r="210" ht="15.75" customHeigh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</row>
    <row r="211" ht="15.75" customHeigh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</row>
    <row r="212" ht="15.75" customHeigh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</row>
    <row r="213" ht="15.75" customHeigh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</row>
    <row r="214" ht="15.75" customHeigh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</row>
    <row r="215" ht="15.75" customHeigh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</row>
    <row r="216" ht="15.75" customHeigh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</row>
    <row r="217" ht="15.75" customHeigh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</row>
    <row r="218" ht="15.75" customHeigh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</row>
    <row r="219" ht="15.75" customHeigh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</row>
    <row r="220" ht="15.75" customHeigh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</row>
    <row r="221" ht="15.75" customHeigh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</row>
    <row r="222" ht="15.75" customHeigh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</row>
    <row r="223" ht="15.75" customHeigh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</row>
    <row r="224" ht="15.75" customHeigh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</row>
    <row r="225" ht="15.75" customHeigh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</row>
    <row r="226" ht="15.75" customHeigh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</row>
    <row r="227" ht="15.75" customHeigh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</row>
    <row r="228" ht="15.75" customHeigh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</row>
    <row r="229" ht="15.75" customHeigh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</row>
    <row r="230" ht="15.75" customHeigh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</row>
    <row r="231" ht="15.75" customHeigh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</row>
    <row r="232" ht="15.75" customHeigh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</row>
    <row r="233" ht="15.75" customHeigh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</row>
    <row r="234" ht="15.75" customHeigh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</row>
    <row r="235" ht="15.75" customHeigh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</row>
    <row r="236" ht="15.75" customHeigh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</row>
    <row r="237" ht="15.75" customHeigh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</row>
    <row r="238" ht="15.75" customHeigh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</row>
    <row r="239" ht="15.75" customHeigh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</row>
    <row r="240" ht="15.75" customHeigh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</row>
    <row r="241" ht="15.75" customHeigh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</row>
    <row r="242" ht="15.75" customHeigh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</row>
    <row r="243" ht="15.75" customHeigh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</row>
    <row r="244" ht="15.75" customHeigh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</row>
    <row r="245" ht="15.75" customHeigh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</row>
    <row r="246" ht="15.75" customHeigh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</row>
    <row r="247" ht="15.75" customHeigh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</row>
    <row r="248" ht="15.75" customHeigh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</row>
    <row r="249" ht="15.75" customHeigh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</row>
    <row r="250" ht="15.75" customHeigh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</row>
    <row r="251" ht="15.75" customHeigh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</row>
    <row r="252" ht="15.75" customHeigh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</row>
    <row r="253" ht="15.75" customHeigh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</row>
    <row r="254" ht="15.75" customHeigh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ht="15.75" customHeigh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</row>
    <row r="256" ht="15.75" customHeigh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ht="15.75" customHeigh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</row>
    <row r="258" ht="15.75" customHeigh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</row>
    <row r="259" ht="15.75" customHeigh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</row>
    <row r="260" ht="15.75" customHeigh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</row>
    <row r="261" ht="15.75" customHeigh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</row>
    <row r="262" ht="15.75" customHeigh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</row>
    <row r="263" ht="15.75" customHeigh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</row>
    <row r="264" ht="15.75" customHeigh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</row>
    <row r="265" ht="15.75" customHeigh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</row>
    <row r="266" ht="15.75" customHeigh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</row>
    <row r="267" ht="15.75" customHeigh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</row>
    <row r="268" ht="15.75" customHeigh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</row>
    <row r="269" ht="15.75" customHeigh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</row>
    <row r="270" ht="15.75" customHeigh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</row>
    <row r="271" ht="15.75" customHeigh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</row>
    <row r="272" ht="15.75" customHeigh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</row>
    <row r="273" ht="15.75" customHeigh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</row>
    <row r="274" ht="15.75" customHeigh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</row>
    <row r="275" ht="15.75" customHeigh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</row>
    <row r="276" ht="15.75" customHeigh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</row>
    <row r="277" ht="15.75" customHeigh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</row>
    <row r="278" ht="15.75" customHeigh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</row>
    <row r="279" ht="15.75" customHeigh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</row>
    <row r="280" ht="15.75" customHeigh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</row>
    <row r="281" ht="15.75" customHeigh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</row>
    <row r="282" ht="15.75" customHeigh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</row>
    <row r="283" ht="15.75" customHeigh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</row>
    <row r="284" ht="15.75" customHeigh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</row>
    <row r="285" ht="15.75" customHeigh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</row>
    <row r="286" ht="15.75" customHeigh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</row>
    <row r="287" ht="15.75" customHeigh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</row>
    <row r="288" ht="15.75" customHeigh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</row>
    <row r="289" ht="15.75" customHeigh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</row>
    <row r="290" ht="15.75" customHeigh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</row>
    <row r="291" ht="15.75" customHeigh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</row>
    <row r="292" ht="15.75" customHeigh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</row>
    <row r="293" ht="15.75" customHeigh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</row>
    <row r="294" ht="15.75" customHeigh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</row>
    <row r="295" ht="15.75" customHeigh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</row>
    <row r="296" ht="15.75" customHeigh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</row>
    <row r="297" ht="15.75" customHeigh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</row>
    <row r="298" ht="15.75" customHeigh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</row>
    <row r="299" ht="15.75" customHeigh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</row>
    <row r="300" ht="15.75" customHeigh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</row>
    <row r="301" ht="15.75" customHeigh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</row>
    <row r="302" ht="15.75" customHeigh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</row>
    <row r="303" ht="15.75" customHeigh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</row>
    <row r="304" ht="15.75" customHeigh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</row>
    <row r="305" ht="15.75" customHeigh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</row>
    <row r="306" ht="15.75" customHeigh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</row>
    <row r="307" ht="15.75" customHeigh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</row>
    <row r="308" ht="15.75" customHeigh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</row>
    <row r="309" ht="15.75" customHeigh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</row>
    <row r="310" ht="15.75" customHeigh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</row>
    <row r="311" ht="15.75" customHeigh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</row>
    <row r="312" ht="15.75" customHeigh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</row>
    <row r="313" ht="15.75" customHeigh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</row>
    <row r="314" ht="15.75" customHeigh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</row>
    <row r="315" ht="15.75" customHeigh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</row>
    <row r="316" ht="15.75" customHeigh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</row>
    <row r="317" ht="15.75" customHeigh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</row>
    <row r="318" ht="15.75" customHeigh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</row>
    <row r="319" ht="15.75" customHeigh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</row>
    <row r="320" ht="15.75" customHeigh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</row>
    <row r="321" ht="15.75" customHeigh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</row>
    <row r="322" ht="15.75" customHeigh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</row>
    <row r="323" ht="15.75" customHeigh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</row>
    <row r="324" ht="15.75" customHeigh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</row>
    <row r="325" ht="15.75" customHeigh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</row>
    <row r="326" ht="15.75" customHeigh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</row>
    <row r="327" ht="15.75" customHeigh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</row>
    <row r="328" ht="15.75" customHeigh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</row>
    <row r="329" ht="15.75" customHeigh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</row>
    <row r="330" ht="15.75" customHeigh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</row>
    <row r="331" ht="15.75" customHeigh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</row>
    <row r="332" ht="15.75" customHeigh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</row>
    <row r="333" ht="15.75" customHeigh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</row>
    <row r="334" ht="15.75" customHeigh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</row>
    <row r="335" ht="15.75" customHeigh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</row>
    <row r="336" ht="15.75" customHeigh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</row>
    <row r="337" ht="15.75" customHeigh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</row>
    <row r="338" ht="15.75" customHeigh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</row>
    <row r="339" ht="15.75" customHeigh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</row>
    <row r="340" ht="15.75" customHeigh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</row>
    <row r="341" ht="15.75" customHeigh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</row>
    <row r="342" ht="15.75" customHeigh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</row>
    <row r="343" ht="15.75" customHeigh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</row>
    <row r="344" ht="15.75" customHeigh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</row>
    <row r="345" ht="15.75" customHeigh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</row>
    <row r="346" ht="15.75" customHeigh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</row>
    <row r="347" ht="15.75" customHeigh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</row>
    <row r="348" ht="15.75" customHeigh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</row>
    <row r="349" ht="15.75" customHeigh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</row>
    <row r="350" ht="15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</row>
    <row r="351" ht="15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</row>
    <row r="352" ht="15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</row>
    <row r="353" ht="15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</row>
    <row r="354" ht="15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</row>
    <row r="355" ht="15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</row>
    <row r="356" ht="15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</row>
    <row r="357" ht="15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</row>
    <row r="358" ht="15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</row>
    <row r="359" ht="15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</row>
    <row r="360" ht="15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</row>
    <row r="361" ht="15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</row>
    <row r="362" ht="15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</row>
    <row r="363" ht="15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</row>
    <row r="364" ht="15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</row>
    <row r="365" ht="15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</row>
    <row r="366" ht="15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</row>
    <row r="367" ht="15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</row>
    <row r="368" ht="15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</row>
    <row r="369" ht="15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</row>
    <row r="370" ht="15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</row>
    <row r="371" ht="15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</row>
    <row r="372" ht="15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</row>
    <row r="373" ht="15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</row>
    <row r="374" ht="15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</row>
    <row r="375" ht="15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</row>
    <row r="376" ht="15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</row>
    <row r="377" ht="15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</row>
    <row r="378" ht="15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</row>
    <row r="379" ht="15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</row>
    <row r="380" ht="15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</row>
    <row r="381" ht="15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</row>
    <row r="382" ht="15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</row>
    <row r="383" ht="15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</row>
    <row r="384" ht="15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</row>
    <row r="385" ht="15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</row>
    <row r="386" ht="15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</row>
    <row r="387" ht="15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</row>
    <row r="388" ht="15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</row>
    <row r="389" ht="15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</row>
    <row r="390" ht="15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</row>
    <row r="391" ht="15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</row>
    <row r="392" ht="15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</row>
    <row r="393" ht="15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</row>
    <row r="394" ht="15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</row>
    <row r="395" ht="15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</row>
    <row r="396" ht="15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</row>
    <row r="397" ht="15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</row>
    <row r="398" ht="15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</row>
    <row r="399" ht="15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</row>
    <row r="400" ht="15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</row>
    <row r="401" ht="15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</row>
    <row r="402" ht="15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</row>
    <row r="403" ht="15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</row>
    <row r="404" ht="15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</row>
    <row r="405" ht="15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</row>
    <row r="406" ht="15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</row>
    <row r="407" ht="15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</row>
    <row r="408" ht="15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</row>
    <row r="409" ht="15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</row>
    <row r="410" ht="15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</row>
    <row r="411" ht="15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</row>
    <row r="412" ht="15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</row>
    <row r="413" ht="15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</row>
    <row r="414" ht="15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</row>
    <row r="415" ht="15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</row>
    <row r="416" ht="15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</row>
    <row r="417" ht="15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</row>
    <row r="418" ht="15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</row>
    <row r="419" ht="15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</row>
    <row r="420" ht="15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</row>
    <row r="421" ht="15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</row>
    <row r="422" ht="15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</row>
    <row r="423" ht="15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</row>
    <row r="424" ht="15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</row>
    <row r="425" ht="15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</row>
    <row r="426" ht="15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</row>
    <row r="427" ht="15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</row>
    <row r="428" ht="15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</row>
    <row r="429" ht="15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</row>
    <row r="430" ht="15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</row>
    <row r="431" ht="15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</row>
    <row r="432" ht="15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</row>
    <row r="433" ht="15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</row>
    <row r="434" ht="15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</row>
    <row r="435" ht="15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</row>
    <row r="436" ht="15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</row>
    <row r="437" ht="15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</row>
    <row r="438" ht="15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</row>
    <row r="439" ht="15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</row>
    <row r="440" ht="15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</row>
    <row r="441" ht="15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</row>
    <row r="442" ht="15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</row>
    <row r="443" ht="15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</row>
    <row r="444" ht="15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</row>
    <row r="445" ht="15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</row>
    <row r="446" ht="15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</row>
    <row r="447" ht="15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</row>
    <row r="448" ht="15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</row>
    <row r="449" ht="15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</row>
    <row r="450" ht="15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</row>
    <row r="451" ht="15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</row>
    <row r="452" ht="15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</row>
    <row r="453" ht="15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</row>
    <row r="454" ht="15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</row>
    <row r="455" ht="15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</row>
    <row r="456" ht="15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</row>
    <row r="457" ht="15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</row>
    <row r="458" ht="15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</row>
    <row r="459" ht="15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</row>
    <row r="460" ht="15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</row>
    <row r="461" ht="15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</row>
    <row r="462" ht="15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</row>
    <row r="463" ht="15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</row>
    <row r="464" ht="15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</row>
    <row r="465" ht="15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</row>
    <row r="466" ht="15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</row>
    <row r="467" ht="15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</row>
    <row r="468" ht="15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</row>
    <row r="469" ht="15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</row>
    <row r="470" ht="15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</row>
    <row r="471" ht="15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</row>
    <row r="472" ht="15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</row>
    <row r="473" ht="15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</row>
    <row r="474" ht="15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</row>
    <row r="475" ht="15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</row>
    <row r="476" ht="15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</row>
    <row r="477" ht="15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</row>
    <row r="478" ht="15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</row>
    <row r="479" ht="15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</row>
    <row r="480" ht="15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</row>
    <row r="481" ht="15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</row>
    <row r="482" ht="15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</row>
    <row r="483" ht="15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</row>
    <row r="484" ht="15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</row>
    <row r="485" ht="15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</row>
    <row r="486" ht="15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</row>
    <row r="487" ht="15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</row>
    <row r="488" ht="15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</row>
    <row r="489" ht="15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</row>
    <row r="490" ht="15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</row>
    <row r="491" ht="15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</row>
    <row r="492" ht="15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</row>
    <row r="493" ht="15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</row>
    <row r="494" ht="15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</row>
    <row r="495" ht="15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</row>
    <row r="496" ht="15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</row>
    <row r="497" ht="15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</row>
    <row r="498" ht="15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</row>
    <row r="499" ht="15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</row>
    <row r="500" ht="15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</row>
    <row r="501" ht="15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</row>
    <row r="502" ht="15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</row>
    <row r="503" ht="15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</row>
    <row r="504" ht="15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</row>
    <row r="505" ht="15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</row>
    <row r="506" ht="15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</row>
    <row r="507" ht="15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</row>
    <row r="508" ht="15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</row>
    <row r="509" ht="15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</row>
    <row r="510" ht="15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</row>
    <row r="511" ht="15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</row>
    <row r="512" ht="15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</row>
    <row r="513" ht="15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</row>
    <row r="514" ht="15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</row>
    <row r="515" ht="15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</row>
    <row r="516" ht="15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</row>
    <row r="517" ht="15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</row>
    <row r="518" ht="15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</row>
    <row r="519" ht="15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</row>
    <row r="520" ht="15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</row>
    <row r="521" ht="15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</row>
    <row r="522" ht="15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</row>
    <row r="523" ht="15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</row>
    <row r="524" ht="15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</row>
    <row r="525" ht="15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</row>
    <row r="526" ht="15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</row>
    <row r="527" ht="15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</row>
    <row r="528" ht="15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</row>
    <row r="529" ht="15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</row>
    <row r="530" ht="15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</row>
    <row r="531" ht="15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</row>
    <row r="532" ht="15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</row>
    <row r="533" ht="15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</row>
    <row r="534" ht="15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</row>
    <row r="535" ht="15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</row>
    <row r="536" ht="15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</row>
    <row r="537" ht="15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</row>
    <row r="538" ht="15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</row>
    <row r="539" ht="15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</row>
    <row r="540" ht="15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</row>
    <row r="541" ht="15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</row>
    <row r="542" ht="15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</row>
    <row r="543" ht="15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</row>
    <row r="544" ht="15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</row>
    <row r="545" ht="15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</row>
    <row r="546" ht="15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</row>
    <row r="547" ht="15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</row>
    <row r="548" ht="15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</row>
    <row r="549" ht="15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</row>
    <row r="550" ht="15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</row>
    <row r="551" ht="15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</row>
    <row r="552" ht="15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</row>
    <row r="553" ht="15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</row>
    <row r="554" ht="15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</row>
    <row r="555" ht="15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</row>
    <row r="556" ht="15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</row>
    <row r="557" ht="15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</row>
    <row r="558" ht="15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</row>
    <row r="559" ht="15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</row>
    <row r="560" ht="15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</row>
    <row r="561" ht="15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</row>
    <row r="562" ht="15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</row>
    <row r="563" ht="15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</row>
    <row r="564" ht="15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</row>
    <row r="565" ht="15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</row>
    <row r="566" ht="15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</row>
    <row r="567" ht="15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</row>
    <row r="568" ht="15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</row>
    <row r="569" ht="15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</row>
    <row r="570" ht="15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</row>
    <row r="571" ht="15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</row>
    <row r="572" ht="15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</row>
    <row r="573" ht="15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</row>
    <row r="574" ht="15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</row>
    <row r="575" ht="15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</row>
    <row r="576" ht="15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</row>
    <row r="577" ht="15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</row>
    <row r="578" ht="15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</row>
    <row r="579" ht="15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</row>
    <row r="580" ht="15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</row>
    <row r="581" ht="15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</row>
    <row r="582" ht="15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</row>
    <row r="583" ht="15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</row>
    <row r="584" ht="15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</row>
    <row r="585" ht="15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</row>
    <row r="586" ht="15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</row>
    <row r="587" ht="15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</row>
    <row r="588" ht="15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</row>
    <row r="589" ht="15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</row>
    <row r="590" ht="15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</row>
    <row r="591" ht="15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</row>
    <row r="592" ht="15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</row>
    <row r="593" ht="15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</row>
    <row r="594" ht="15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</row>
    <row r="595" ht="15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</row>
    <row r="596" ht="15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</row>
    <row r="597" ht="15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</row>
    <row r="598" ht="15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</row>
    <row r="599" ht="15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</row>
    <row r="600" ht="15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</row>
    <row r="601" ht="15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</row>
    <row r="602" ht="15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</row>
    <row r="603" ht="15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</row>
    <row r="604" ht="15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</row>
    <row r="605" ht="15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</row>
    <row r="606" ht="15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</row>
    <row r="607" ht="15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</row>
    <row r="608" ht="15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</row>
    <row r="609" ht="15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</row>
    <row r="610" ht="15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</row>
    <row r="611" ht="15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</row>
    <row r="612" ht="15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</row>
    <row r="613" ht="15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</row>
    <row r="614" ht="15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</row>
    <row r="615" ht="15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</row>
    <row r="616" ht="15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</row>
    <row r="617" ht="15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</row>
    <row r="618" ht="15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</row>
    <row r="619" ht="15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</row>
    <row r="620" ht="15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</row>
    <row r="621" ht="15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</row>
    <row r="622" ht="15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</row>
    <row r="623" ht="15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</row>
    <row r="624" ht="15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</row>
    <row r="625" ht="15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</row>
    <row r="626" ht="15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</row>
    <row r="627" ht="15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</row>
    <row r="628" ht="15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</row>
    <row r="629" ht="15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</row>
    <row r="630" ht="15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</row>
    <row r="631" ht="15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</row>
    <row r="632" ht="15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</row>
    <row r="633" ht="15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</row>
    <row r="634" ht="15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</row>
    <row r="635" ht="15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</row>
    <row r="636" ht="15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</row>
    <row r="637" ht="15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</row>
    <row r="638" ht="15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</row>
    <row r="639" ht="15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</row>
    <row r="640" ht="15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</row>
    <row r="641" ht="15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</row>
    <row r="642" ht="15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</row>
    <row r="643" ht="15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</row>
    <row r="644" ht="15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</row>
    <row r="645" ht="15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</row>
    <row r="646" ht="15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</row>
    <row r="647" ht="15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</row>
    <row r="648" ht="15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</row>
    <row r="649" ht="15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</row>
    <row r="650" ht="15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</row>
    <row r="651" ht="15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</row>
    <row r="652" ht="15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</row>
    <row r="653" ht="15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</row>
    <row r="654" ht="15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</row>
    <row r="655" ht="15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</row>
    <row r="656" ht="15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</row>
    <row r="657" ht="15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</row>
    <row r="658" ht="15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</row>
    <row r="659" ht="15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</row>
    <row r="660" ht="15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</row>
    <row r="661" ht="15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</row>
    <row r="662" ht="15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</row>
    <row r="663" ht="15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</row>
    <row r="664" ht="15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</row>
    <row r="665" ht="15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</row>
    <row r="666" ht="15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</row>
    <row r="667" ht="15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</row>
    <row r="668" ht="15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</row>
    <row r="669" ht="15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</row>
    <row r="670" ht="15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</row>
    <row r="671" ht="15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</row>
    <row r="672" ht="15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</row>
    <row r="673" ht="15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</row>
    <row r="674" ht="15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</row>
    <row r="675" ht="15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</row>
    <row r="676" ht="15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</row>
    <row r="677" ht="15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</row>
    <row r="678" ht="15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</row>
    <row r="679" ht="15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</row>
    <row r="680" ht="15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</row>
    <row r="681" ht="15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</row>
    <row r="682" ht="15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</row>
    <row r="683" ht="15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</row>
    <row r="684" ht="15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</row>
    <row r="685" ht="15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</row>
    <row r="686" ht="15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</row>
    <row r="687" ht="15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</row>
    <row r="688" ht="15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</row>
    <row r="689" ht="15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</row>
    <row r="690" ht="15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</row>
    <row r="691" ht="15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</row>
    <row r="692" ht="15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</row>
    <row r="693" ht="15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</row>
    <row r="694" ht="15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</row>
    <row r="695" ht="15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</row>
    <row r="696" ht="15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</row>
    <row r="697" ht="15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</row>
    <row r="698" ht="15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</row>
    <row r="699" ht="15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</row>
    <row r="700" ht="15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</row>
    <row r="701" ht="15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</row>
    <row r="702" ht="15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</row>
    <row r="703" ht="15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</row>
    <row r="704" ht="15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</row>
    <row r="705" ht="15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</row>
    <row r="706" ht="15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</row>
    <row r="707" ht="15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</row>
    <row r="708" ht="15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</row>
    <row r="709" ht="15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</row>
    <row r="710" ht="15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</row>
    <row r="711" ht="15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</row>
    <row r="712" ht="15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</row>
    <row r="713" ht="15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</row>
    <row r="714" ht="15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</row>
    <row r="715" ht="15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</row>
    <row r="716" ht="15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</row>
    <row r="717" ht="15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</row>
    <row r="718" ht="15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</row>
    <row r="719" ht="15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</row>
    <row r="720" ht="15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</row>
    <row r="721" ht="15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</row>
    <row r="722" ht="15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</row>
    <row r="723" ht="15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</row>
    <row r="724" ht="15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</row>
    <row r="725" ht="15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</row>
    <row r="726" ht="15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</row>
    <row r="727" ht="15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</row>
    <row r="728" ht="15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</row>
    <row r="729" ht="15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</row>
    <row r="730" ht="15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</row>
    <row r="731" ht="15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</row>
    <row r="732" ht="15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</row>
    <row r="733" ht="15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</row>
    <row r="734" ht="15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</row>
    <row r="735" ht="15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</row>
    <row r="736" ht="15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</row>
    <row r="737" ht="15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</row>
    <row r="738" ht="15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</row>
    <row r="739" ht="15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</row>
    <row r="740" ht="15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</row>
    <row r="741" ht="15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</row>
    <row r="742" ht="15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</row>
    <row r="743" ht="15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</row>
    <row r="744" ht="15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</row>
    <row r="745" ht="15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</row>
    <row r="746" ht="15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</row>
    <row r="747" ht="15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</row>
    <row r="748" ht="15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</row>
    <row r="749" ht="15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</row>
    <row r="750" ht="15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</row>
    <row r="751" ht="15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</row>
    <row r="752" ht="15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</row>
    <row r="753" ht="15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</row>
    <row r="754" ht="15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</row>
    <row r="755" ht="15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</row>
    <row r="756" ht="15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</row>
    <row r="757" ht="15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</row>
    <row r="758" ht="15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</row>
    <row r="759" ht="15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</row>
    <row r="760" ht="15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</row>
    <row r="761" ht="15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</row>
    <row r="762" ht="15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</row>
    <row r="763" ht="15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</row>
    <row r="764" ht="15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</row>
    <row r="765" ht="15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</row>
    <row r="766" ht="15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</row>
    <row r="767" ht="15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</row>
    <row r="768" ht="15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</row>
    <row r="769" ht="15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</row>
    <row r="770" ht="15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</row>
    <row r="771" ht="15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</row>
    <row r="772" ht="15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</row>
    <row r="773" ht="15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</row>
    <row r="774" ht="15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</row>
    <row r="775" ht="15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</row>
    <row r="776" ht="15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</row>
    <row r="777" ht="15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</row>
    <row r="778" ht="15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</row>
    <row r="779" ht="15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</row>
    <row r="780" ht="15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</row>
    <row r="781" ht="15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</row>
    <row r="782" ht="15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</row>
    <row r="783" ht="15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</row>
    <row r="784" ht="15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</row>
    <row r="785" ht="15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</row>
    <row r="786" ht="15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</row>
    <row r="787" ht="15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</row>
    <row r="788" ht="15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</row>
    <row r="789" ht="15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</row>
    <row r="790" ht="15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</row>
    <row r="791" ht="15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</row>
    <row r="792" ht="15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</row>
    <row r="793" ht="15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</row>
    <row r="794" ht="15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</row>
    <row r="795" ht="15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</row>
    <row r="796" ht="15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</row>
    <row r="797" ht="15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</row>
    <row r="798" ht="15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</row>
    <row r="799" ht="15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</row>
    <row r="800" ht="15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</row>
    <row r="801" ht="15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</row>
    <row r="802" ht="15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</row>
    <row r="803" ht="15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</row>
    <row r="804" ht="15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</row>
    <row r="805" ht="15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</row>
    <row r="806" ht="15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</row>
    <row r="807" ht="15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</row>
    <row r="808" ht="15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</row>
    <row r="809" ht="15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</row>
    <row r="810" ht="15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</row>
    <row r="811" ht="15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</row>
    <row r="812" ht="15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</row>
    <row r="813" ht="15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</row>
    <row r="814" ht="15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</row>
    <row r="815" ht="15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</row>
    <row r="816" ht="15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</row>
    <row r="817" ht="15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</row>
    <row r="818" ht="15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</row>
    <row r="819" ht="15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</row>
    <row r="820" ht="15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</row>
    <row r="821" ht="15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</row>
    <row r="822" ht="15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</row>
    <row r="823" ht="15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</row>
    <row r="824" ht="15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</row>
    <row r="825" ht="15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</row>
    <row r="826" ht="15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</row>
    <row r="827" ht="15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</row>
    <row r="828" ht="15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</row>
    <row r="829" ht="15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</row>
    <row r="830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</row>
    <row r="831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</row>
    <row r="832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</row>
    <row r="833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</row>
    <row r="83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</row>
    <row r="835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</row>
    <row r="836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</row>
    <row r="837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</row>
    <row r="838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</row>
    <row r="839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</row>
    <row r="840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</row>
    <row r="841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</row>
    <row r="842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</row>
    <row r="843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</row>
    <row r="84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</row>
    <row r="845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</row>
    <row r="846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</row>
    <row r="847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</row>
    <row r="848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</row>
    <row r="853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</row>
    <row r="85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</row>
    <row r="855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</row>
    <row r="856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</row>
    <row r="857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</row>
    <row r="858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</row>
    <row r="859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</row>
    <row r="860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</row>
    <row r="861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</row>
    <row r="862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</row>
    <row r="863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</row>
    <row r="86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</row>
    <row r="865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</row>
    <row r="866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</row>
    <row r="867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</row>
    <row r="868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</row>
    <row r="869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</row>
    <row r="870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</row>
    <row r="871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</row>
    <row r="872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</row>
    <row r="873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</row>
    <row r="87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</row>
    <row r="875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</row>
    <row r="876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</row>
    <row r="877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</row>
    <row r="878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</row>
    <row r="879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</row>
    <row r="880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</row>
    <row r="881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</row>
    <row r="882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</row>
    <row r="883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</row>
    <row r="88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</row>
    <row r="885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</row>
    <row r="886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</row>
    <row r="887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</row>
    <row r="888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</row>
    <row r="889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</row>
    <row r="890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</row>
    <row r="891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</row>
    <row r="892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</row>
    <row r="893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</row>
    <row r="89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</row>
    <row r="895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</row>
    <row r="896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</row>
    <row r="897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</row>
    <row r="898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</row>
    <row r="899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</row>
    <row r="900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</row>
    <row r="901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</row>
    <row r="902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</row>
    <row r="903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</row>
    <row r="90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</row>
    <row r="905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</row>
    <row r="906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</row>
    <row r="907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</row>
    <row r="908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</row>
    <row r="909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</row>
    <row r="910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</row>
    <row r="911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</row>
    <row r="912" ht="15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</row>
    <row r="913" ht="15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</row>
    <row r="914" ht="15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</row>
    <row r="915" ht="15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</row>
    <row r="916" ht="15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</row>
    <row r="917" ht="15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</row>
    <row r="918" ht="15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</row>
    <row r="919" ht="15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</row>
    <row r="920" ht="15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</row>
    <row r="921" ht="15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</row>
    <row r="922" ht="15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</row>
    <row r="923" ht="15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</row>
    <row r="924" ht="15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</row>
    <row r="925" ht="15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</row>
    <row r="926" ht="15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</row>
    <row r="927" ht="15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</row>
    <row r="928" ht="15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</row>
    <row r="929" ht="15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</row>
    <row r="930" ht="15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</row>
    <row r="931" ht="15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</row>
    <row r="932" ht="15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</row>
    <row r="933" ht="15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</row>
    <row r="934" ht="15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</row>
    <row r="935" ht="15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</row>
    <row r="936" ht="15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</row>
    <row r="937" ht="15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</row>
    <row r="938" ht="15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</row>
    <row r="939" ht="15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</row>
    <row r="940" ht="15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</row>
    <row r="941" ht="15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</row>
    <row r="942" ht="15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</row>
    <row r="943" ht="15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</row>
    <row r="944" ht="15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</row>
    <row r="945" ht="15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</row>
    <row r="946" ht="15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</row>
    <row r="947" ht="15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</row>
    <row r="948" ht="15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</row>
    <row r="949" ht="15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</row>
    <row r="950" ht="15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</row>
    <row r="951" ht="15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</row>
    <row r="952" ht="15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</row>
    <row r="953" ht="15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</row>
    <row r="954" ht="15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</row>
    <row r="955" ht="15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</row>
    <row r="956" ht="15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</row>
    <row r="957" ht="15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</row>
    <row r="958" ht="15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</row>
    <row r="959" ht="15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</row>
    <row r="960" ht="15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</row>
    <row r="961" ht="15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</row>
    <row r="962" ht="15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</row>
    <row r="963" ht="15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</row>
    <row r="964" ht="15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</row>
    <row r="965" ht="15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</row>
    <row r="966" ht="15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</row>
    <row r="967" ht="15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</row>
    <row r="968" ht="15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</row>
    <row r="969" ht="15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</row>
    <row r="970" ht="15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</row>
    <row r="971" ht="15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</row>
    <row r="972" ht="15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</row>
    <row r="973" ht="15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</row>
    <row r="974" ht="15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</row>
    <row r="975" ht="15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</row>
    <row r="976" ht="15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</row>
    <row r="977" ht="15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</row>
    <row r="978" ht="15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</row>
    <row r="979" ht="15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</row>
    <row r="980" ht="15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</row>
    <row r="981" ht="15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</row>
    <row r="982" ht="15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</row>
    <row r="983" ht="15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</row>
    <row r="984" ht="15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</row>
    <row r="985" ht="15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</row>
    <row r="986" ht="15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</row>
    <row r="987" ht="15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</row>
    <row r="988" ht="15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</row>
    <row r="989" ht="15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</row>
    <row r="990" ht="15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</row>
    <row r="991" ht="15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</row>
    <row r="992" ht="15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</row>
    <row r="993" ht="15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</row>
    <row r="994" ht="15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</row>
    <row r="995" ht="15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</row>
    <row r="996" ht="15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</row>
    <row r="997" ht="15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3" max="3" width="71.29"/>
    <col customWidth="1" min="4" max="4" width="73.71"/>
  </cols>
  <sheetData>
    <row r="1" ht="22.5" customHeight="1">
      <c r="A1" s="9" t="s">
        <v>15</v>
      </c>
      <c r="B1" s="10" t="s">
        <v>16</v>
      </c>
      <c r="C1" s="10" t="s">
        <v>17</v>
      </c>
      <c r="D1" s="10" t="s">
        <v>18</v>
      </c>
      <c r="E1" s="10" t="s">
        <v>0</v>
      </c>
      <c r="F1" s="10" t="s">
        <v>19</v>
      </c>
      <c r="G1" s="10" t="s">
        <v>20</v>
      </c>
      <c r="H1" s="10" t="s">
        <v>21</v>
      </c>
      <c r="I1" s="10" t="s">
        <v>22</v>
      </c>
      <c r="J1" s="10" t="s">
        <v>23</v>
      </c>
      <c r="K1" s="10" t="s">
        <v>24</v>
      </c>
      <c r="L1" s="10" t="s">
        <v>25</v>
      </c>
      <c r="M1" s="10" t="s">
        <v>26</v>
      </c>
      <c r="N1" s="10" t="s">
        <v>27</v>
      </c>
      <c r="O1" s="10" t="s">
        <v>28</v>
      </c>
      <c r="P1" s="10" t="s">
        <v>29</v>
      </c>
      <c r="Q1" s="10" t="s">
        <v>30</v>
      </c>
      <c r="R1" s="10" t="s">
        <v>31</v>
      </c>
      <c r="S1" s="10" t="s">
        <v>32</v>
      </c>
      <c r="T1" s="10" t="s">
        <v>33</v>
      </c>
      <c r="U1" s="10" t="s">
        <v>34</v>
      </c>
      <c r="V1" s="10" t="s">
        <v>35</v>
      </c>
      <c r="W1" s="10" t="s">
        <v>36</v>
      </c>
      <c r="X1" s="10" t="s">
        <v>37</v>
      </c>
      <c r="Y1" s="10" t="s">
        <v>38</v>
      </c>
      <c r="Z1" s="10" t="s">
        <v>39</v>
      </c>
    </row>
    <row r="2" ht="22.5" customHeight="1">
      <c r="A2" s="11">
        <v>1.0</v>
      </c>
      <c r="B2" s="12" t="s">
        <v>40</v>
      </c>
      <c r="C2" s="13" t="s">
        <v>41</v>
      </c>
      <c r="D2" s="13" t="s">
        <v>41</v>
      </c>
      <c r="E2" s="12" t="s">
        <v>42</v>
      </c>
      <c r="F2" s="14" t="s">
        <v>43</v>
      </c>
      <c r="G2" s="15" t="s">
        <v>44</v>
      </c>
      <c r="H2" s="16" t="s">
        <v>45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ht="22.5" customHeight="1">
      <c r="A3" s="18">
        <v>1.0</v>
      </c>
      <c r="B3" s="19" t="s">
        <v>40</v>
      </c>
      <c r="C3" s="19" t="s">
        <v>46</v>
      </c>
      <c r="D3" s="19" t="s">
        <v>46</v>
      </c>
      <c r="E3" s="19" t="s">
        <v>47</v>
      </c>
      <c r="F3" s="19" t="s">
        <v>40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1"/>
    </row>
    <row r="4" ht="22.5" customHeight="1">
      <c r="A4" s="22">
        <v>2.0</v>
      </c>
      <c r="B4" s="23" t="s">
        <v>40</v>
      </c>
      <c r="C4" s="23" t="s">
        <v>48</v>
      </c>
      <c r="D4" s="23" t="s">
        <v>48</v>
      </c>
      <c r="E4" s="23" t="s">
        <v>49</v>
      </c>
      <c r="F4" s="23" t="s">
        <v>40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5"/>
    </row>
    <row r="5" ht="22.5" customHeight="1">
      <c r="A5" s="18">
        <v>3.0</v>
      </c>
      <c r="B5" s="19" t="s">
        <v>40</v>
      </c>
      <c r="C5" s="19" t="s">
        <v>50</v>
      </c>
      <c r="D5" s="19" t="s">
        <v>51</v>
      </c>
      <c r="E5" s="19" t="s">
        <v>52</v>
      </c>
      <c r="F5" s="19" t="s">
        <v>40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/>
    </row>
    <row r="6" ht="22.5" customHeight="1">
      <c r="A6" s="22">
        <v>4.0</v>
      </c>
      <c r="B6" s="23" t="s">
        <v>40</v>
      </c>
      <c r="C6" s="23" t="s">
        <v>53</v>
      </c>
      <c r="D6" s="23" t="s">
        <v>53</v>
      </c>
      <c r="E6" s="23" t="s">
        <v>54</v>
      </c>
      <c r="F6" s="23" t="s">
        <v>40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ht="22.5" customHeight="1">
      <c r="A7" s="18">
        <v>5.0</v>
      </c>
      <c r="B7" s="19" t="s">
        <v>40</v>
      </c>
      <c r="C7" s="19" t="s">
        <v>55</v>
      </c>
      <c r="D7" s="19" t="s">
        <v>56</v>
      </c>
      <c r="E7" s="19" t="s">
        <v>57</v>
      </c>
      <c r="F7" s="19" t="s">
        <v>40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1"/>
    </row>
    <row r="8" ht="22.5" customHeight="1">
      <c r="A8" s="22">
        <v>6.0</v>
      </c>
      <c r="B8" s="23" t="s">
        <v>40</v>
      </c>
      <c r="C8" s="23" t="s">
        <v>58</v>
      </c>
      <c r="D8" s="23" t="s">
        <v>59</v>
      </c>
      <c r="E8" s="23" t="s">
        <v>60</v>
      </c>
      <c r="F8" s="23" t="s">
        <v>40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5"/>
    </row>
    <row r="9" ht="22.5" customHeight="1">
      <c r="A9" s="18">
        <v>7.0</v>
      </c>
      <c r="B9" s="19" t="s">
        <v>40</v>
      </c>
      <c r="C9" s="19" t="s">
        <v>61</v>
      </c>
      <c r="D9" s="19" t="s">
        <v>61</v>
      </c>
      <c r="E9" s="19" t="s">
        <v>62</v>
      </c>
      <c r="F9" s="19" t="s">
        <v>40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1"/>
    </row>
    <row r="10" ht="22.5" customHeight="1">
      <c r="A10" s="22">
        <v>8.0</v>
      </c>
      <c r="B10" s="23" t="s">
        <v>40</v>
      </c>
      <c r="C10" s="23" t="s">
        <v>63</v>
      </c>
      <c r="D10" s="23" t="s">
        <v>63</v>
      </c>
      <c r="E10" s="23" t="s">
        <v>64</v>
      </c>
      <c r="F10" s="23" t="s">
        <v>40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/>
    </row>
    <row r="11" ht="22.5" customHeight="1">
      <c r="A11" s="18">
        <v>9.0</v>
      </c>
      <c r="B11" s="19" t="s">
        <v>40</v>
      </c>
      <c r="C11" s="19" t="s">
        <v>65</v>
      </c>
      <c r="D11" s="19" t="s">
        <v>65</v>
      </c>
      <c r="E11" s="19" t="s">
        <v>66</v>
      </c>
      <c r="F11" s="19" t="s">
        <v>40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1"/>
    </row>
    <row r="12" ht="22.5" customHeight="1">
      <c r="A12" s="22">
        <v>10.0</v>
      </c>
      <c r="B12" s="23" t="s">
        <v>40</v>
      </c>
      <c r="C12" s="23" t="s">
        <v>67</v>
      </c>
      <c r="D12" s="23" t="s">
        <v>67</v>
      </c>
      <c r="E12" s="23" t="s">
        <v>68</v>
      </c>
      <c r="F12" s="23" t="s">
        <v>40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/>
    </row>
    <row r="13" ht="22.5" customHeight="1">
      <c r="A13" s="18">
        <v>11.0</v>
      </c>
      <c r="B13" s="19" t="s">
        <v>40</v>
      </c>
      <c r="C13" s="19" t="s">
        <v>69</v>
      </c>
      <c r="D13" s="19" t="s">
        <v>70</v>
      </c>
      <c r="E13" s="19" t="s">
        <v>71</v>
      </c>
      <c r="F13" s="19" t="s">
        <v>40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1"/>
    </row>
    <row r="14" ht="22.5" customHeight="1">
      <c r="A14" s="22">
        <v>12.0</v>
      </c>
      <c r="B14" s="23" t="s">
        <v>40</v>
      </c>
      <c r="C14" s="23" t="s">
        <v>72</v>
      </c>
      <c r="D14" s="23" t="s">
        <v>72</v>
      </c>
      <c r="E14" s="23" t="s">
        <v>73</v>
      </c>
      <c r="F14" s="23" t="s">
        <v>40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/>
    </row>
    <row r="15" ht="22.5" customHeight="1">
      <c r="A15" s="18">
        <v>13.0</v>
      </c>
      <c r="B15" s="19" t="s">
        <v>40</v>
      </c>
      <c r="C15" s="19" t="s">
        <v>74</v>
      </c>
      <c r="D15" s="19" t="s">
        <v>75</v>
      </c>
      <c r="E15" s="19" t="s">
        <v>76</v>
      </c>
      <c r="F15" s="19" t="s">
        <v>40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1"/>
    </row>
    <row r="16" ht="22.5" customHeight="1">
      <c r="A16" s="22">
        <v>14.0</v>
      </c>
      <c r="B16" s="23" t="s">
        <v>40</v>
      </c>
      <c r="C16" s="23" t="s">
        <v>77</v>
      </c>
      <c r="D16" s="23" t="s">
        <v>78</v>
      </c>
      <c r="E16" s="23" t="s">
        <v>79</v>
      </c>
      <c r="F16" s="23" t="s">
        <v>40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/>
    </row>
    <row r="17" ht="22.5" customHeight="1">
      <c r="A17" s="18">
        <v>15.0</v>
      </c>
      <c r="B17" s="19" t="s">
        <v>40</v>
      </c>
      <c r="C17" s="19" t="s">
        <v>80</v>
      </c>
      <c r="D17" s="19" t="s">
        <v>80</v>
      </c>
      <c r="E17" s="19" t="s">
        <v>81</v>
      </c>
      <c r="F17" s="19" t="s">
        <v>40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1"/>
    </row>
    <row r="18" ht="22.5" customHeight="1">
      <c r="A18" s="22">
        <v>16.0</v>
      </c>
      <c r="B18" s="23" t="s">
        <v>40</v>
      </c>
      <c r="C18" s="23" t="s">
        <v>82</v>
      </c>
      <c r="D18" s="23" t="s">
        <v>82</v>
      </c>
      <c r="E18" s="23" t="s">
        <v>83</v>
      </c>
      <c r="F18" s="23" t="s">
        <v>40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/>
    </row>
    <row r="19" ht="22.5" customHeight="1">
      <c r="A19" s="18">
        <v>17.0</v>
      </c>
      <c r="B19" s="19" t="s">
        <v>40</v>
      </c>
      <c r="C19" s="19" t="s">
        <v>84</v>
      </c>
      <c r="D19" s="19" t="s">
        <v>84</v>
      </c>
      <c r="E19" s="19" t="s">
        <v>85</v>
      </c>
      <c r="F19" s="19" t="s">
        <v>40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1"/>
    </row>
    <row r="20" ht="22.5" customHeight="1">
      <c r="A20" s="22">
        <v>18.0</v>
      </c>
      <c r="B20" s="23" t="s">
        <v>40</v>
      </c>
      <c r="C20" s="23" t="s">
        <v>86</v>
      </c>
      <c r="D20" s="23" t="s">
        <v>86</v>
      </c>
      <c r="E20" s="23" t="s">
        <v>87</v>
      </c>
      <c r="F20" s="23" t="s">
        <v>40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/>
    </row>
    <row r="21" ht="22.5" customHeight="1">
      <c r="A21" s="18">
        <v>19.0</v>
      </c>
      <c r="B21" s="19" t="s">
        <v>40</v>
      </c>
      <c r="C21" s="19" t="s">
        <v>88</v>
      </c>
      <c r="D21" s="19" t="s">
        <v>88</v>
      </c>
      <c r="E21" s="19" t="s">
        <v>89</v>
      </c>
      <c r="F21" s="19" t="s">
        <v>40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1"/>
    </row>
    <row r="22" ht="22.5" customHeight="1">
      <c r="A22" s="22">
        <v>20.0</v>
      </c>
      <c r="B22" s="23" t="s">
        <v>40</v>
      </c>
      <c r="C22" s="23" t="s">
        <v>90</v>
      </c>
      <c r="D22" s="23" t="s">
        <v>90</v>
      </c>
      <c r="E22" s="23" t="s">
        <v>91</v>
      </c>
      <c r="F22" s="23" t="s">
        <v>40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/>
    </row>
    <row r="23" ht="22.5" customHeight="1">
      <c r="A23" s="18">
        <v>21.0</v>
      </c>
      <c r="B23" s="19" t="s">
        <v>40</v>
      </c>
      <c r="C23" s="19" t="s">
        <v>92</v>
      </c>
      <c r="D23" s="19" t="s">
        <v>92</v>
      </c>
      <c r="E23" s="19" t="s">
        <v>93</v>
      </c>
      <c r="F23" s="19" t="s">
        <v>40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1"/>
    </row>
    <row r="24" ht="22.5" customHeight="1">
      <c r="A24" s="22">
        <v>22.0</v>
      </c>
      <c r="B24" s="23" t="s">
        <v>40</v>
      </c>
      <c r="C24" s="23" t="s">
        <v>94</v>
      </c>
      <c r="D24" s="23" t="s">
        <v>94</v>
      </c>
      <c r="E24" s="23" t="s">
        <v>95</v>
      </c>
      <c r="F24" s="23" t="s">
        <v>40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/>
    </row>
    <row r="25" ht="22.5" customHeight="1">
      <c r="A25" s="18">
        <v>23.0</v>
      </c>
      <c r="B25" s="19" t="s">
        <v>40</v>
      </c>
      <c r="C25" s="19" t="s">
        <v>96</v>
      </c>
      <c r="D25" s="19" t="s">
        <v>96</v>
      </c>
      <c r="E25" s="19" t="s">
        <v>97</v>
      </c>
      <c r="F25" s="19" t="s">
        <v>40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1"/>
    </row>
    <row r="26" ht="22.5" customHeight="1">
      <c r="A26" s="22">
        <v>24.0</v>
      </c>
      <c r="B26" s="23" t="s">
        <v>40</v>
      </c>
      <c r="C26" s="23" t="s">
        <v>98</v>
      </c>
      <c r="D26" s="23" t="s">
        <v>99</v>
      </c>
      <c r="E26" s="23" t="s">
        <v>100</v>
      </c>
      <c r="F26" s="23" t="s">
        <v>40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/>
    </row>
    <row r="27" ht="22.5" customHeight="1">
      <c r="A27" s="18">
        <v>25.0</v>
      </c>
      <c r="B27" s="19" t="s">
        <v>40</v>
      </c>
      <c r="C27" s="19" t="s">
        <v>101</v>
      </c>
      <c r="D27" s="19" t="s">
        <v>101</v>
      </c>
      <c r="E27" s="19" t="s">
        <v>102</v>
      </c>
      <c r="F27" s="19" t="s">
        <v>40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/>
    </row>
    <row r="28" ht="22.5" customHeight="1">
      <c r="A28" s="22">
        <v>26.0</v>
      </c>
      <c r="B28" s="23" t="s">
        <v>40</v>
      </c>
      <c r="C28" s="23" t="s">
        <v>103</v>
      </c>
      <c r="D28" s="23" t="s">
        <v>103</v>
      </c>
      <c r="E28" s="23" t="s">
        <v>104</v>
      </c>
      <c r="F28" s="23" t="s">
        <v>40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/>
    </row>
    <row r="29" ht="22.5" customHeight="1">
      <c r="A29" s="18">
        <v>27.0</v>
      </c>
      <c r="B29" s="19" t="s">
        <v>40</v>
      </c>
      <c r="C29" s="19" t="s">
        <v>105</v>
      </c>
      <c r="D29" s="19" t="s">
        <v>106</v>
      </c>
      <c r="E29" s="19" t="s">
        <v>107</v>
      </c>
      <c r="F29" s="19" t="s">
        <v>40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1"/>
    </row>
    <row r="30" ht="22.5" customHeight="1">
      <c r="A30" s="22">
        <v>28.0</v>
      </c>
      <c r="B30" s="23" t="s">
        <v>40</v>
      </c>
      <c r="C30" s="23" t="s">
        <v>108</v>
      </c>
      <c r="D30" s="23" t="s">
        <v>109</v>
      </c>
      <c r="E30" s="23" t="s">
        <v>110</v>
      </c>
      <c r="F30" s="23" t="s">
        <v>40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/>
    </row>
    <row r="31" ht="22.5" customHeight="1">
      <c r="A31" s="18">
        <v>29.0</v>
      </c>
      <c r="B31" s="19" t="s">
        <v>40</v>
      </c>
      <c r="C31" s="19" t="s">
        <v>111</v>
      </c>
      <c r="D31" s="19" t="s">
        <v>112</v>
      </c>
      <c r="E31" s="19" t="s">
        <v>113</v>
      </c>
      <c r="F31" s="19" t="s">
        <v>40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1"/>
    </row>
    <row r="32" ht="22.5" customHeight="1">
      <c r="A32" s="22">
        <v>30.0</v>
      </c>
      <c r="B32" s="23" t="s">
        <v>40</v>
      </c>
      <c r="C32" s="23" t="s">
        <v>114</v>
      </c>
      <c r="D32" s="23" t="s">
        <v>115</v>
      </c>
      <c r="E32" s="23" t="s">
        <v>116</v>
      </c>
      <c r="F32" s="23" t="s">
        <v>40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/>
    </row>
    <row r="33" ht="22.5" customHeight="1">
      <c r="A33" s="18">
        <v>31.0</v>
      </c>
      <c r="B33" s="19" t="s">
        <v>40</v>
      </c>
      <c r="C33" s="19" t="s">
        <v>117</v>
      </c>
      <c r="D33" s="19" t="s">
        <v>117</v>
      </c>
      <c r="E33" s="19" t="s">
        <v>118</v>
      </c>
      <c r="F33" s="19" t="s">
        <v>40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1"/>
    </row>
    <row r="34" ht="22.5" customHeight="1">
      <c r="A34" s="22">
        <v>32.0</v>
      </c>
      <c r="B34" s="23" t="s">
        <v>40</v>
      </c>
      <c r="C34" s="23" t="s">
        <v>119</v>
      </c>
      <c r="D34" s="23" t="s">
        <v>119</v>
      </c>
      <c r="E34" s="23" t="s">
        <v>120</v>
      </c>
      <c r="F34" s="23" t="s">
        <v>40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5"/>
    </row>
    <row r="35" ht="22.5" customHeight="1">
      <c r="A35" s="18">
        <v>33.0</v>
      </c>
      <c r="B35" s="19" t="s">
        <v>40</v>
      </c>
      <c r="C35" s="19" t="s">
        <v>121</v>
      </c>
      <c r="D35" s="19" t="s">
        <v>122</v>
      </c>
      <c r="E35" s="19" t="s">
        <v>123</v>
      </c>
      <c r="F35" s="19" t="s">
        <v>40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1"/>
    </row>
    <row r="36" ht="22.5" customHeight="1">
      <c r="A36" s="22">
        <v>34.0</v>
      </c>
      <c r="B36" s="23" t="s">
        <v>40</v>
      </c>
      <c r="C36" s="23" t="s">
        <v>124</v>
      </c>
      <c r="D36" s="23" t="s">
        <v>125</v>
      </c>
      <c r="E36" s="23" t="s">
        <v>126</v>
      </c>
      <c r="F36" s="23" t="s">
        <v>40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/>
    </row>
    <row r="37" ht="22.5" customHeight="1">
      <c r="A37" s="18">
        <v>35.0</v>
      </c>
      <c r="B37" s="19" t="s">
        <v>19</v>
      </c>
      <c r="C37" s="19" t="s">
        <v>127</v>
      </c>
      <c r="D37" s="19" t="s">
        <v>127</v>
      </c>
      <c r="E37" s="19" t="s">
        <v>128</v>
      </c>
      <c r="F37" s="19" t="s">
        <v>19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1"/>
    </row>
    <row r="38" ht="22.5" customHeight="1">
      <c r="A38" s="22">
        <v>36.0</v>
      </c>
      <c r="B38" s="23" t="s">
        <v>19</v>
      </c>
      <c r="C38" s="23" t="s">
        <v>129</v>
      </c>
      <c r="D38" s="23" t="s">
        <v>129</v>
      </c>
      <c r="E38" s="23" t="s">
        <v>130</v>
      </c>
      <c r="F38" s="23" t="s">
        <v>19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/>
    </row>
    <row r="39" ht="22.5" customHeight="1">
      <c r="A39" s="18">
        <v>37.0</v>
      </c>
      <c r="B39" s="19" t="s">
        <v>19</v>
      </c>
      <c r="C39" s="19" t="s">
        <v>131</v>
      </c>
      <c r="D39" s="19" t="s">
        <v>131</v>
      </c>
      <c r="E39" s="19" t="s">
        <v>132</v>
      </c>
      <c r="F39" s="19" t="s">
        <v>19</v>
      </c>
      <c r="G39" s="19" t="s">
        <v>133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1"/>
    </row>
    <row r="40" ht="22.5" customHeight="1">
      <c r="A40" s="22">
        <v>38.0</v>
      </c>
      <c r="B40" s="23" t="s">
        <v>19</v>
      </c>
      <c r="C40" s="23" t="s">
        <v>134</v>
      </c>
      <c r="D40" s="23" t="s">
        <v>134</v>
      </c>
      <c r="E40" s="23" t="s">
        <v>135</v>
      </c>
      <c r="F40" s="23" t="s">
        <v>19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/>
    </row>
    <row r="41" ht="22.5" customHeight="1">
      <c r="A41" s="18">
        <v>39.0</v>
      </c>
      <c r="B41" s="19" t="s">
        <v>19</v>
      </c>
      <c r="C41" s="19" t="s">
        <v>136</v>
      </c>
      <c r="D41" s="19" t="s">
        <v>136</v>
      </c>
      <c r="E41" s="19" t="s">
        <v>137</v>
      </c>
      <c r="F41" s="19" t="s">
        <v>19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1"/>
    </row>
    <row r="42" ht="22.5" customHeight="1">
      <c r="A42" s="22">
        <v>40.0</v>
      </c>
      <c r="B42" s="23" t="s">
        <v>19</v>
      </c>
      <c r="C42" s="23" t="s">
        <v>138</v>
      </c>
      <c r="D42" s="23" t="s">
        <v>138</v>
      </c>
      <c r="E42" s="23" t="s">
        <v>139</v>
      </c>
      <c r="F42" s="23" t="s">
        <v>19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/>
    </row>
    <row r="43" ht="22.5" customHeight="1">
      <c r="A43" s="18">
        <v>41.0</v>
      </c>
      <c r="B43" s="19" t="s">
        <v>19</v>
      </c>
      <c r="C43" s="19" t="s">
        <v>140</v>
      </c>
      <c r="D43" s="19" t="s">
        <v>141</v>
      </c>
      <c r="E43" s="19" t="s">
        <v>142</v>
      </c>
      <c r="F43" s="19" t="s">
        <v>19</v>
      </c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1"/>
    </row>
    <row r="44" ht="22.5" customHeight="1">
      <c r="A44" s="22">
        <v>42.0</v>
      </c>
      <c r="B44" s="23" t="s">
        <v>19</v>
      </c>
      <c r="C44" s="23" t="s">
        <v>143</v>
      </c>
      <c r="D44" s="23" t="s">
        <v>143</v>
      </c>
      <c r="E44" s="23" t="s">
        <v>144</v>
      </c>
      <c r="F44" s="23" t="s">
        <v>19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/>
    </row>
    <row r="45" ht="22.5" customHeight="1">
      <c r="A45" s="18">
        <v>43.0</v>
      </c>
      <c r="B45" s="19" t="s">
        <v>19</v>
      </c>
      <c r="C45" s="19" t="s">
        <v>145</v>
      </c>
      <c r="D45" s="19" t="s">
        <v>145</v>
      </c>
      <c r="E45" s="19" t="s">
        <v>146</v>
      </c>
      <c r="F45" s="19" t="s">
        <v>19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1"/>
    </row>
    <row r="46" ht="22.5" customHeight="1">
      <c r="A46" s="22">
        <v>44.0</v>
      </c>
      <c r="B46" s="23" t="s">
        <v>19</v>
      </c>
      <c r="C46" s="23" t="s">
        <v>147</v>
      </c>
      <c r="D46" s="23" t="s">
        <v>147</v>
      </c>
      <c r="E46" s="23" t="s">
        <v>148</v>
      </c>
      <c r="F46" s="23" t="s">
        <v>19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/>
    </row>
    <row r="47" ht="22.5" customHeight="1">
      <c r="A47" s="18">
        <v>45.0</v>
      </c>
      <c r="B47" s="19" t="s">
        <v>19</v>
      </c>
      <c r="C47" s="19" t="s">
        <v>149</v>
      </c>
      <c r="D47" s="19" t="s">
        <v>150</v>
      </c>
      <c r="E47" s="19" t="s">
        <v>151</v>
      </c>
      <c r="F47" s="19" t="s">
        <v>19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1"/>
    </row>
    <row r="48" ht="22.5" customHeight="1">
      <c r="A48" s="22">
        <v>46.0</v>
      </c>
      <c r="B48" s="23" t="s">
        <v>19</v>
      </c>
      <c r="C48" s="23" t="s">
        <v>152</v>
      </c>
      <c r="D48" s="23" t="s">
        <v>152</v>
      </c>
      <c r="E48" s="23" t="s">
        <v>153</v>
      </c>
      <c r="F48" s="23" t="s">
        <v>19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/>
    </row>
    <row r="49" ht="22.5" customHeight="1">
      <c r="A49" s="18">
        <v>47.0</v>
      </c>
      <c r="B49" s="19" t="s">
        <v>19</v>
      </c>
      <c r="C49" s="19" t="s">
        <v>154</v>
      </c>
      <c r="D49" s="19" t="s">
        <v>154</v>
      </c>
      <c r="E49" s="19" t="s">
        <v>155</v>
      </c>
      <c r="F49" s="19" t="s">
        <v>19</v>
      </c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1"/>
    </row>
    <row r="50" ht="22.5" customHeight="1">
      <c r="A50" s="22">
        <v>48.0</v>
      </c>
      <c r="B50" s="23" t="s">
        <v>19</v>
      </c>
      <c r="C50" s="23" t="s">
        <v>156</v>
      </c>
      <c r="D50" s="23" t="s">
        <v>156</v>
      </c>
      <c r="E50" s="23" t="s">
        <v>157</v>
      </c>
      <c r="F50" s="23" t="s">
        <v>19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/>
    </row>
    <row r="51" ht="22.5" customHeight="1">
      <c r="A51" s="18">
        <v>49.0</v>
      </c>
      <c r="B51" s="19" t="s">
        <v>19</v>
      </c>
      <c r="C51" s="19" t="s">
        <v>158</v>
      </c>
      <c r="D51" s="19" t="s">
        <v>158</v>
      </c>
      <c r="E51" s="19" t="s">
        <v>159</v>
      </c>
      <c r="F51" s="19" t="s">
        <v>19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1"/>
    </row>
    <row r="52" ht="22.5" customHeight="1">
      <c r="A52" s="22">
        <v>50.0</v>
      </c>
      <c r="B52" s="23" t="s">
        <v>19</v>
      </c>
      <c r="C52" s="23" t="s">
        <v>160</v>
      </c>
      <c r="D52" s="23" t="s">
        <v>161</v>
      </c>
      <c r="E52" s="23" t="s">
        <v>162</v>
      </c>
      <c r="F52" s="23" t="s">
        <v>19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/>
    </row>
    <row r="53" ht="22.5" customHeight="1">
      <c r="A53" s="18">
        <v>51.0</v>
      </c>
      <c r="B53" s="19" t="s">
        <v>19</v>
      </c>
      <c r="C53" s="19" t="s">
        <v>163</v>
      </c>
      <c r="D53" s="19" t="s">
        <v>163</v>
      </c>
      <c r="E53" s="19" t="s">
        <v>164</v>
      </c>
      <c r="F53" s="19" t="s">
        <v>19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1"/>
    </row>
    <row r="54" ht="22.5" customHeight="1">
      <c r="A54" s="22">
        <v>52.0</v>
      </c>
      <c r="B54" s="23" t="s">
        <v>19</v>
      </c>
      <c r="C54" s="23" t="s">
        <v>165</v>
      </c>
      <c r="D54" s="23" t="s">
        <v>165</v>
      </c>
      <c r="E54" s="23" t="s">
        <v>166</v>
      </c>
      <c r="F54" s="23" t="s">
        <v>19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/>
    </row>
    <row r="55" ht="22.5" customHeight="1">
      <c r="A55" s="18">
        <v>53.0</v>
      </c>
      <c r="B55" s="19" t="s">
        <v>19</v>
      </c>
      <c r="C55" s="19" t="s">
        <v>167</v>
      </c>
      <c r="D55" s="19" t="s">
        <v>168</v>
      </c>
      <c r="E55" s="19" t="s">
        <v>169</v>
      </c>
      <c r="F55" s="19" t="s">
        <v>19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1"/>
    </row>
    <row r="56" ht="22.5" customHeight="1">
      <c r="A56" s="22">
        <v>54.0</v>
      </c>
      <c r="B56" s="23" t="s">
        <v>19</v>
      </c>
      <c r="C56" s="23" t="s">
        <v>170</v>
      </c>
      <c r="D56" s="23" t="s">
        <v>170</v>
      </c>
      <c r="E56" s="23" t="s">
        <v>171</v>
      </c>
      <c r="F56" s="23" t="s">
        <v>19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/>
    </row>
    <row r="57" ht="22.5" customHeight="1">
      <c r="A57" s="18">
        <v>55.0</v>
      </c>
      <c r="B57" s="19" t="s">
        <v>19</v>
      </c>
      <c r="C57" s="19" t="s">
        <v>172</v>
      </c>
      <c r="D57" s="19" t="s">
        <v>172</v>
      </c>
      <c r="E57" s="19" t="s">
        <v>173</v>
      </c>
      <c r="F57" s="19" t="s">
        <v>19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1"/>
    </row>
    <row r="58" ht="22.5" customHeight="1">
      <c r="A58" s="22">
        <v>56.0</v>
      </c>
      <c r="B58" s="23" t="s">
        <v>19</v>
      </c>
      <c r="C58" s="23" t="s">
        <v>174</v>
      </c>
      <c r="D58" s="23" t="s">
        <v>174</v>
      </c>
      <c r="E58" s="23" t="s">
        <v>175</v>
      </c>
      <c r="F58" s="23" t="s">
        <v>19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/>
    </row>
    <row r="59" ht="22.5" customHeight="1">
      <c r="A59" s="18">
        <v>57.0</v>
      </c>
      <c r="B59" s="19" t="s">
        <v>19</v>
      </c>
      <c r="C59" s="19" t="s">
        <v>176</v>
      </c>
      <c r="D59" s="19" t="s">
        <v>176</v>
      </c>
      <c r="E59" s="19" t="s">
        <v>177</v>
      </c>
      <c r="F59" s="19" t="s">
        <v>19</v>
      </c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1"/>
    </row>
    <row r="60" ht="22.5" customHeight="1">
      <c r="A60" s="22">
        <v>58.0</v>
      </c>
      <c r="B60" s="23" t="s">
        <v>19</v>
      </c>
      <c r="C60" s="23" t="s">
        <v>178</v>
      </c>
      <c r="D60" s="23" t="s">
        <v>178</v>
      </c>
      <c r="E60" s="23" t="s">
        <v>179</v>
      </c>
      <c r="F60" s="23" t="s">
        <v>19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/>
    </row>
    <row r="61" ht="22.5" customHeight="1">
      <c r="A61" s="18">
        <v>59.0</v>
      </c>
      <c r="B61" s="19" t="s">
        <v>19</v>
      </c>
      <c r="C61" s="19" t="s">
        <v>180</v>
      </c>
      <c r="D61" s="19" t="s">
        <v>180</v>
      </c>
      <c r="E61" s="19" t="s">
        <v>181</v>
      </c>
      <c r="F61" s="19" t="s">
        <v>19</v>
      </c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1"/>
    </row>
    <row r="62" ht="22.5" customHeight="1">
      <c r="A62" s="22">
        <v>60.0</v>
      </c>
      <c r="B62" s="23" t="s">
        <v>182</v>
      </c>
      <c r="C62" s="23" t="s">
        <v>183</v>
      </c>
      <c r="D62" s="23" t="s">
        <v>183</v>
      </c>
      <c r="E62" s="23" t="s">
        <v>184</v>
      </c>
      <c r="F62" s="23" t="s">
        <v>182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/>
    </row>
    <row r="63" ht="22.5" customHeight="1">
      <c r="A63" s="18">
        <v>61.0</v>
      </c>
      <c r="B63" s="19" t="s">
        <v>182</v>
      </c>
      <c r="C63" s="19" t="s">
        <v>185</v>
      </c>
      <c r="D63" s="19" t="s">
        <v>185</v>
      </c>
      <c r="E63" s="19" t="s">
        <v>186</v>
      </c>
      <c r="F63" s="19" t="s">
        <v>182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1"/>
    </row>
    <row r="64" ht="22.5" customHeight="1">
      <c r="A64" s="22">
        <v>62.0</v>
      </c>
      <c r="B64" s="23" t="s">
        <v>182</v>
      </c>
      <c r="C64" s="23" t="s">
        <v>187</v>
      </c>
      <c r="D64" s="23" t="s">
        <v>187</v>
      </c>
      <c r="E64" s="23" t="s">
        <v>188</v>
      </c>
      <c r="F64" s="23" t="s">
        <v>182</v>
      </c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/>
    </row>
    <row r="65" ht="22.5" customHeight="1">
      <c r="A65" s="18">
        <v>63.0</v>
      </c>
      <c r="B65" s="19" t="s">
        <v>182</v>
      </c>
      <c r="C65" s="19" t="s">
        <v>189</v>
      </c>
      <c r="D65" s="19" t="s">
        <v>189</v>
      </c>
      <c r="E65" s="19" t="s">
        <v>190</v>
      </c>
      <c r="F65" s="19" t="s">
        <v>182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1"/>
    </row>
    <row r="66" ht="22.5" customHeight="1">
      <c r="A66" s="22">
        <v>64.0</v>
      </c>
      <c r="B66" s="23" t="s">
        <v>182</v>
      </c>
      <c r="C66" s="23" t="s">
        <v>191</v>
      </c>
      <c r="D66" s="23" t="s">
        <v>191</v>
      </c>
      <c r="E66" s="23" t="s">
        <v>192</v>
      </c>
      <c r="F66" s="23" t="s">
        <v>182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5"/>
    </row>
    <row r="67" ht="22.5" customHeight="1">
      <c r="A67" s="18">
        <v>65.0</v>
      </c>
      <c r="B67" s="19" t="s">
        <v>182</v>
      </c>
      <c r="C67" s="19" t="s">
        <v>193</v>
      </c>
      <c r="D67" s="19" t="s">
        <v>194</v>
      </c>
      <c r="E67" s="19" t="s">
        <v>195</v>
      </c>
      <c r="F67" s="19" t="s">
        <v>182</v>
      </c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1"/>
    </row>
    <row r="68" ht="22.5" customHeight="1">
      <c r="A68" s="22">
        <v>66.0</v>
      </c>
      <c r="B68" s="23" t="s">
        <v>182</v>
      </c>
      <c r="C68" s="23" t="s">
        <v>196</v>
      </c>
      <c r="D68" s="23" t="s">
        <v>197</v>
      </c>
      <c r="E68" s="23" t="s">
        <v>198</v>
      </c>
      <c r="F68" s="23" t="s">
        <v>182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5"/>
    </row>
    <row r="69" ht="22.5" customHeight="1">
      <c r="A69" s="18">
        <v>67.0</v>
      </c>
      <c r="B69" s="19" t="s">
        <v>182</v>
      </c>
      <c r="C69" s="19" t="s">
        <v>199</v>
      </c>
      <c r="D69" s="19" t="s">
        <v>200</v>
      </c>
      <c r="E69" s="19" t="s">
        <v>201</v>
      </c>
      <c r="F69" s="19" t="s">
        <v>182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1"/>
    </row>
    <row r="70" ht="22.5" customHeight="1">
      <c r="A70" s="22">
        <v>68.0</v>
      </c>
      <c r="B70" s="23" t="s">
        <v>182</v>
      </c>
      <c r="C70" s="23" t="s">
        <v>202</v>
      </c>
      <c r="D70" s="23" t="s">
        <v>202</v>
      </c>
      <c r="E70" s="23" t="s">
        <v>203</v>
      </c>
      <c r="F70" s="23" t="s">
        <v>182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5"/>
    </row>
    <row r="71" ht="22.5" customHeight="1">
      <c r="A71" s="18">
        <v>69.0</v>
      </c>
      <c r="B71" s="19" t="s">
        <v>182</v>
      </c>
      <c r="C71" s="19" t="s">
        <v>204</v>
      </c>
      <c r="D71" s="19" t="s">
        <v>204</v>
      </c>
      <c r="E71" s="19" t="s">
        <v>205</v>
      </c>
      <c r="F71" s="19" t="s">
        <v>182</v>
      </c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1"/>
    </row>
    <row r="72" ht="22.5" customHeight="1">
      <c r="A72" s="22">
        <v>70.0</v>
      </c>
      <c r="B72" s="23" t="s">
        <v>206</v>
      </c>
      <c r="C72" s="23" t="s">
        <v>207</v>
      </c>
      <c r="D72" s="23" t="s">
        <v>208</v>
      </c>
      <c r="E72" s="23" t="s">
        <v>209</v>
      </c>
      <c r="F72" s="23" t="s">
        <v>206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5"/>
    </row>
    <row r="73" ht="22.5" customHeight="1">
      <c r="A73" s="18">
        <v>71.0</v>
      </c>
      <c r="B73" s="19" t="s">
        <v>206</v>
      </c>
      <c r="C73" s="19" t="s">
        <v>210</v>
      </c>
      <c r="D73" s="19" t="s">
        <v>211</v>
      </c>
      <c r="E73" s="19" t="s">
        <v>212</v>
      </c>
      <c r="F73" s="19" t="s">
        <v>206</v>
      </c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1"/>
    </row>
    <row r="74" ht="22.5" customHeight="1">
      <c r="A74" s="22">
        <v>72.0</v>
      </c>
      <c r="B74" s="23" t="s">
        <v>206</v>
      </c>
      <c r="C74" s="23" t="s">
        <v>213</v>
      </c>
      <c r="D74" s="23" t="s">
        <v>213</v>
      </c>
      <c r="E74" s="23" t="s">
        <v>214</v>
      </c>
      <c r="F74" s="23" t="s">
        <v>206</v>
      </c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5"/>
    </row>
    <row r="75" ht="22.5" customHeight="1">
      <c r="A75" s="18">
        <v>73.0</v>
      </c>
      <c r="B75" s="19" t="s">
        <v>206</v>
      </c>
      <c r="C75" s="19" t="s">
        <v>215</v>
      </c>
      <c r="D75" s="19" t="s">
        <v>215</v>
      </c>
      <c r="E75" s="19" t="s">
        <v>216</v>
      </c>
      <c r="F75" s="19" t="s">
        <v>206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1"/>
    </row>
    <row r="76" ht="22.5" customHeight="1">
      <c r="A76" s="22">
        <v>74.0</v>
      </c>
      <c r="B76" s="23" t="s">
        <v>206</v>
      </c>
      <c r="C76" s="23" t="s">
        <v>217</v>
      </c>
      <c r="D76" s="23" t="s">
        <v>218</v>
      </c>
      <c r="E76" s="23" t="s">
        <v>219</v>
      </c>
      <c r="F76" s="23" t="s">
        <v>206</v>
      </c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5"/>
    </row>
    <row r="77" ht="22.5" customHeight="1">
      <c r="A77" s="18">
        <v>75.0</v>
      </c>
      <c r="B77" s="19" t="s">
        <v>206</v>
      </c>
      <c r="C77" s="19" t="s">
        <v>220</v>
      </c>
      <c r="D77" s="19" t="s">
        <v>221</v>
      </c>
      <c r="E77" s="19" t="s">
        <v>222</v>
      </c>
      <c r="F77" s="19" t="s">
        <v>206</v>
      </c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1"/>
    </row>
    <row r="78" ht="22.5" customHeight="1">
      <c r="A78" s="22">
        <v>76.0</v>
      </c>
      <c r="B78" s="23" t="s">
        <v>206</v>
      </c>
      <c r="C78" s="23" t="s">
        <v>223</v>
      </c>
      <c r="D78" s="23" t="s">
        <v>223</v>
      </c>
      <c r="E78" s="23" t="s">
        <v>224</v>
      </c>
      <c r="F78" s="23" t="s">
        <v>206</v>
      </c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5"/>
    </row>
    <row r="79" ht="22.5" customHeight="1">
      <c r="A79" s="18">
        <v>77.0</v>
      </c>
      <c r="B79" s="19" t="s">
        <v>206</v>
      </c>
      <c r="C79" s="19" t="s">
        <v>225</v>
      </c>
      <c r="D79" s="19" t="s">
        <v>226</v>
      </c>
      <c r="E79" s="19" t="s">
        <v>227</v>
      </c>
      <c r="F79" s="19" t="s">
        <v>206</v>
      </c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1"/>
    </row>
    <row r="80" ht="22.5" customHeight="1">
      <c r="A80" s="22">
        <v>78.0</v>
      </c>
      <c r="B80" s="23" t="s">
        <v>206</v>
      </c>
      <c r="C80" s="23" t="s">
        <v>228</v>
      </c>
      <c r="D80" s="23" t="s">
        <v>228</v>
      </c>
      <c r="E80" s="23" t="s">
        <v>229</v>
      </c>
      <c r="F80" s="23" t="s">
        <v>206</v>
      </c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5"/>
    </row>
    <row r="81" ht="22.5" customHeight="1">
      <c r="A81" s="18">
        <v>79.0</v>
      </c>
      <c r="B81" s="19" t="s">
        <v>206</v>
      </c>
      <c r="C81" s="19" t="s">
        <v>230</v>
      </c>
      <c r="D81" s="19" t="s">
        <v>230</v>
      </c>
      <c r="E81" s="19" t="s">
        <v>231</v>
      </c>
      <c r="F81" s="19" t="s">
        <v>206</v>
      </c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1"/>
    </row>
    <row r="82" ht="22.5" customHeight="1">
      <c r="A82" s="22">
        <v>80.0</v>
      </c>
      <c r="B82" s="23" t="s">
        <v>206</v>
      </c>
      <c r="C82" s="23" t="s">
        <v>232</v>
      </c>
      <c r="D82" s="23" t="s">
        <v>232</v>
      </c>
      <c r="E82" s="23" t="s">
        <v>233</v>
      </c>
      <c r="F82" s="23" t="s">
        <v>206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5"/>
    </row>
    <row r="83" ht="22.5" customHeight="1">
      <c r="A83" s="18">
        <v>81.0</v>
      </c>
      <c r="B83" s="19" t="s">
        <v>234</v>
      </c>
      <c r="C83" s="19" t="s">
        <v>235</v>
      </c>
      <c r="D83" s="19" t="s">
        <v>235</v>
      </c>
      <c r="E83" s="19" t="s">
        <v>236</v>
      </c>
      <c r="F83" s="19" t="s">
        <v>234</v>
      </c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1"/>
    </row>
    <row r="84" ht="22.5" customHeight="1">
      <c r="A84" s="22">
        <v>82.0</v>
      </c>
      <c r="B84" s="23" t="s">
        <v>234</v>
      </c>
      <c r="C84" s="23" t="s">
        <v>237</v>
      </c>
      <c r="D84" s="23" t="s">
        <v>238</v>
      </c>
      <c r="E84" s="23" t="s">
        <v>239</v>
      </c>
      <c r="F84" s="23" t="s">
        <v>234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5"/>
    </row>
    <row r="85" ht="22.5" customHeight="1">
      <c r="A85" s="18">
        <v>83.0</v>
      </c>
      <c r="B85" s="19" t="s">
        <v>234</v>
      </c>
      <c r="C85" s="19" t="s">
        <v>240</v>
      </c>
      <c r="D85" s="19" t="s">
        <v>241</v>
      </c>
      <c r="E85" s="19" t="s">
        <v>242</v>
      </c>
      <c r="F85" s="19" t="s">
        <v>234</v>
      </c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1"/>
    </row>
    <row r="86" ht="22.5" customHeight="1">
      <c r="A86" s="22">
        <v>84.0</v>
      </c>
      <c r="B86" s="23" t="s">
        <v>234</v>
      </c>
      <c r="C86" s="23" t="s">
        <v>243</v>
      </c>
      <c r="D86" s="23" t="s">
        <v>243</v>
      </c>
      <c r="E86" s="23" t="s">
        <v>244</v>
      </c>
      <c r="F86" s="23" t="s">
        <v>234</v>
      </c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5"/>
    </row>
    <row r="87" ht="22.5" customHeight="1">
      <c r="A87" s="18">
        <v>85.0</v>
      </c>
      <c r="B87" s="19" t="s">
        <v>234</v>
      </c>
      <c r="C87" s="19" t="s">
        <v>245</v>
      </c>
      <c r="D87" s="19" t="s">
        <v>245</v>
      </c>
      <c r="E87" s="19" t="s">
        <v>246</v>
      </c>
      <c r="F87" s="19" t="s">
        <v>234</v>
      </c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1"/>
    </row>
    <row r="88" ht="22.5" customHeight="1">
      <c r="A88" s="22">
        <v>86.0</v>
      </c>
      <c r="B88" s="23" t="s">
        <v>234</v>
      </c>
      <c r="C88" s="23" t="s">
        <v>247</v>
      </c>
      <c r="D88" s="23" t="s">
        <v>248</v>
      </c>
      <c r="E88" s="23" t="s">
        <v>249</v>
      </c>
      <c r="F88" s="23" t="s">
        <v>234</v>
      </c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5"/>
    </row>
    <row r="89" ht="22.5" customHeight="1">
      <c r="A89" s="18">
        <v>87.0</v>
      </c>
      <c r="B89" s="19" t="s">
        <v>234</v>
      </c>
      <c r="C89" s="19" t="s">
        <v>250</v>
      </c>
      <c r="D89" s="19" t="s">
        <v>250</v>
      </c>
      <c r="E89" s="19" t="s">
        <v>251</v>
      </c>
      <c r="F89" s="19" t="s">
        <v>234</v>
      </c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1"/>
    </row>
    <row r="90" ht="22.5" customHeight="1">
      <c r="A90" s="22">
        <v>88.0</v>
      </c>
      <c r="B90" s="23" t="s">
        <v>234</v>
      </c>
      <c r="C90" s="23" t="s">
        <v>252</v>
      </c>
      <c r="D90" s="23" t="s">
        <v>253</v>
      </c>
      <c r="E90" s="23" t="s">
        <v>254</v>
      </c>
      <c r="F90" s="23" t="s">
        <v>234</v>
      </c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5"/>
    </row>
    <row r="91" ht="22.5" customHeight="1">
      <c r="A91" s="18">
        <v>89.0</v>
      </c>
      <c r="B91" s="19" t="s">
        <v>234</v>
      </c>
      <c r="C91" s="19" t="s">
        <v>255</v>
      </c>
      <c r="D91" s="19" t="s">
        <v>255</v>
      </c>
      <c r="E91" s="19" t="s">
        <v>256</v>
      </c>
      <c r="F91" s="19" t="s">
        <v>234</v>
      </c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1"/>
    </row>
    <row r="92" ht="22.5" customHeight="1">
      <c r="A92" s="22">
        <v>90.0</v>
      </c>
      <c r="B92" s="23" t="s">
        <v>234</v>
      </c>
      <c r="C92" s="23" t="s">
        <v>257</v>
      </c>
      <c r="D92" s="23" t="s">
        <v>257</v>
      </c>
      <c r="E92" s="23" t="s">
        <v>258</v>
      </c>
      <c r="F92" s="23" t="s">
        <v>234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5"/>
    </row>
    <row r="93" ht="22.5" customHeight="1">
      <c r="A93" s="18">
        <v>91.0</v>
      </c>
      <c r="B93" s="19" t="s">
        <v>234</v>
      </c>
      <c r="C93" s="19" t="s">
        <v>259</v>
      </c>
      <c r="D93" s="19" t="s">
        <v>259</v>
      </c>
      <c r="E93" s="19" t="s">
        <v>260</v>
      </c>
      <c r="F93" s="19" t="s">
        <v>234</v>
      </c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1"/>
    </row>
    <row r="94" ht="22.5" customHeight="1">
      <c r="A94" s="22">
        <v>92.0</v>
      </c>
      <c r="B94" s="23" t="s">
        <v>234</v>
      </c>
      <c r="C94" s="23" t="s">
        <v>261</v>
      </c>
      <c r="D94" s="23" t="s">
        <v>262</v>
      </c>
      <c r="E94" s="23" t="s">
        <v>263</v>
      </c>
      <c r="F94" s="23" t="s">
        <v>234</v>
      </c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5"/>
    </row>
    <row r="95" ht="22.5" customHeight="1">
      <c r="A95" s="18">
        <v>93.0</v>
      </c>
      <c r="B95" s="19" t="s">
        <v>234</v>
      </c>
      <c r="C95" s="19" t="s">
        <v>264</v>
      </c>
      <c r="D95" s="19" t="s">
        <v>265</v>
      </c>
      <c r="E95" s="19" t="s">
        <v>266</v>
      </c>
      <c r="F95" s="19" t="s">
        <v>234</v>
      </c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1"/>
    </row>
    <row r="96" ht="22.5" customHeight="1">
      <c r="A96" s="22">
        <v>94.0</v>
      </c>
      <c r="B96" s="23" t="s">
        <v>234</v>
      </c>
      <c r="C96" s="23" t="s">
        <v>267</v>
      </c>
      <c r="D96" s="23" t="s">
        <v>267</v>
      </c>
      <c r="E96" s="23" t="s">
        <v>268</v>
      </c>
      <c r="F96" s="23" t="s">
        <v>234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5"/>
    </row>
    <row r="97" ht="22.5" customHeight="1">
      <c r="A97" s="18">
        <v>95.0</v>
      </c>
      <c r="B97" s="19" t="s">
        <v>234</v>
      </c>
      <c r="C97" s="19" t="s">
        <v>269</v>
      </c>
      <c r="D97" s="19" t="s">
        <v>269</v>
      </c>
      <c r="E97" s="19" t="s">
        <v>270</v>
      </c>
      <c r="F97" s="19" t="s">
        <v>234</v>
      </c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1"/>
    </row>
    <row r="98" ht="22.5" customHeight="1">
      <c r="A98" s="22">
        <v>96.0</v>
      </c>
      <c r="B98" s="23" t="s">
        <v>234</v>
      </c>
      <c r="C98" s="23" t="s">
        <v>271</v>
      </c>
      <c r="D98" s="23" t="s">
        <v>271</v>
      </c>
      <c r="E98" s="23" t="s">
        <v>272</v>
      </c>
      <c r="F98" s="23" t="s">
        <v>234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5"/>
    </row>
    <row r="99" ht="22.5" customHeight="1">
      <c r="A99" s="18">
        <v>97.0</v>
      </c>
      <c r="B99" s="19" t="s">
        <v>234</v>
      </c>
      <c r="C99" s="19" t="s">
        <v>273</v>
      </c>
      <c r="D99" s="19" t="s">
        <v>273</v>
      </c>
      <c r="E99" s="19" t="s">
        <v>274</v>
      </c>
      <c r="F99" s="19" t="s">
        <v>234</v>
      </c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1"/>
    </row>
    <row r="100" ht="22.5" customHeight="1">
      <c r="A100" s="22">
        <v>98.0</v>
      </c>
      <c r="B100" s="23" t="s">
        <v>234</v>
      </c>
      <c r="C100" s="23" t="s">
        <v>275</v>
      </c>
      <c r="D100" s="23" t="s">
        <v>276</v>
      </c>
      <c r="E100" s="23" t="s">
        <v>277</v>
      </c>
      <c r="F100" s="23" t="s">
        <v>234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5"/>
    </row>
    <row r="101" ht="22.5" customHeight="1">
      <c r="A101" s="18">
        <v>99.0</v>
      </c>
      <c r="B101" s="19" t="s">
        <v>234</v>
      </c>
      <c r="C101" s="19" t="s">
        <v>278</v>
      </c>
      <c r="D101" s="19" t="s">
        <v>278</v>
      </c>
      <c r="E101" s="19" t="s">
        <v>279</v>
      </c>
      <c r="F101" s="19" t="s">
        <v>234</v>
      </c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1"/>
    </row>
    <row r="102" ht="22.5" customHeight="1">
      <c r="A102" s="22">
        <v>100.0</v>
      </c>
      <c r="B102" s="23" t="s">
        <v>234</v>
      </c>
      <c r="C102" s="23" t="s">
        <v>280</v>
      </c>
      <c r="D102" s="23" t="s">
        <v>281</v>
      </c>
      <c r="E102" s="23" t="s">
        <v>282</v>
      </c>
      <c r="F102" s="23" t="s">
        <v>234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5"/>
    </row>
    <row r="103" ht="22.5" customHeight="1">
      <c r="A103" s="18">
        <v>101.0</v>
      </c>
      <c r="B103" s="19" t="s">
        <v>234</v>
      </c>
      <c r="C103" s="19" t="s">
        <v>283</v>
      </c>
      <c r="D103" s="19" t="s">
        <v>284</v>
      </c>
      <c r="E103" s="19" t="s">
        <v>285</v>
      </c>
      <c r="F103" s="19" t="s">
        <v>234</v>
      </c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1"/>
    </row>
    <row r="104" ht="22.5" customHeight="1">
      <c r="A104" s="22">
        <v>102.0</v>
      </c>
      <c r="B104" s="23" t="s">
        <v>234</v>
      </c>
      <c r="C104" s="23" t="s">
        <v>286</v>
      </c>
      <c r="D104" s="23" t="s">
        <v>287</v>
      </c>
      <c r="E104" s="23" t="s">
        <v>288</v>
      </c>
      <c r="F104" s="23" t="s">
        <v>234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5"/>
    </row>
    <row r="105" ht="22.5" customHeight="1">
      <c r="A105" s="18">
        <v>103.0</v>
      </c>
      <c r="B105" s="19" t="s">
        <v>234</v>
      </c>
      <c r="C105" s="19" t="s">
        <v>289</v>
      </c>
      <c r="D105" s="19" t="s">
        <v>289</v>
      </c>
      <c r="E105" s="19" t="s">
        <v>290</v>
      </c>
      <c r="F105" s="19" t="s">
        <v>234</v>
      </c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1"/>
    </row>
    <row r="106" ht="22.5" customHeight="1">
      <c r="A106" s="22">
        <v>104.0</v>
      </c>
      <c r="B106" s="23" t="s">
        <v>291</v>
      </c>
      <c r="C106" s="23" t="s">
        <v>292</v>
      </c>
      <c r="D106" s="23" t="s">
        <v>293</v>
      </c>
      <c r="E106" s="23" t="s">
        <v>294</v>
      </c>
      <c r="F106" s="23" t="s">
        <v>291</v>
      </c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5"/>
    </row>
    <row r="107" ht="22.5" customHeight="1">
      <c r="A107" s="18">
        <v>105.0</v>
      </c>
      <c r="B107" s="19" t="s">
        <v>291</v>
      </c>
      <c r="C107" s="19" t="s">
        <v>295</v>
      </c>
      <c r="D107" s="19" t="s">
        <v>295</v>
      </c>
      <c r="E107" s="19" t="s">
        <v>296</v>
      </c>
      <c r="F107" s="19" t="s">
        <v>291</v>
      </c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1"/>
    </row>
    <row r="108" ht="22.5" customHeight="1">
      <c r="A108" s="22">
        <v>106.0</v>
      </c>
      <c r="B108" s="23" t="s">
        <v>291</v>
      </c>
      <c r="C108" s="23" t="s">
        <v>297</v>
      </c>
      <c r="D108" s="23" t="s">
        <v>297</v>
      </c>
      <c r="E108" s="23" t="s">
        <v>298</v>
      </c>
      <c r="F108" s="23" t="s">
        <v>291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5"/>
    </row>
    <row r="109" ht="22.5" customHeight="1">
      <c r="A109" s="18">
        <v>107.0</v>
      </c>
      <c r="B109" s="19" t="s">
        <v>291</v>
      </c>
      <c r="C109" s="19" t="s">
        <v>299</v>
      </c>
      <c r="D109" s="19" t="s">
        <v>300</v>
      </c>
      <c r="E109" s="19" t="s">
        <v>301</v>
      </c>
      <c r="F109" s="19" t="s">
        <v>291</v>
      </c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1"/>
    </row>
    <row r="110" ht="22.5" customHeight="1">
      <c r="A110" s="22">
        <v>108.0</v>
      </c>
      <c r="B110" s="23" t="s">
        <v>291</v>
      </c>
      <c r="C110" s="23" t="s">
        <v>302</v>
      </c>
      <c r="D110" s="23" t="s">
        <v>302</v>
      </c>
      <c r="E110" s="23" t="s">
        <v>303</v>
      </c>
      <c r="F110" s="23" t="s">
        <v>291</v>
      </c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5"/>
    </row>
    <row r="111" ht="22.5" customHeight="1">
      <c r="A111" s="18">
        <v>109.0</v>
      </c>
      <c r="B111" s="19" t="s">
        <v>291</v>
      </c>
      <c r="C111" s="19" t="s">
        <v>304</v>
      </c>
      <c r="D111" s="19" t="s">
        <v>304</v>
      </c>
      <c r="E111" s="19" t="s">
        <v>305</v>
      </c>
      <c r="F111" s="19" t="s">
        <v>291</v>
      </c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</row>
    <row r="112" ht="22.5" customHeight="1">
      <c r="A112" s="22">
        <v>110.0</v>
      </c>
      <c r="B112" s="23" t="s">
        <v>291</v>
      </c>
      <c r="C112" s="23" t="s">
        <v>306</v>
      </c>
      <c r="D112" s="23" t="s">
        <v>306</v>
      </c>
      <c r="E112" s="23" t="s">
        <v>307</v>
      </c>
      <c r="F112" s="23" t="s">
        <v>291</v>
      </c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5"/>
    </row>
    <row r="113" ht="22.5" customHeight="1">
      <c r="A113" s="18">
        <v>111.0</v>
      </c>
      <c r="B113" s="19" t="s">
        <v>291</v>
      </c>
      <c r="C113" s="19" t="s">
        <v>308</v>
      </c>
      <c r="D113" s="19" t="s">
        <v>308</v>
      </c>
      <c r="E113" s="19" t="s">
        <v>309</v>
      </c>
      <c r="F113" s="19" t="s">
        <v>291</v>
      </c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1"/>
    </row>
    <row r="114" ht="22.5" customHeight="1">
      <c r="A114" s="22">
        <v>112.0</v>
      </c>
      <c r="B114" s="23" t="s">
        <v>291</v>
      </c>
      <c r="C114" s="23" t="s">
        <v>310</v>
      </c>
      <c r="D114" s="23" t="s">
        <v>311</v>
      </c>
      <c r="E114" s="23" t="s">
        <v>312</v>
      </c>
      <c r="F114" s="23" t="s">
        <v>291</v>
      </c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5"/>
    </row>
    <row r="115" ht="22.5" customHeight="1">
      <c r="A115" s="18">
        <v>113.0</v>
      </c>
      <c r="B115" s="19" t="s">
        <v>291</v>
      </c>
      <c r="C115" s="19" t="s">
        <v>313</v>
      </c>
      <c r="D115" s="19" t="s">
        <v>313</v>
      </c>
      <c r="E115" s="19" t="s">
        <v>314</v>
      </c>
      <c r="F115" s="19" t="s">
        <v>291</v>
      </c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1"/>
    </row>
    <row r="116" ht="22.5" customHeight="1">
      <c r="A116" s="22">
        <v>114.0</v>
      </c>
      <c r="B116" s="23" t="s">
        <v>291</v>
      </c>
      <c r="C116" s="23" t="s">
        <v>315</v>
      </c>
      <c r="D116" s="23" t="s">
        <v>316</v>
      </c>
      <c r="E116" s="23" t="s">
        <v>317</v>
      </c>
      <c r="F116" s="23" t="s">
        <v>291</v>
      </c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5"/>
    </row>
    <row r="117" ht="22.5" customHeight="1">
      <c r="A117" s="18">
        <v>115.0</v>
      </c>
      <c r="B117" s="19" t="s">
        <v>291</v>
      </c>
      <c r="C117" s="19" t="s">
        <v>318</v>
      </c>
      <c r="D117" s="19" t="s">
        <v>319</v>
      </c>
      <c r="E117" s="19" t="s">
        <v>320</v>
      </c>
      <c r="F117" s="19" t="s">
        <v>291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1"/>
    </row>
    <row r="118" ht="22.5" customHeight="1">
      <c r="A118" s="22">
        <v>116.0</v>
      </c>
      <c r="B118" s="23" t="s">
        <v>291</v>
      </c>
      <c r="C118" s="23" t="s">
        <v>321</v>
      </c>
      <c r="D118" s="23" t="s">
        <v>321</v>
      </c>
      <c r="E118" s="23" t="s">
        <v>322</v>
      </c>
      <c r="F118" s="23" t="s">
        <v>291</v>
      </c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5"/>
    </row>
    <row r="119" ht="22.5" customHeight="1">
      <c r="A119" s="18">
        <v>117.0</v>
      </c>
      <c r="B119" s="19" t="s">
        <v>291</v>
      </c>
      <c r="C119" s="19" t="s">
        <v>323</v>
      </c>
      <c r="D119" s="19" t="s">
        <v>323</v>
      </c>
      <c r="E119" s="19" t="s">
        <v>324</v>
      </c>
      <c r="F119" s="19" t="s">
        <v>291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1"/>
    </row>
    <row r="120" ht="22.5" customHeight="1">
      <c r="A120" s="22">
        <v>118.0</v>
      </c>
      <c r="B120" s="23" t="s">
        <v>291</v>
      </c>
      <c r="C120" s="23" t="s">
        <v>325</v>
      </c>
      <c r="D120" s="23" t="s">
        <v>325</v>
      </c>
      <c r="E120" s="23" t="s">
        <v>326</v>
      </c>
      <c r="F120" s="23" t="s">
        <v>291</v>
      </c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5"/>
    </row>
    <row r="121" ht="22.5" customHeight="1">
      <c r="A121" s="18">
        <v>119.0</v>
      </c>
      <c r="B121" s="19" t="s">
        <v>291</v>
      </c>
      <c r="C121" s="19" t="s">
        <v>327</v>
      </c>
      <c r="D121" s="19" t="s">
        <v>327</v>
      </c>
      <c r="E121" s="19" t="s">
        <v>328</v>
      </c>
      <c r="F121" s="19" t="s">
        <v>291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1"/>
    </row>
    <row r="122" ht="22.5" customHeight="1">
      <c r="A122" s="22">
        <v>120.0</v>
      </c>
      <c r="B122" s="23" t="s">
        <v>291</v>
      </c>
      <c r="C122" s="23" t="s">
        <v>329</v>
      </c>
      <c r="D122" s="23" t="s">
        <v>329</v>
      </c>
      <c r="E122" s="23" t="s">
        <v>330</v>
      </c>
      <c r="F122" s="23" t="s">
        <v>291</v>
      </c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5"/>
    </row>
    <row r="123" ht="22.5" customHeight="1">
      <c r="A123" s="18">
        <v>121.0</v>
      </c>
      <c r="B123" s="19" t="s">
        <v>291</v>
      </c>
      <c r="C123" s="19" t="s">
        <v>331</v>
      </c>
      <c r="D123" s="19" t="s">
        <v>332</v>
      </c>
      <c r="E123" s="19" t="s">
        <v>333</v>
      </c>
      <c r="F123" s="19" t="s">
        <v>291</v>
      </c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</row>
    <row r="124" ht="22.5" customHeight="1">
      <c r="A124" s="22">
        <v>122.0</v>
      </c>
      <c r="B124" s="23" t="s">
        <v>291</v>
      </c>
      <c r="C124" s="23" t="s">
        <v>334</v>
      </c>
      <c r="D124" s="23" t="s">
        <v>335</v>
      </c>
      <c r="E124" s="23" t="s">
        <v>336</v>
      </c>
      <c r="F124" s="23" t="s">
        <v>291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5"/>
    </row>
    <row r="125" ht="22.5" customHeight="1">
      <c r="A125" s="18">
        <v>123.0</v>
      </c>
      <c r="B125" s="19" t="s">
        <v>291</v>
      </c>
      <c r="C125" s="19" t="s">
        <v>337</v>
      </c>
      <c r="D125" s="19" t="s">
        <v>338</v>
      </c>
      <c r="E125" s="19" t="s">
        <v>339</v>
      </c>
      <c r="F125" s="19" t="s">
        <v>291</v>
      </c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1"/>
    </row>
    <row r="126" ht="22.5" customHeight="1">
      <c r="A126" s="22">
        <v>124.0</v>
      </c>
      <c r="B126" s="23" t="s">
        <v>291</v>
      </c>
      <c r="C126" s="23" t="s">
        <v>340</v>
      </c>
      <c r="D126" s="23" t="s">
        <v>341</v>
      </c>
      <c r="E126" s="23" t="s">
        <v>342</v>
      </c>
      <c r="F126" s="23" t="s">
        <v>291</v>
      </c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5"/>
    </row>
    <row r="127" ht="22.5" customHeight="1">
      <c r="A127" s="18">
        <v>125.0</v>
      </c>
      <c r="B127" s="19" t="s">
        <v>291</v>
      </c>
      <c r="C127" s="19" t="s">
        <v>343</v>
      </c>
      <c r="D127" s="19" t="s">
        <v>343</v>
      </c>
      <c r="E127" s="19" t="s">
        <v>344</v>
      </c>
      <c r="F127" s="19" t="s">
        <v>291</v>
      </c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1"/>
    </row>
    <row r="128" ht="22.5" customHeight="1">
      <c r="A128" s="22">
        <v>126.0</v>
      </c>
      <c r="B128" s="23" t="s">
        <v>291</v>
      </c>
      <c r="C128" s="23" t="s">
        <v>345</v>
      </c>
      <c r="D128" s="23" t="s">
        <v>345</v>
      </c>
      <c r="E128" s="23" t="s">
        <v>346</v>
      </c>
      <c r="F128" s="23" t="s">
        <v>291</v>
      </c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5"/>
    </row>
    <row r="129" ht="22.5" customHeight="1">
      <c r="A129" s="18">
        <v>127.0</v>
      </c>
      <c r="B129" s="19" t="s">
        <v>291</v>
      </c>
      <c r="C129" s="19" t="s">
        <v>347</v>
      </c>
      <c r="D129" s="19" t="s">
        <v>347</v>
      </c>
      <c r="E129" s="19" t="s">
        <v>348</v>
      </c>
      <c r="F129" s="19" t="s">
        <v>291</v>
      </c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1"/>
    </row>
    <row r="130" ht="22.5" customHeight="1">
      <c r="A130" s="22">
        <v>128.0</v>
      </c>
      <c r="B130" s="23" t="s">
        <v>291</v>
      </c>
      <c r="C130" s="23" t="s">
        <v>349</v>
      </c>
      <c r="D130" s="23" t="s">
        <v>349</v>
      </c>
      <c r="E130" s="23" t="s">
        <v>350</v>
      </c>
      <c r="F130" s="23" t="s">
        <v>291</v>
      </c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5"/>
    </row>
    <row r="131" ht="22.5" customHeight="1">
      <c r="A131" s="18">
        <v>129.0</v>
      </c>
      <c r="B131" s="19" t="s">
        <v>291</v>
      </c>
      <c r="C131" s="19" t="s">
        <v>351</v>
      </c>
      <c r="D131" s="19" t="s">
        <v>352</v>
      </c>
      <c r="E131" s="19" t="s">
        <v>353</v>
      </c>
      <c r="F131" s="19" t="s">
        <v>291</v>
      </c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1"/>
    </row>
    <row r="132" ht="22.5" customHeight="1">
      <c r="A132" s="22">
        <v>130.0</v>
      </c>
      <c r="B132" s="23" t="s">
        <v>291</v>
      </c>
      <c r="C132" s="23" t="s">
        <v>354</v>
      </c>
      <c r="D132" s="23" t="s">
        <v>354</v>
      </c>
      <c r="E132" s="23" t="s">
        <v>355</v>
      </c>
      <c r="F132" s="23" t="s">
        <v>291</v>
      </c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5"/>
    </row>
    <row r="133" ht="22.5" customHeight="1">
      <c r="A133" s="18">
        <v>131.0</v>
      </c>
      <c r="B133" s="19" t="s">
        <v>356</v>
      </c>
      <c r="C133" s="26" t="s">
        <v>357</v>
      </c>
      <c r="D133" s="19" t="s">
        <v>358</v>
      </c>
      <c r="E133" s="19" t="s">
        <v>359</v>
      </c>
      <c r="F133" s="19" t="s">
        <v>356</v>
      </c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1"/>
    </row>
    <row r="134" ht="22.5" customHeight="1">
      <c r="A134" s="22">
        <v>132.0</v>
      </c>
      <c r="B134" s="23" t="s">
        <v>356</v>
      </c>
      <c r="C134" s="23" t="s">
        <v>360</v>
      </c>
      <c r="D134" s="23" t="s">
        <v>360</v>
      </c>
      <c r="E134" s="23" t="s">
        <v>361</v>
      </c>
      <c r="F134" s="23" t="s">
        <v>356</v>
      </c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5"/>
    </row>
    <row r="135" ht="22.5" customHeight="1">
      <c r="A135" s="18">
        <v>133.0</v>
      </c>
      <c r="B135" s="19" t="s">
        <v>356</v>
      </c>
      <c r="C135" s="19" t="s">
        <v>362</v>
      </c>
      <c r="D135" s="19" t="s">
        <v>363</v>
      </c>
      <c r="E135" s="19" t="s">
        <v>364</v>
      </c>
      <c r="F135" s="19" t="s">
        <v>356</v>
      </c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1"/>
    </row>
    <row r="136" ht="22.5" customHeight="1">
      <c r="A136" s="22">
        <v>134.0</v>
      </c>
      <c r="B136" s="23" t="s">
        <v>356</v>
      </c>
      <c r="C136" s="23" t="s">
        <v>365</v>
      </c>
      <c r="D136" s="23" t="s">
        <v>365</v>
      </c>
      <c r="E136" s="23" t="s">
        <v>366</v>
      </c>
      <c r="F136" s="23" t="s">
        <v>356</v>
      </c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5"/>
    </row>
    <row r="137" ht="22.5" customHeight="1">
      <c r="A137" s="18">
        <v>135.0</v>
      </c>
      <c r="B137" s="19" t="s">
        <v>356</v>
      </c>
      <c r="C137" s="19" t="s">
        <v>367</v>
      </c>
      <c r="D137" s="19" t="s">
        <v>368</v>
      </c>
      <c r="E137" s="19" t="s">
        <v>369</v>
      </c>
      <c r="F137" s="19" t="s">
        <v>356</v>
      </c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1"/>
    </row>
    <row r="138" ht="22.5" customHeight="1">
      <c r="A138" s="22">
        <v>136.0</v>
      </c>
      <c r="B138" s="23" t="s">
        <v>356</v>
      </c>
      <c r="C138" s="23" t="s">
        <v>370</v>
      </c>
      <c r="D138" s="23" t="s">
        <v>371</v>
      </c>
      <c r="E138" s="23" t="s">
        <v>372</v>
      </c>
      <c r="F138" s="23" t="s">
        <v>356</v>
      </c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5"/>
    </row>
    <row r="139" ht="22.5" customHeight="1">
      <c r="A139" s="18">
        <v>137.0</v>
      </c>
      <c r="B139" s="19" t="s">
        <v>356</v>
      </c>
      <c r="C139" s="19" t="s">
        <v>373</v>
      </c>
      <c r="D139" s="19" t="s">
        <v>374</v>
      </c>
      <c r="E139" s="19" t="s">
        <v>375</v>
      </c>
      <c r="F139" s="19" t="s">
        <v>356</v>
      </c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1"/>
    </row>
    <row r="140" ht="22.5" customHeight="1">
      <c r="A140" s="22">
        <v>138.0</v>
      </c>
      <c r="B140" s="23" t="s">
        <v>356</v>
      </c>
      <c r="C140" s="23" t="s">
        <v>376</v>
      </c>
      <c r="D140" s="23" t="s">
        <v>377</v>
      </c>
      <c r="E140" s="23" t="s">
        <v>378</v>
      </c>
      <c r="F140" s="23" t="s">
        <v>356</v>
      </c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5"/>
    </row>
    <row r="141" ht="22.5" customHeight="1">
      <c r="A141" s="18">
        <v>139.0</v>
      </c>
      <c r="B141" s="19" t="s">
        <v>356</v>
      </c>
      <c r="C141" s="19" t="s">
        <v>379</v>
      </c>
      <c r="D141" s="19" t="s">
        <v>380</v>
      </c>
      <c r="E141" s="19" t="s">
        <v>381</v>
      </c>
      <c r="F141" s="19" t="s">
        <v>356</v>
      </c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1"/>
    </row>
    <row r="142" ht="22.5" customHeight="1">
      <c r="A142" s="22">
        <v>140.0</v>
      </c>
      <c r="B142" s="23" t="s">
        <v>356</v>
      </c>
      <c r="C142" s="23" t="s">
        <v>382</v>
      </c>
      <c r="D142" s="23" t="s">
        <v>382</v>
      </c>
      <c r="E142" s="23" t="s">
        <v>383</v>
      </c>
      <c r="F142" s="23" t="s">
        <v>356</v>
      </c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5"/>
    </row>
    <row r="143" ht="22.5" customHeight="1">
      <c r="A143" s="18">
        <v>141.0</v>
      </c>
      <c r="B143" s="19" t="s">
        <v>356</v>
      </c>
      <c r="C143" s="19" t="s">
        <v>384</v>
      </c>
      <c r="D143" s="19" t="s">
        <v>384</v>
      </c>
      <c r="E143" s="19" t="s">
        <v>385</v>
      </c>
      <c r="F143" s="19" t="s">
        <v>356</v>
      </c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1"/>
    </row>
    <row r="144" ht="22.5" customHeight="1">
      <c r="A144" s="22">
        <v>142.0</v>
      </c>
      <c r="B144" s="23" t="s">
        <v>356</v>
      </c>
      <c r="C144" s="23" t="s">
        <v>386</v>
      </c>
      <c r="D144" s="23" t="s">
        <v>386</v>
      </c>
      <c r="E144" s="23" t="s">
        <v>387</v>
      </c>
      <c r="F144" s="23" t="s">
        <v>356</v>
      </c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5"/>
    </row>
    <row r="145" ht="22.5" customHeight="1">
      <c r="A145" s="18">
        <v>143.0</v>
      </c>
      <c r="B145" s="19" t="s">
        <v>356</v>
      </c>
      <c r="C145" s="19" t="s">
        <v>388</v>
      </c>
      <c r="D145" s="19" t="s">
        <v>389</v>
      </c>
      <c r="E145" s="19" t="s">
        <v>390</v>
      </c>
      <c r="F145" s="19" t="s">
        <v>356</v>
      </c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1"/>
    </row>
    <row r="146" ht="22.5" customHeight="1">
      <c r="A146" s="22">
        <v>144.0</v>
      </c>
      <c r="B146" s="23" t="s">
        <v>356</v>
      </c>
      <c r="C146" s="23" t="s">
        <v>391</v>
      </c>
      <c r="D146" s="23" t="s">
        <v>391</v>
      </c>
      <c r="E146" s="23" t="s">
        <v>392</v>
      </c>
      <c r="F146" s="23" t="s">
        <v>356</v>
      </c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5"/>
    </row>
    <row r="147" ht="22.5" customHeight="1">
      <c r="A147" s="18">
        <v>145.0</v>
      </c>
      <c r="B147" s="19" t="s">
        <v>356</v>
      </c>
      <c r="C147" s="19" t="s">
        <v>393</v>
      </c>
      <c r="D147" s="19" t="s">
        <v>393</v>
      </c>
      <c r="E147" s="19" t="s">
        <v>394</v>
      </c>
      <c r="F147" s="19" t="s">
        <v>356</v>
      </c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1"/>
    </row>
    <row r="148" ht="22.5" customHeight="1">
      <c r="A148" s="22">
        <v>146.0</v>
      </c>
      <c r="B148" s="23" t="s">
        <v>356</v>
      </c>
      <c r="C148" s="23" t="s">
        <v>395</v>
      </c>
      <c r="D148" s="23" t="s">
        <v>396</v>
      </c>
      <c r="E148" s="23" t="s">
        <v>397</v>
      </c>
      <c r="F148" s="23" t="s">
        <v>356</v>
      </c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5"/>
    </row>
    <row r="149" ht="22.5" customHeight="1">
      <c r="A149" s="18">
        <v>147.0</v>
      </c>
      <c r="B149" s="19" t="s">
        <v>356</v>
      </c>
      <c r="C149" s="19" t="s">
        <v>398</v>
      </c>
      <c r="D149" s="19" t="s">
        <v>399</v>
      </c>
      <c r="E149" s="19" t="s">
        <v>400</v>
      </c>
      <c r="F149" s="19" t="s">
        <v>356</v>
      </c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1"/>
    </row>
    <row r="150" ht="22.5" customHeight="1">
      <c r="A150" s="22">
        <v>148.0</v>
      </c>
      <c r="B150" s="23" t="s">
        <v>356</v>
      </c>
      <c r="C150" s="23" t="s">
        <v>401</v>
      </c>
      <c r="D150" s="23" t="s">
        <v>402</v>
      </c>
      <c r="E150" s="23" t="s">
        <v>403</v>
      </c>
      <c r="F150" s="23" t="s">
        <v>356</v>
      </c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5"/>
    </row>
    <row r="151" ht="22.5" customHeight="1">
      <c r="A151" s="18">
        <v>149.0</v>
      </c>
      <c r="B151" s="19" t="s">
        <v>356</v>
      </c>
      <c r="C151" s="19" t="s">
        <v>404</v>
      </c>
      <c r="D151" s="19" t="s">
        <v>404</v>
      </c>
      <c r="E151" s="19" t="s">
        <v>405</v>
      </c>
      <c r="F151" s="19" t="s">
        <v>356</v>
      </c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1"/>
    </row>
    <row r="152" ht="22.5" customHeight="1">
      <c r="A152" s="22">
        <v>150.0</v>
      </c>
      <c r="B152" s="23" t="s">
        <v>356</v>
      </c>
      <c r="C152" s="23" t="s">
        <v>406</v>
      </c>
      <c r="D152" s="23" t="s">
        <v>406</v>
      </c>
      <c r="E152" s="23" t="s">
        <v>407</v>
      </c>
      <c r="F152" s="23" t="s">
        <v>356</v>
      </c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5"/>
    </row>
    <row r="153" ht="22.5" customHeight="1">
      <c r="A153" s="18">
        <v>151.0</v>
      </c>
      <c r="B153" s="19" t="s">
        <v>356</v>
      </c>
      <c r="C153" s="19" t="s">
        <v>408</v>
      </c>
      <c r="D153" s="19" t="s">
        <v>409</v>
      </c>
      <c r="E153" s="19" t="s">
        <v>410</v>
      </c>
      <c r="F153" s="19" t="s">
        <v>356</v>
      </c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1"/>
    </row>
    <row r="154" ht="22.5" customHeight="1">
      <c r="A154" s="27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5"/>
    </row>
    <row r="155" ht="22.5" customHeight="1">
      <c r="A155" s="28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1"/>
    </row>
    <row r="156" ht="22.5" customHeight="1">
      <c r="A156" s="27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5"/>
    </row>
    <row r="157" ht="22.5" customHeight="1">
      <c r="A157" s="28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1"/>
    </row>
    <row r="158" ht="22.5" customHeight="1">
      <c r="A158" s="27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5"/>
    </row>
    <row r="159" ht="22.5" customHeight="1">
      <c r="A159" s="28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1"/>
    </row>
    <row r="160" ht="22.5" customHeight="1">
      <c r="A160" s="27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5"/>
    </row>
    <row r="161" ht="22.5" customHeight="1">
      <c r="A161" s="28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1"/>
    </row>
    <row r="162" ht="22.5" customHeight="1">
      <c r="A162" s="27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5"/>
    </row>
    <row r="163" ht="22.5" customHeight="1">
      <c r="A163" s="28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1"/>
    </row>
    <row r="164" ht="22.5" customHeight="1">
      <c r="A164" s="27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5"/>
    </row>
    <row r="165" ht="22.5" customHeight="1">
      <c r="A165" s="28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1"/>
    </row>
    <row r="166" ht="22.5" customHeight="1">
      <c r="A166" s="27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5"/>
    </row>
    <row r="167" ht="22.5" customHeight="1">
      <c r="A167" s="28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1"/>
    </row>
    <row r="168" ht="22.5" customHeight="1">
      <c r="A168" s="27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5"/>
    </row>
    <row r="169" ht="22.5" customHeight="1">
      <c r="A169" s="28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1"/>
    </row>
    <row r="170" ht="22.5" customHeight="1">
      <c r="A170" s="27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5"/>
    </row>
    <row r="171" ht="22.5" customHeight="1">
      <c r="A171" s="28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1"/>
    </row>
    <row r="172" ht="22.5" customHeight="1">
      <c r="A172" s="27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5"/>
    </row>
    <row r="173" ht="22.5" customHeight="1">
      <c r="A173" s="28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1"/>
    </row>
    <row r="174" ht="22.5" customHeight="1">
      <c r="A174" s="27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5"/>
    </row>
    <row r="175" ht="22.5" customHeight="1">
      <c r="A175" s="28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1"/>
    </row>
    <row r="176" ht="22.5" customHeight="1">
      <c r="A176" s="27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5"/>
    </row>
    <row r="177" ht="22.5" customHeight="1">
      <c r="A177" s="28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1"/>
    </row>
    <row r="178" ht="22.5" customHeight="1">
      <c r="A178" s="27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5"/>
    </row>
    <row r="179" ht="22.5" customHeight="1">
      <c r="A179" s="28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1"/>
    </row>
    <row r="180" ht="22.5" customHeight="1">
      <c r="A180" s="27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5"/>
    </row>
    <row r="181" ht="22.5" customHeight="1">
      <c r="A181" s="28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1"/>
    </row>
    <row r="182" ht="22.5" customHeight="1">
      <c r="A182" s="27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5"/>
    </row>
    <row r="183" ht="22.5" customHeight="1">
      <c r="A183" s="28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1"/>
    </row>
    <row r="184" ht="22.5" customHeight="1">
      <c r="A184" s="27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5"/>
    </row>
    <row r="185" ht="22.5" customHeight="1">
      <c r="A185" s="28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1"/>
    </row>
    <row r="186" ht="22.5" customHeight="1">
      <c r="A186" s="27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5"/>
    </row>
    <row r="187" ht="22.5" customHeight="1">
      <c r="A187" s="28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1"/>
    </row>
    <row r="188" ht="22.5" customHeight="1">
      <c r="A188" s="27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5"/>
    </row>
    <row r="189" ht="22.5" customHeight="1">
      <c r="A189" s="28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1"/>
    </row>
    <row r="190" ht="22.5" customHeight="1">
      <c r="A190" s="27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5"/>
    </row>
    <row r="191" ht="22.5" customHeight="1">
      <c r="A191" s="28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1"/>
    </row>
    <row r="192" ht="22.5" customHeight="1">
      <c r="A192" s="27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5"/>
    </row>
    <row r="193" ht="22.5" customHeight="1">
      <c r="A193" s="28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1"/>
    </row>
    <row r="194" ht="22.5" customHeight="1">
      <c r="A194" s="27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5"/>
    </row>
    <row r="195" ht="22.5" customHeight="1">
      <c r="A195" s="28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1"/>
    </row>
    <row r="196" ht="22.5" customHeight="1">
      <c r="A196" s="27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5"/>
    </row>
    <row r="197" ht="22.5" customHeight="1">
      <c r="A197" s="28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1"/>
    </row>
    <row r="198" ht="22.5" customHeight="1">
      <c r="A198" s="27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5"/>
    </row>
    <row r="199" ht="22.5" customHeight="1">
      <c r="A199" s="28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1"/>
    </row>
    <row r="200" ht="22.5" customHeight="1">
      <c r="A200" s="27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5"/>
    </row>
    <row r="201" ht="22.5" customHeight="1">
      <c r="A201" s="28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1"/>
    </row>
    <row r="202" ht="22.5" customHeight="1">
      <c r="A202" s="27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5"/>
    </row>
    <row r="203" ht="22.5" customHeight="1">
      <c r="A203" s="28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1"/>
    </row>
    <row r="204" ht="22.5" customHeight="1">
      <c r="A204" s="27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5"/>
    </row>
    <row r="205" ht="22.5" customHeight="1">
      <c r="A205" s="28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1"/>
    </row>
    <row r="206" ht="22.5" customHeight="1">
      <c r="A206" s="27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5"/>
    </row>
    <row r="207" ht="22.5" customHeight="1">
      <c r="A207" s="28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1"/>
    </row>
    <row r="208" ht="22.5" customHeight="1">
      <c r="A208" s="27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5"/>
    </row>
    <row r="209" ht="22.5" customHeight="1">
      <c r="A209" s="28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1"/>
    </row>
    <row r="210" ht="22.5" customHeight="1">
      <c r="A210" s="27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5"/>
    </row>
    <row r="211" ht="22.5" customHeight="1">
      <c r="A211" s="28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1"/>
    </row>
    <row r="212" ht="22.5" customHeight="1">
      <c r="A212" s="27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5"/>
    </row>
    <row r="213" ht="22.5" customHeight="1">
      <c r="A213" s="28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1"/>
    </row>
    <row r="214" ht="22.5" customHeight="1">
      <c r="A214" s="27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5"/>
    </row>
    <row r="215" ht="22.5" customHeight="1">
      <c r="A215" s="28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1"/>
    </row>
    <row r="216" ht="22.5" customHeight="1">
      <c r="A216" s="27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5"/>
    </row>
    <row r="217" ht="22.5" customHeight="1">
      <c r="A217" s="28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1"/>
    </row>
    <row r="218" ht="22.5" customHeight="1">
      <c r="A218" s="27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5"/>
    </row>
    <row r="219" ht="22.5" customHeight="1">
      <c r="A219" s="28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1"/>
    </row>
    <row r="220" ht="22.5" customHeight="1">
      <c r="A220" s="27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5"/>
    </row>
    <row r="221" ht="22.5" customHeight="1">
      <c r="A221" s="28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1"/>
    </row>
    <row r="222" ht="22.5" customHeight="1">
      <c r="A222" s="27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5"/>
    </row>
    <row r="223" ht="22.5" customHeight="1">
      <c r="A223" s="28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1"/>
    </row>
    <row r="224" ht="22.5" customHeight="1">
      <c r="A224" s="27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5"/>
    </row>
    <row r="225" ht="22.5" customHeight="1">
      <c r="A225" s="28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1"/>
    </row>
    <row r="226" ht="22.5" customHeight="1">
      <c r="A226" s="27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5"/>
    </row>
    <row r="227" ht="22.5" customHeight="1">
      <c r="A227" s="28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1"/>
    </row>
    <row r="228" ht="22.5" customHeight="1">
      <c r="A228" s="27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5"/>
    </row>
    <row r="229" ht="22.5" customHeight="1">
      <c r="A229" s="28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1"/>
    </row>
    <row r="230" ht="22.5" customHeight="1">
      <c r="A230" s="27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5"/>
    </row>
    <row r="231" ht="22.5" customHeight="1">
      <c r="A231" s="28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1"/>
    </row>
    <row r="232" ht="22.5" customHeight="1">
      <c r="A232" s="27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5"/>
    </row>
    <row r="233" ht="22.5" customHeight="1">
      <c r="A233" s="28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1"/>
    </row>
    <row r="234" ht="22.5" customHeight="1">
      <c r="A234" s="27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5"/>
    </row>
    <row r="235" ht="22.5" customHeight="1">
      <c r="A235" s="28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1"/>
    </row>
    <row r="236" ht="22.5" customHeight="1">
      <c r="A236" s="27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5"/>
    </row>
    <row r="237" ht="22.5" customHeight="1">
      <c r="A237" s="28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1"/>
    </row>
    <row r="238" ht="22.5" customHeight="1">
      <c r="A238" s="27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5"/>
    </row>
    <row r="239" ht="22.5" customHeight="1">
      <c r="A239" s="28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1"/>
    </row>
    <row r="240" ht="22.5" customHeight="1">
      <c r="A240" s="27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5"/>
    </row>
    <row r="241" ht="22.5" customHeight="1">
      <c r="A241" s="28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1"/>
    </row>
    <row r="242" ht="22.5" customHeight="1">
      <c r="A242" s="27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5"/>
    </row>
    <row r="243" ht="22.5" customHeight="1">
      <c r="A243" s="28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1"/>
    </row>
    <row r="244" ht="22.5" customHeight="1">
      <c r="A244" s="27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5"/>
    </row>
    <row r="245" ht="22.5" customHeight="1">
      <c r="A245" s="28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1"/>
    </row>
    <row r="246" ht="22.5" customHeight="1">
      <c r="A246" s="27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5"/>
    </row>
    <row r="247" ht="22.5" customHeight="1">
      <c r="A247" s="28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1"/>
    </row>
    <row r="248" ht="22.5" customHeight="1">
      <c r="A248" s="27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5"/>
    </row>
    <row r="249" ht="22.5" customHeight="1">
      <c r="A249" s="28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1"/>
    </row>
    <row r="250" ht="22.5" customHeight="1">
      <c r="A250" s="27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5"/>
    </row>
    <row r="251" ht="22.5" customHeight="1">
      <c r="A251" s="28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1"/>
    </row>
    <row r="252" ht="22.5" customHeight="1">
      <c r="A252" s="27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5"/>
    </row>
    <row r="253" ht="22.5" customHeight="1">
      <c r="A253" s="28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1"/>
    </row>
    <row r="254" ht="22.5" customHeight="1">
      <c r="A254" s="27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5"/>
    </row>
    <row r="255" ht="22.5" customHeight="1">
      <c r="A255" s="28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1"/>
    </row>
    <row r="256" ht="22.5" customHeight="1">
      <c r="A256" s="27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5"/>
    </row>
    <row r="257" ht="22.5" customHeight="1">
      <c r="A257" s="28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1"/>
    </row>
    <row r="258" ht="22.5" customHeight="1">
      <c r="A258" s="27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5"/>
    </row>
    <row r="259" ht="22.5" customHeight="1">
      <c r="A259" s="28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1"/>
    </row>
    <row r="260" ht="22.5" customHeight="1">
      <c r="A260" s="27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5"/>
    </row>
    <row r="261" ht="22.5" customHeight="1">
      <c r="A261" s="28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1"/>
    </row>
    <row r="262" ht="22.5" customHeight="1">
      <c r="A262" s="27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5"/>
    </row>
    <row r="263" ht="22.5" customHeight="1">
      <c r="A263" s="28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1"/>
    </row>
    <row r="264" ht="22.5" customHeight="1">
      <c r="A264" s="27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5"/>
    </row>
    <row r="265" ht="22.5" customHeight="1">
      <c r="A265" s="28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1"/>
    </row>
    <row r="266" ht="22.5" customHeight="1">
      <c r="A266" s="27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5"/>
    </row>
    <row r="267" ht="22.5" customHeight="1">
      <c r="A267" s="28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1"/>
    </row>
    <row r="268" ht="22.5" customHeight="1">
      <c r="A268" s="27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5"/>
    </row>
    <row r="269" ht="22.5" customHeight="1">
      <c r="A269" s="28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1"/>
    </row>
    <row r="270" ht="22.5" customHeight="1">
      <c r="A270" s="27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5"/>
    </row>
    <row r="271" ht="22.5" customHeight="1">
      <c r="A271" s="28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1"/>
    </row>
    <row r="272" ht="22.5" customHeight="1">
      <c r="A272" s="27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5"/>
    </row>
    <row r="273" ht="22.5" customHeight="1">
      <c r="A273" s="28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1"/>
    </row>
    <row r="274" ht="22.5" customHeight="1">
      <c r="A274" s="27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5"/>
    </row>
    <row r="275" ht="22.5" customHeight="1">
      <c r="A275" s="28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1"/>
    </row>
    <row r="276" ht="22.5" customHeight="1">
      <c r="A276" s="27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5"/>
    </row>
    <row r="277" ht="22.5" customHeight="1">
      <c r="A277" s="28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1"/>
    </row>
    <row r="278" ht="22.5" customHeight="1">
      <c r="A278" s="27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5"/>
    </row>
    <row r="279" ht="22.5" customHeight="1">
      <c r="A279" s="28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1"/>
    </row>
    <row r="280" ht="22.5" customHeight="1">
      <c r="A280" s="27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5"/>
    </row>
    <row r="281" ht="22.5" customHeight="1">
      <c r="A281" s="28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1"/>
    </row>
    <row r="282" ht="22.5" customHeight="1">
      <c r="A282" s="27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5"/>
    </row>
    <row r="283" ht="22.5" customHeight="1">
      <c r="A283" s="28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1"/>
    </row>
    <row r="284" ht="22.5" customHeight="1">
      <c r="A284" s="27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5"/>
    </row>
    <row r="285" ht="22.5" customHeight="1">
      <c r="A285" s="28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1"/>
    </row>
    <row r="286" ht="22.5" customHeight="1">
      <c r="A286" s="27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5"/>
    </row>
    <row r="287" ht="22.5" customHeight="1">
      <c r="A287" s="28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1"/>
    </row>
    <row r="288" ht="22.5" customHeight="1">
      <c r="A288" s="27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5"/>
    </row>
    <row r="289" ht="22.5" customHeight="1">
      <c r="A289" s="28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1"/>
    </row>
    <row r="290" ht="22.5" customHeight="1">
      <c r="A290" s="27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5"/>
    </row>
    <row r="291" ht="22.5" customHeight="1">
      <c r="A291" s="28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1"/>
    </row>
    <row r="292" ht="22.5" customHeight="1">
      <c r="A292" s="27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5"/>
    </row>
    <row r="293" ht="22.5" customHeight="1">
      <c r="A293" s="28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1"/>
    </row>
    <row r="294" ht="22.5" customHeight="1">
      <c r="A294" s="27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5"/>
    </row>
    <row r="295" ht="22.5" customHeight="1">
      <c r="A295" s="28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1"/>
    </row>
    <row r="296" ht="22.5" customHeight="1">
      <c r="A296" s="27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5"/>
    </row>
    <row r="297" ht="22.5" customHeight="1">
      <c r="A297" s="28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1"/>
    </row>
    <row r="298" ht="22.5" customHeight="1">
      <c r="A298" s="27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5"/>
    </row>
    <row r="299" ht="22.5" customHeight="1">
      <c r="A299" s="28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1"/>
    </row>
    <row r="300" ht="22.5" customHeight="1">
      <c r="A300" s="27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5"/>
    </row>
    <row r="301" ht="22.5" customHeight="1">
      <c r="A301" s="28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1"/>
    </row>
    <row r="302" ht="22.5" customHeight="1">
      <c r="A302" s="27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5"/>
    </row>
    <row r="303" ht="22.5" customHeight="1">
      <c r="A303" s="28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1"/>
    </row>
    <row r="304" ht="22.5" customHeight="1">
      <c r="A304" s="27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5"/>
    </row>
    <row r="305" ht="22.5" customHeight="1">
      <c r="A305" s="28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1"/>
    </row>
    <row r="306" ht="22.5" customHeight="1">
      <c r="A306" s="27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5"/>
    </row>
    <row r="307" ht="22.5" customHeight="1">
      <c r="A307" s="28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1"/>
    </row>
    <row r="308" ht="22.5" customHeight="1">
      <c r="A308" s="27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5"/>
    </row>
    <row r="309" ht="22.5" customHeight="1">
      <c r="A309" s="28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1"/>
    </row>
    <row r="310" ht="22.5" customHeight="1">
      <c r="A310" s="27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5"/>
    </row>
    <row r="311" ht="22.5" customHeight="1">
      <c r="A311" s="28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1"/>
    </row>
    <row r="312" ht="22.5" customHeight="1">
      <c r="A312" s="27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5"/>
    </row>
    <row r="313" ht="22.5" customHeight="1">
      <c r="A313" s="28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1"/>
    </row>
    <row r="314" ht="22.5" customHeight="1">
      <c r="A314" s="27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5"/>
    </row>
    <row r="315" ht="22.5" customHeight="1">
      <c r="A315" s="28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1"/>
    </row>
    <row r="316" ht="22.5" customHeight="1">
      <c r="A316" s="27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5"/>
    </row>
    <row r="317" ht="22.5" customHeight="1">
      <c r="A317" s="28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1"/>
    </row>
    <row r="318" ht="22.5" customHeight="1">
      <c r="A318" s="27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5"/>
    </row>
    <row r="319" ht="22.5" customHeight="1">
      <c r="A319" s="28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1"/>
    </row>
    <row r="320" ht="22.5" customHeight="1">
      <c r="A320" s="27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5"/>
    </row>
    <row r="321" ht="22.5" customHeight="1">
      <c r="A321" s="28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1"/>
    </row>
    <row r="322" ht="22.5" customHeight="1">
      <c r="A322" s="27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5"/>
    </row>
    <row r="323" ht="22.5" customHeight="1">
      <c r="A323" s="28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1"/>
    </row>
    <row r="324" ht="22.5" customHeight="1">
      <c r="A324" s="27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5"/>
    </row>
    <row r="325" ht="22.5" customHeight="1">
      <c r="A325" s="28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1"/>
    </row>
    <row r="326" ht="22.5" customHeight="1">
      <c r="A326" s="27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5"/>
    </row>
    <row r="327" ht="22.5" customHeight="1">
      <c r="A327" s="28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1"/>
    </row>
    <row r="328" ht="22.5" customHeight="1">
      <c r="A328" s="27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5"/>
    </row>
    <row r="329" ht="22.5" customHeight="1">
      <c r="A329" s="28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1"/>
    </row>
    <row r="330" ht="22.5" customHeight="1">
      <c r="A330" s="27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5"/>
    </row>
    <row r="331" ht="22.5" customHeight="1">
      <c r="A331" s="28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1"/>
    </row>
    <row r="332" ht="22.5" customHeight="1">
      <c r="A332" s="27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5"/>
    </row>
    <row r="333" ht="22.5" customHeight="1">
      <c r="A333" s="28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1"/>
    </row>
    <row r="334" ht="22.5" customHeight="1">
      <c r="A334" s="27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5"/>
    </row>
    <row r="335" ht="22.5" customHeight="1">
      <c r="A335" s="28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1"/>
    </row>
    <row r="336" ht="22.5" customHeight="1">
      <c r="A336" s="27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5"/>
    </row>
    <row r="337" ht="22.5" customHeight="1">
      <c r="A337" s="28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1"/>
    </row>
    <row r="338" ht="22.5" customHeight="1">
      <c r="A338" s="27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5"/>
    </row>
    <row r="339" ht="22.5" customHeight="1">
      <c r="A339" s="28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1"/>
    </row>
    <row r="340" ht="22.5" customHeight="1">
      <c r="A340" s="27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5"/>
    </row>
    <row r="341" ht="22.5" customHeight="1">
      <c r="A341" s="28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1"/>
    </row>
    <row r="342" ht="22.5" customHeight="1">
      <c r="A342" s="27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5"/>
    </row>
    <row r="343" ht="22.5" customHeight="1">
      <c r="A343" s="28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1"/>
    </row>
    <row r="344" ht="22.5" customHeight="1">
      <c r="A344" s="27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5"/>
    </row>
    <row r="345" ht="22.5" customHeight="1">
      <c r="A345" s="28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1"/>
    </row>
    <row r="346" ht="22.5" customHeight="1">
      <c r="A346" s="27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5"/>
    </row>
    <row r="347" ht="22.5" customHeight="1">
      <c r="A347" s="28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1"/>
    </row>
    <row r="348" ht="22.5" customHeight="1">
      <c r="A348" s="27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5"/>
    </row>
    <row r="349" ht="22.5" customHeight="1">
      <c r="A349" s="28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1"/>
    </row>
    <row r="350" ht="22.5" customHeight="1">
      <c r="A350" s="27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5"/>
    </row>
    <row r="351" ht="22.5" customHeight="1">
      <c r="A351" s="28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1"/>
    </row>
    <row r="352" ht="22.5" customHeight="1">
      <c r="A352" s="27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5"/>
    </row>
    <row r="353" ht="22.5" customHeight="1">
      <c r="A353" s="28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1"/>
    </row>
    <row r="354" ht="22.5" customHeight="1">
      <c r="A354" s="27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5"/>
    </row>
    <row r="355" ht="22.5" customHeight="1">
      <c r="A355" s="28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1"/>
    </row>
    <row r="356" ht="22.5" customHeight="1">
      <c r="A356" s="27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5"/>
    </row>
    <row r="357" ht="22.5" customHeight="1">
      <c r="A357" s="28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1"/>
    </row>
    <row r="358" ht="22.5" customHeight="1">
      <c r="A358" s="27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5"/>
    </row>
    <row r="359" ht="22.5" customHeight="1">
      <c r="A359" s="28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1"/>
    </row>
    <row r="360" ht="22.5" customHeight="1">
      <c r="A360" s="27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5"/>
    </row>
    <row r="361" ht="22.5" customHeight="1">
      <c r="A361" s="28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1"/>
    </row>
    <row r="362" ht="22.5" customHeight="1">
      <c r="A362" s="27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5"/>
    </row>
    <row r="363" ht="22.5" customHeight="1">
      <c r="A363" s="28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1"/>
    </row>
    <row r="364" ht="22.5" customHeight="1">
      <c r="A364" s="27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5"/>
    </row>
    <row r="365" ht="22.5" customHeight="1">
      <c r="A365" s="28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1"/>
    </row>
    <row r="366" ht="22.5" customHeight="1">
      <c r="A366" s="27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5"/>
    </row>
    <row r="367" ht="22.5" customHeight="1">
      <c r="A367" s="28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1"/>
    </row>
    <row r="368" ht="22.5" customHeight="1">
      <c r="A368" s="27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5"/>
    </row>
    <row r="369" ht="22.5" customHeight="1">
      <c r="A369" s="28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1"/>
    </row>
    <row r="370" ht="22.5" customHeight="1">
      <c r="A370" s="27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5"/>
    </row>
    <row r="371" ht="22.5" customHeight="1">
      <c r="A371" s="28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1"/>
    </row>
    <row r="372" ht="22.5" customHeight="1">
      <c r="A372" s="27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5"/>
    </row>
    <row r="373" ht="22.5" customHeight="1">
      <c r="A373" s="28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1"/>
    </row>
    <row r="374" ht="22.5" customHeight="1">
      <c r="A374" s="27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5"/>
    </row>
    <row r="375" ht="22.5" customHeight="1">
      <c r="A375" s="28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1"/>
    </row>
    <row r="376" ht="22.5" customHeight="1">
      <c r="A376" s="27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5"/>
    </row>
    <row r="377" ht="22.5" customHeight="1">
      <c r="A377" s="28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1"/>
    </row>
    <row r="378" ht="22.5" customHeight="1">
      <c r="A378" s="27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5"/>
    </row>
    <row r="379" ht="22.5" customHeight="1">
      <c r="A379" s="28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1"/>
    </row>
    <row r="380" ht="22.5" customHeight="1">
      <c r="A380" s="27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5"/>
    </row>
    <row r="381" ht="22.5" customHeight="1">
      <c r="A381" s="28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1"/>
    </row>
    <row r="382" ht="22.5" customHeight="1">
      <c r="A382" s="27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5"/>
    </row>
    <row r="383" ht="22.5" customHeight="1">
      <c r="A383" s="28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1"/>
    </row>
    <row r="384" ht="22.5" customHeight="1">
      <c r="A384" s="27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5"/>
    </row>
    <row r="385" ht="22.5" customHeight="1">
      <c r="A385" s="28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1"/>
    </row>
    <row r="386" ht="22.5" customHeight="1">
      <c r="A386" s="27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5"/>
    </row>
    <row r="387" ht="22.5" customHeight="1">
      <c r="A387" s="28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1"/>
    </row>
    <row r="388" ht="22.5" customHeight="1">
      <c r="A388" s="27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5"/>
    </row>
    <row r="389" ht="22.5" customHeight="1">
      <c r="A389" s="28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1"/>
    </row>
    <row r="390" ht="22.5" customHeight="1">
      <c r="A390" s="27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5"/>
    </row>
    <row r="391" ht="22.5" customHeight="1">
      <c r="A391" s="28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1"/>
    </row>
    <row r="392" ht="22.5" customHeight="1">
      <c r="A392" s="27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5"/>
    </row>
    <row r="393" ht="22.5" customHeight="1">
      <c r="A393" s="28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1"/>
    </row>
    <row r="394" ht="22.5" customHeight="1">
      <c r="A394" s="27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5"/>
    </row>
    <row r="395" ht="22.5" customHeight="1">
      <c r="A395" s="28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1"/>
    </row>
    <row r="396" ht="22.5" customHeight="1">
      <c r="A396" s="27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5"/>
    </row>
    <row r="397" ht="22.5" customHeight="1">
      <c r="A397" s="28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1"/>
    </row>
    <row r="398" ht="22.5" customHeight="1">
      <c r="A398" s="27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5"/>
    </row>
    <row r="399" ht="22.5" customHeight="1">
      <c r="A399" s="28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1"/>
    </row>
    <row r="400" ht="22.5" customHeight="1">
      <c r="A400" s="27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5"/>
    </row>
    <row r="401" ht="22.5" customHeight="1">
      <c r="A401" s="28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1"/>
    </row>
    <row r="402" ht="22.5" customHeight="1">
      <c r="A402" s="27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5"/>
    </row>
    <row r="403" ht="22.5" customHeight="1">
      <c r="A403" s="28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1"/>
    </row>
    <row r="404" ht="22.5" customHeight="1">
      <c r="A404" s="27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5"/>
    </row>
    <row r="405" ht="22.5" customHeight="1">
      <c r="A405" s="28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1"/>
    </row>
    <row r="406" ht="22.5" customHeight="1">
      <c r="A406" s="27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5"/>
    </row>
    <row r="407" ht="22.5" customHeight="1">
      <c r="A407" s="28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1"/>
    </row>
    <row r="408" ht="22.5" customHeight="1">
      <c r="A408" s="27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5"/>
    </row>
    <row r="409" ht="22.5" customHeight="1">
      <c r="A409" s="28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1"/>
    </row>
    <row r="410" ht="22.5" customHeight="1">
      <c r="A410" s="27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5"/>
    </row>
    <row r="411" ht="22.5" customHeight="1">
      <c r="A411" s="28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1"/>
    </row>
    <row r="412" ht="22.5" customHeight="1">
      <c r="A412" s="27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5"/>
    </row>
    <row r="413" ht="22.5" customHeight="1">
      <c r="A413" s="28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1"/>
    </row>
    <row r="414" ht="22.5" customHeight="1">
      <c r="A414" s="27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5"/>
    </row>
    <row r="415" ht="22.5" customHeight="1">
      <c r="A415" s="28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1"/>
    </row>
    <row r="416" ht="22.5" customHeight="1">
      <c r="A416" s="27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5"/>
    </row>
    <row r="417" ht="22.5" customHeight="1">
      <c r="A417" s="28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1"/>
    </row>
    <row r="418" ht="22.5" customHeight="1">
      <c r="A418" s="27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5"/>
    </row>
    <row r="419" ht="22.5" customHeight="1">
      <c r="A419" s="28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1"/>
    </row>
    <row r="420" ht="22.5" customHeight="1">
      <c r="A420" s="27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5"/>
    </row>
    <row r="421" ht="22.5" customHeight="1">
      <c r="A421" s="28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1"/>
    </row>
    <row r="422" ht="22.5" customHeight="1">
      <c r="A422" s="27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5"/>
    </row>
    <row r="423" ht="22.5" customHeight="1">
      <c r="A423" s="28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1"/>
    </row>
    <row r="424" ht="22.5" customHeight="1">
      <c r="A424" s="27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5"/>
    </row>
    <row r="425" ht="22.5" customHeight="1">
      <c r="A425" s="28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1"/>
    </row>
    <row r="426" ht="22.5" customHeight="1">
      <c r="A426" s="27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5"/>
    </row>
    <row r="427" ht="22.5" customHeight="1">
      <c r="A427" s="28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1"/>
    </row>
    <row r="428" ht="22.5" customHeight="1">
      <c r="A428" s="27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5"/>
    </row>
    <row r="429" ht="22.5" customHeight="1">
      <c r="A429" s="28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1"/>
    </row>
    <row r="430" ht="22.5" customHeight="1">
      <c r="A430" s="27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5"/>
    </row>
    <row r="431" ht="22.5" customHeight="1">
      <c r="A431" s="28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1"/>
    </row>
    <row r="432" ht="22.5" customHeight="1">
      <c r="A432" s="27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5"/>
    </row>
    <row r="433" ht="22.5" customHeight="1">
      <c r="A433" s="28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1"/>
    </row>
    <row r="434" ht="22.5" customHeight="1">
      <c r="A434" s="27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5"/>
    </row>
    <row r="435" ht="22.5" customHeight="1">
      <c r="A435" s="28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1"/>
    </row>
    <row r="436" ht="22.5" customHeight="1">
      <c r="A436" s="27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5"/>
    </row>
    <row r="437" ht="22.5" customHeight="1">
      <c r="A437" s="28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1"/>
    </row>
    <row r="438" ht="22.5" customHeight="1">
      <c r="A438" s="27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5"/>
    </row>
    <row r="439" ht="22.5" customHeight="1">
      <c r="A439" s="28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1"/>
    </row>
    <row r="440" ht="22.5" customHeight="1">
      <c r="A440" s="27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5"/>
    </row>
    <row r="441" ht="22.5" customHeight="1">
      <c r="A441" s="28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1"/>
    </row>
    <row r="442" ht="22.5" customHeight="1">
      <c r="A442" s="27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5"/>
    </row>
    <row r="443" ht="22.5" customHeight="1">
      <c r="A443" s="28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1"/>
    </row>
    <row r="444" ht="22.5" customHeight="1">
      <c r="A444" s="27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5"/>
    </row>
    <row r="445" ht="22.5" customHeight="1">
      <c r="A445" s="28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1"/>
    </row>
    <row r="446" ht="22.5" customHeight="1">
      <c r="A446" s="27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5"/>
    </row>
    <row r="447" ht="22.5" customHeight="1">
      <c r="A447" s="28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1"/>
    </row>
    <row r="448" ht="22.5" customHeight="1">
      <c r="A448" s="27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5"/>
    </row>
    <row r="449" ht="22.5" customHeight="1">
      <c r="A449" s="28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1"/>
    </row>
    <row r="450" ht="22.5" customHeight="1">
      <c r="A450" s="27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5"/>
    </row>
    <row r="451" ht="22.5" customHeight="1">
      <c r="A451" s="28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1"/>
    </row>
    <row r="452" ht="22.5" customHeight="1">
      <c r="A452" s="27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5"/>
    </row>
    <row r="453" ht="22.5" customHeight="1">
      <c r="A453" s="28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1"/>
    </row>
    <row r="454" ht="22.5" customHeight="1">
      <c r="A454" s="27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5"/>
    </row>
    <row r="455" ht="22.5" customHeight="1">
      <c r="A455" s="28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1"/>
    </row>
    <row r="456" ht="22.5" customHeight="1">
      <c r="A456" s="27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5"/>
    </row>
    <row r="457" ht="22.5" customHeight="1">
      <c r="A457" s="28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1"/>
    </row>
    <row r="458" ht="22.5" customHeight="1">
      <c r="A458" s="27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5"/>
    </row>
    <row r="459" ht="22.5" customHeight="1">
      <c r="A459" s="28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1"/>
    </row>
    <row r="460" ht="22.5" customHeight="1">
      <c r="A460" s="27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5"/>
    </row>
    <row r="461" ht="22.5" customHeight="1">
      <c r="A461" s="28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1"/>
    </row>
    <row r="462" ht="22.5" customHeight="1">
      <c r="A462" s="27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5"/>
    </row>
    <row r="463" ht="22.5" customHeight="1">
      <c r="A463" s="28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1"/>
    </row>
    <row r="464" ht="22.5" customHeight="1">
      <c r="A464" s="27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5"/>
    </row>
    <row r="465" ht="22.5" customHeight="1">
      <c r="A465" s="28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1"/>
    </row>
    <row r="466" ht="22.5" customHeight="1">
      <c r="A466" s="27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5"/>
    </row>
    <row r="467" ht="22.5" customHeight="1">
      <c r="A467" s="28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1"/>
    </row>
    <row r="468" ht="22.5" customHeight="1">
      <c r="A468" s="27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5"/>
    </row>
    <row r="469" ht="22.5" customHeight="1">
      <c r="A469" s="28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1"/>
    </row>
    <row r="470" ht="22.5" customHeight="1">
      <c r="A470" s="27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5"/>
    </row>
    <row r="471" ht="22.5" customHeight="1">
      <c r="A471" s="28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1"/>
    </row>
    <row r="472" ht="22.5" customHeight="1">
      <c r="A472" s="27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5"/>
    </row>
    <row r="473" ht="22.5" customHeight="1">
      <c r="A473" s="28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1"/>
    </row>
    <row r="474" ht="22.5" customHeight="1">
      <c r="A474" s="27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5"/>
    </row>
    <row r="475" ht="22.5" customHeight="1">
      <c r="A475" s="28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1"/>
    </row>
    <row r="476" ht="22.5" customHeight="1">
      <c r="A476" s="27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5"/>
    </row>
    <row r="477" ht="22.5" customHeight="1">
      <c r="A477" s="28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1"/>
    </row>
    <row r="478" ht="22.5" customHeight="1">
      <c r="A478" s="27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5"/>
    </row>
    <row r="479" ht="22.5" customHeight="1">
      <c r="A479" s="28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1"/>
    </row>
    <row r="480" ht="22.5" customHeight="1">
      <c r="A480" s="27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5"/>
    </row>
    <row r="481" ht="22.5" customHeight="1">
      <c r="A481" s="28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1"/>
    </row>
    <row r="482" ht="22.5" customHeight="1">
      <c r="A482" s="27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5"/>
    </row>
    <row r="483" ht="22.5" customHeight="1">
      <c r="A483" s="28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1"/>
    </row>
    <row r="484" ht="22.5" customHeight="1">
      <c r="A484" s="27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5"/>
    </row>
    <row r="485" ht="22.5" customHeight="1">
      <c r="A485" s="28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1"/>
    </row>
    <row r="486" ht="22.5" customHeight="1">
      <c r="A486" s="27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5"/>
    </row>
    <row r="487" ht="22.5" customHeight="1">
      <c r="A487" s="28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1"/>
    </row>
    <row r="488" ht="22.5" customHeight="1">
      <c r="A488" s="27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5"/>
    </row>
    <row r="489" ht="22.5" customHeight="1">
      <c r="A489" s="28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1"/>
    </row>
    <row r="490" ht="22.5" customHeight="1">
      <c r="A490" s="27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5"/>
    </row>
    <row r="491" ht="22.5" customHeight="1">
      <c r="A491" s="28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1"/>
    </row>
    <row r="492" ht="22.5" customHeight="1">
      <c r="A492" s="27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5"/>
    </row>
    <row r="493" ht="22.5" customHeight="1">
      <c r="A493" s="28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1"/>
    </row>
    <row r="494" ht="22.5" customHeight="1">
      <c r="A494" s="27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5"/>
    </row>
    <row r="495" ht="22.5" customHeight="1">
      <c r="A495" s="28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1"/>
    </row>
    <row r="496" ht="22.5" customHeight="1">
      <c r="A496" s="27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5"/>
    </row>
    <row r="497" ht="22.5" customHeight="1">
      <c r="A497" s="28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1"/>
    </row>
    <row r="498" ht="22.5" customHeight="1">
      <c r="A498" s="27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5"/>
    </row>
    <row r="499" ht="22.5" customHeight="1">
      <c r="A499" s="28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1"/>
    </row>
    <row r="500" ht="22.5" customHeight="1">
      <c r="A500" s="27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5"/>
    </row>
    <row r="501" ht="22.5" customHeight="1">
      <c r="A501" s="28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1"/>
    </row>
    <row r="502" ht="22.5" customHeight="1">
      <c r="A502" s="27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5"/>
    </row>
    <row r="503" ht="22.5" customHeight="1">
      <c r="A503" s="28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1"/>
    </row>
    <row r="504" ht="22.5" customHeight="1">
      <c r="A504" s="27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5"/>
    </row>
    <row r="505" ht="22.5" customHeight="1">
      <c r="A505" s="28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1"/>
    </row>
    <row r="506" ht="22.5" customHeight="1">
      <c r="A506" s="27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5"/>
    </row>
    <row r="507" ht="22.5" customHeight="1">
      <c r="A507" s="28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1"/>
    </row>
    <row r="508" ht="22.5" customHeight="1">
      <c r="A508" s="27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5"/>
    </row>
    <row r="509" ht="22.5" customHeight="1">
      <c r="A509" s="28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1"/>
    </row>
    <row r="510" ht="22.5" customHeight="1">
      <c r="A510" s="27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5"/>
    </row>
    <row r="511" ht="22.5" customHeight="1">
      <c r="A511" s="28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1"/>
    </row>
    <row r="512" ht="22.5" customHeight="1">
      <c r="A512" s="27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5"/>
    </row>
    <row r="513" ht="22.5" customHeight="1">
      <c r="A513" s="28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1"/>
    </row>
    <row r="514" ht="22.5" customHeight="1">
      <c r="A514" s="27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5"/>
    </row>
    <row r="515" ht="22.5" customHeight="1">
      <c r="A515" s="28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1"/>
    </row>
    <row r="516" ht="22.5" customHeight="1">
      <c r="A516" s="27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5"/>
    </row>
    <row r="517" ht="22.5" customHeight="1">
      <c r="A517" s="28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1"/>
    </row>
    <row r="518" ht="22.5" customHeight="1">
      <c r="A518" s="27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5"/>
    </row>
    <row r="519" ht="22.5" customHeight="1">
      <c r="A519" s="28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1"/>
    </row>
    <row r="520" ht="22.5" customHeight="1">
      <c r="A520" s="27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5"/>
    </row>
    <row r="521" ht="22.5" customHeight="1">
      <c r="A521" s="28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1"/>
    </row>
    <row r="522" ht="22.5" customHeight="1">
      <c r="A522" s="27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5"/>
    </row>
    <row r="523" ht="22.5" customHeight="1">
      <c r="A523" s="28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1"/>
    </row>
    <row r="524" ht="22.5" customHeight="1">
      <c r="A524" s="27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5"/>
    </row>
    <row r="525" ht="22.5" customHeight="1">
      <c r="A525" s="28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1"/>
    </row>
    <row r="526" ht="22.5" customHeight="1">
      <c r="A526" s="27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5"/>
    </row>
    <row r="527" ht="22.5" customHeight="1">
      <c r="A527" s="28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1"/>
    </row>
    <row r="528" ht="22.5" customHeight="1">
      <c r="A528" s="27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5"/>
    </row>
    <row r="529" ht="22.5" customHeight="1">
      <c r="A529" s="28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1"/>
    </row>
    <row r="530" ht="22.5" customHeight="1">
      <c r="A530" s="27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5"/>
    </row>
    <row r="531" ht="22.5" customHeight="1">
      <c r="A531" s="28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1"/>
    </row>
    <row r="532" ht="22.5" customHeight="1">
      <c r="A532" s="27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5"/>
    </row>
    <row r="533" ht="22.5" customHeight="1">
      <c r="A533" s="28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1"/>
    </row>
    <row r="534" ht="22.5" customHeight="1">
      <c r="A534" s="27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5"/>
    </row>
    <row r="535" ht="22.5" customHeight="1">
      <c r="A535" s="28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1"/>
    </row>
    <row r="536" ht="22.5" customHeight="1">
      <c r="A536" s="27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5"/>
    </row>
    <row r="537" ht="22.5" customHeight="1">
      <c r="A537" s="28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1"/>
    </row>
    <row r="538" ht="22.5" customHeight="1">
      <c r="A538" s="27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5"/>
    </row>
    <row r="539" ht="22.5" customHeight="1">
      <c r="A539" s="28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1"/>
    </row>
    <row r="540" ht="22.5" customHeight="1">
      <c r="A540" s="27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5"/>
    </row>
    <row r="541" ht="22.5" customHeight="1">
      <c r="A541" s="28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1"/>
    </row>
    <row r="542" ht="22.5" customHeight="1">
      <c r="A542" s="27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5"/>
    </row>
    <row r="543" ht="22.5" customHeight="1">
      <c r="A543" s="28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1"/>
    </row>
    <row r="544" ht="22.5" customHeight="1">
      <c r="A544" s="27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5"/>
    </row>
    <row r="545" ht="22.5" customHeight="1">
      <c r="A545" s="28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1"/>
    </row>
    <row r="546" ht="22.5" customHeight="1">
      <c r="A546" s="27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5"/>
    </row>
    <row r="547" ht="22.5" customHeight="1">
      <c r="A547" s="28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1"/>
    </row>
    <row r="548" ht="22.5" customHeight="1">
      <c r="A548" s="27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5"/>
    </row>
    <row r="549" ht="22.5" customHeight="1">
      <c r="A549" s="28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1"/>
    </row>
    <row r="550" ht="22.5" customHeight="1">
      <c r="A550" s="27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5"/>
    </row>
    <row r="551" ht="22.5" customHeight="1">
      <c r="A551" s="28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1"/>
    </row>
    <row r="552" ht="22.5" customHeight="1">
      <c r="A552" s="27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5"/>
    </row>
    <row r="553" ht="22.5" customHeight="1">
      <c r="A553" s="28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1"/>
    </row>
    <row r="554" ht="22.5" customHeight="1">
      <c r="A554" s="27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5"/>
    </row>
    <row r="555" ht="22.5" customHeight="1">
      <c r="A555" s="28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1"/>
    </row>
    <row r="556" ht="22.5" customHeight="1">
      <c r="A556" s="27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5"/>
    </row>
    <row r="557" ht="22.5" customHeight="1">
      <c r="A557" s="28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1"/>
    </row>
    <row r="558" ht="22.5" customHeight="1">
      <c r="A558" s="27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5"/>
    </row>
    <row r="559" ht="22.5" customHeight="1">
      <c r="A559" s="28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1"/>
    </row>
    <row r="560" ht="22.5" customHeight="1">
      <c r="A560" s="27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5"/>
    </row>
    <row r="561" ht="22.5" customHeight="1">
      <c r="A561" s="28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1"/>
    </row>
    <row r="562" ht="22.5" customHeight="1">
      <c r="A562" s="27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5"/>
    </row>
    <row r="563" ht="22.5" customHeight="1">
      <c r="A563" s="28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1"/>
    </row>
    <row r="564" ht="22.5" customHeight="1">
      <c r="A564" s="27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5"/>
    </row>
    <row r="565" ht="22.5" customHeight="1">
      <c r="A565" s="28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1"/>
    </row>
    <row r="566" ht="22.5" customHeight="1">
      <c r="A566" s="27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5"/>
    </row>
    <row r="567" ht="22.5" customHeight="1">
      <c r="A567" s="28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1"/>
    </row>
    <row r="568" ht="22.5" customHeight="1">
      <c r="A568" s="27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5"/>
    </row>
    <row r="569" ht="22.5" customHeight="1">
      <c r="A569" s="28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1"/>
    </row>
    <row r="570" ht="22.5" customHeight="1">
      <c r="A570" s="27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5"/>
    </row>
    <row r="571" ht="22.5" customHeight="1">
      <c r="A571" s="28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1"/>
    </row>
    <row r="572" ht="22.5" customHeight="1">
      <c r="A572" s="27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5"/>
    </row>
    <row r="573" ht="22.5" customHeight="1">
      <c r="A573" s="28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1"/>
    </row>
    <row r="574" ht="22.5" customHeight="1">
      <c r="A574" s="27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5"/>
    </row>
    <row r="575" ht="22.5" customHeight="1">
      <c r="A575" s="28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1"/>
    </row>
    <row r="576" ht="22.5" customHeight="1">
      <c r="A576" s="27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5"/>
    </row>
    <row r="577" ht="22.5" customHeight="1">
      <c r="A577" s="28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1"/>
    </row>
    <row r="578" ht="22.5" customHeight="1">
      <c r="A578" s="27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5"/>
    </row>
    <row r="579" ht="22.5" customHeight="1">
      <c r="A579" s="28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1"/>
    </row>
    <row r="580" ht="22.5" customHeight="1">
      <c r="A580" s="27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5"/>
    </row>
    <row r="581" ht="22.5" customHeight="1">
      <c r="A581" s="28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1"/>
    </row>
    <row r="582" ht="22.5" customHeight="1">
      <c r="A582" s="27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5"/>
    </row>
    <row r="583" ht="22.5" customHeight="1">
      <c r="A583" s="28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1"/>
    </row>
    <row r="584" ht="22.5" customHeight="1">
      <c r="A584" s="27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5"/>
    </row>
    <row r="585" ht="22.5" customHeight="1">
      <c r="A585" s="28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1"/>
    </row>
    <row r="586" ht="22.5" customHeight="1">
      <c r="A586" s="27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5"/>
    </row>
    <row r="587" ht="22.5" customHeight="1">
      <c r="A587" s="28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1"/>
    </row>
    <row r="588" ht="22.5" customHeight="1">
      <c r="A588" s="27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5"/>
    </row>
    <row r="589" ht="22.5" customHeight="1">
      <c r="A589" s="28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1"/>
    </row>
    <row r="590" ht="22.5" customHeight="1">
      <c r="A590" s="27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5"/>
    </row>
    <row r="591" ht="22.5" customHeight="1">
      <c r="A591" s="28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1"/>
    </row>
    <row r="592" ht="22.5" customHeight="1">
      <c r="A592" s="27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5"/>
    </row>
    <row r="593" ht="22.5" customHeight="1">
      <c r="A593" s="28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1"/>
    </row>
    <row r="594" ht="22.5" customHeight="1">
      <c r="A594" s="27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5"/>
    </row>
    <row r="595" ht="22.5" customHeight="1">
      <c r="A595" s="28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1"/>
    </row>
    <row r="596" ht="22.5" customHeight="1">
      <c r="A596" s="27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5"/>
    </row>
    <row r="597" ht="22.5" customHeight="1">
      <c r="A597" s="28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1"/>
    </row>
    <row r="598" ht="22.5" customHeight="1">
      <c r="A598" s="27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5"/>
    </row>
    <row r="599" ht="22.5" customHeight="1">
      <c r="A599" s="28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1"/>
    </row>
    <row r="600" ht="22.5" customHeight="1">
      <c r="A600" s="27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5"/>
    </row>
    <row r="601" ht="22.5" customHeight="1">
      <c r="A601" s="28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1"/>
    </row>
    <row r="602" ht="22.5" customHeight="1">
      <c r="A602" s="27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5"/>
    </row>
    <row r="603" ht="22.5" customHeight="1">
      <c r="A603" s="28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1"/>
    </row>
    <row r="604" ht="22.5" customHeight="1">
      <c r="A604" s="27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5"/>
    </row>
    <row r="605" ht="22.5" customHeight="1">
      <c r="A605" s="28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1"/>
    </row>
    <row r="606" ht="22.5" customHeight="1">
      <c r="A606" s="27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5"/>
    </row>
    <row r="607" ht="22.5" customHeight="1">
      <c r="A607" s="28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1"/>
    </row>
    <row r="608" ht="22.5" customHeight="1">
      <c r="A608" s="27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5"/>
    </row>
    <row r="609" ht="22.5" customHeight="1">
      <c r="A609" s="28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1"/>
    </row>
    <row r="610" ht="22.5" customHeight="1">
      <c r="A610" s="27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5"/>
    </row>
    <row r="611" ht="22.5" customHeight="1">
      <c r="A611" s="28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1"/>
    </row>
    <row r="612" ht="22.5" customHeight="1">
      <c r="A612" s="27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5"/>
    </row>
    <row r="613" ht="22.5" customHeight="1">
      <c r="A613" s="28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1"/>
    </row>
    <row r="614" ht="22.5" customHeight="1">
      <c r="A614" s="27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5"/>
    </row>
    <row r="615" ht="22.5" customHeight="1">
      <c r="A615" s="28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1"/>
    </row>
    <row r="616" ht="22.5" customHeight="1">
      <c r="A616" s="27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5"/>
    </row>
    <row r="617" ht="22.5" customHeight="1">
      <c r="A617" s="28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1"/>
    </row>
    <row r="618" ht="22.5" customHeight="1">
      <c r="A618" s="27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5"/>
    </row>
    <row r="619" ht="22.5" customHeight="1">
      <c r="A619" s="28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1"/>
    </row>
    <row r="620" ht="22.5" customHeight="1">
      <c r="A620" s="27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5"/>
    </row>
    <row r="621" ht="22.5" customHeight="1">
      <c r="A621" s="28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1"/>
    </row>
    <row r="622" ht="22.5" customHeight="1">
      <c r="A622" s="27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5"/>
    </row>
    <row r="623" ht="22.5" customHeight="1">
      <c r="A623" s="28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1"/>
    </row>
    <row r="624" ht="22.5" customHeight="1">
      <c r="A624" s="27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5"/>
    </row>
    <row r="625" ht="22.5" customHeight="1">
      <c r="A625" s="28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1"/>
    </row>
    <row r="626" ht="22.5" customHeight="1">
      <c r="A626" s="27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5"/>
    </row>
    <row r="627" ht="22.5" customHeight="1">
      <c r="A627" s="28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1"/>
    </row>
    <row r="628" ht="22.5" customHeight="1">
      <c r="A628" s="27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5"/>
    </row>
    <row r="629" ht="22.5" customHeight="1">
      <c r="A629" s="28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1"/>
    </row>
    <row r="630" ht="22.5" customHeight="1">
      <c r="A630" s="27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5"/>
    </row>
    <row r="631" ht="22.5" customHeight="1">
      <c r="A631" s="28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1"/>
    </row>
    <row r="632" ht="22.5" customHeight="1">
      <c r="A632" s="27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5"/>
    </row>
    <row r="633" ht="22.5" customHeight="1">
      <c r="A633" s="28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1"/>
    </row>
    <row r="634" ht="22.5" customHeight="1">
      <c r="A634" s="27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5"/>
    </row>
    <row r="635" ht="22.5" customHeight="1">
      <c r="A635" s="28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1"/>
    </row>
    <row r="636" ht="22.5" customHeight="1">
      <c r="A636" s="27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5"/>
    </row>
    <row r="637" ht="22.5" customHeight="1">
      <c r="A637" s="28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1"/>
    </row>
    <row r="638" ht="22.5" customHeight="1">
      <c r="A638" s="27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5"/>
    </row>
    <row r="639" ht="22.5" customHeight="1">
      <c r="A639" s="28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1"/>
    </row>
    <row r="640" ht="22.5" customHeight="1">
      <c r="A640" s="27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5"/>
    </row>
    <row r="641" ht="22.5" customHeight="1">
      <c r="A641" s="28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1"/>
    </row>
    <row r="642" ht="22.5" customHeight="1">
      <c r="A642" s="27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5"/>
    </row>
    <row r="643" ht="22.5" customHeight="1">
      <c r="A643" s="28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1"/>
    </row>
    <row r="644" ht="22.5" customHeight="1">
      <c r="A644" s="27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5"/>
    </row>
    <row r="645" ht="22.5" customHeight="1">
      <c r="A645" s="28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1"/>
    </row>
    <row r="646" ht="22.5" customHeight="1">
      <c r="A646" s="27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5"/>
    </row>
    <row r="647" ht="22.5" customHeight="1">
      <c r="A647" s="28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1"/>
    </row>
    <row r="648" ht="22.5" customHeight="1">
      <c r="A648" s="27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5"/>
    </row>
    <row r="649" ht="22.5" customHeight="1">
      <c r="A649" s="28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1"/>
    </row>
    <row r="650" ht="22.5" customHeight="1">
      <c r="A650" s="27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5"/>
    </row>
    <row r="651" ht="22.5" customHeight="1">
      <c r="A651" s="28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1"/>
    </row>
    <row r="652" ht="22.5" customHeight="1">
      <c r="A652" s="27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5"/>
    </row>
    <row r="653" ht="22.5" customHeight="1">
      <c r="A653" s="28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1"/>
    </row>
    <row r="654" ht="22.5" customHeight="1">
      <c r="A654" s="27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5"/>
    </row>
    <row r="655" ht="22.5" customHeight="1">
      <c r="A655" s="28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1"/>
    </row>
    <row r="656" ht="22.5" customHeight="1">
      <c r="A656" s="27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5"/>
    </row>
    <row r="657" ht="22.5" customHeight="1">
      <c r="A657" s="28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1"/>
    </row>
    <row r="658" ht="22.5" customHeight="1">
      <c r="A658" s="27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5"/>
    </row>
    <row r="659" ht="22.5" customHeight="1">
      <c r="A659" s="28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1"/>
    </row>
    <row r="660" ht="22.5" customHeight="1">
      <c r="A660" s="27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5"/>
    </row>
    <row r="661" ht="22.5" customHeight="1">
      <c r="A661" s="28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1"/>
    </row>
    <row r="662" ht="22.5" customHeight="1">
      <c r="A662" s="27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5"/>
    </row>
    <row r="663" ht="22.5" customHeight="1">
      <c r="A663" s="28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1"/>
    </row>
    <row r="664" ht="22.5" customHeight="1">
      <c r="A664" s="27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5"/>
    </row>
    <row r="665" ht="22.5" customHeight="1">
      <c r="A665" s="28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1"/>
    </row>
    <row r="666" ht="22.5" customHeight="1">
      <c r="A666" s="27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5"/>
    </row>
    <row r="667" ht="22.5" customHeight="1">
      <c r="A667" s="28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1"/>
    </row>
    <row r="668" ht="22.5" customHeight="1">
      <c r="A668" s="27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5"/>
    </row>
    <row r="669" ht="22.5" customHeight="1">
      <c r="A669" s="28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1"/>
    </row>
    <row r="670" ht="22.5" customHeight="1">
      <c r="A670" s="27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5"/>
    </row>
    <row r="671" ht="22.5" customHeight="1">
      <c r="A671" s="28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1"/>
    </row>
    <row r="672" ht="22.5" customHeight="1">
      <c r="A672" s="27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5"/>
    </row>
    <row r="673" ht="22.5" customHeight="1">
      <c r="A673" s="28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1"/>
    </row>
    <row r="674" ht="22.5" customHeight="1">
      <c r="A674" s="27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5"/>
    </row>
    <row r="675" ht="22.5" customHeight="1">
      <c r="A675" s="28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1"/>
    </row>
    <row r="676" ht="22.5" customHeight="1">
      <c r="A676" s="27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5"/>
    </row>
    <row r="677" ht="22.5" customHeight="1">
      <c r="A677" s="28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1"/>
    </row>
    <row r="678" ht="22.5" customHeight="1">
      <c r="A678" s="27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5"/>
    </row>
    <row r="679" ht="22.5" customHeight="1">
      <c r="A679" s="28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1"/>
    </row>
    <row r="680" ht="22.5" customHeight="1">
      <c r="A680" s="27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5"/>
    </row>
    <row r="681" ht="22.5" customHeight="1">
      <c r="A681" s="28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1"/>
    </row>
    <row r="682" ht="22.5" customHeight="1">
      <c r="A682" s="27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5"/>
    </row>
    <row r="683" ht="22.5" customHeight="1">
      <c r="A683" s="28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1"/>
    </row>
    <row r="684" ht="22.5" customHeight="1">
      <c r="A684" s="27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5"/>
    </row>
    <row r="685" ht="22.5" customHeight="1">
      <c r="A685" s="28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1"/>
    </row>
    <row r="686" ht="22.5" customHeight="1">
      <c r="A686" s="27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5"/>
    </row>
    <row r="687" ht="22.5" customHeight="1">
      <c r="A687" s="28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1"/>
    </row>
    <row r="688" ht="22.5" customHeight="1">
      <c r="A688" s="27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5"/>
    </row>
    <row r="689" ht="22.5" customHeight="1">
      <c r="A689" s="28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1"/>
    </row>
    <row r="690" ht="22.5" customHeight="1">
      <c r="A690" s="27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5"/>
    </row>
    <row r="691" ht="22.5" customHeight="1">
      <c r="A691" s="28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1"/>
    </row>
    <row r="692" ht="22.5" customHeight="1">
      <c r="A692" s="27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5"/>
    </row>
    <row r="693" ht="22.5" customHeight="1">
      <c r="A693" s="28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1"/>
    </row>
    <row r="694" ht="22.5" customHeight="1">
      <c r="A694" s="27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5"/>
    </row>
    <row r="695" ht="22.5" customHeight="1">
      <c r="A695" s="28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1"/>
    </row>
    <row r="696" ht="22.5" customHeight="1">
      <c r="A696" s="27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5"/>
    </row>
    <row r="697" ht="22.5" customHeight="1">
      <c r="A697" s="28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1"/>
    </row>
    <row r="698" ht="22.5" customHeight="1">
      <c r="A698" s="27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5"/>
    </row>
    <row r="699" ht="22.5" customHeight="1">
      <c r="A699" s="28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1"/>
    </row>
    <row r="700" ht="22.5" customHeight="1">
      <c r="A700" s="27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5"/>
    </row>
    <row r="701" ht="22.5" customHeight="1">
      <c r="A701" s="28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1"/>
    </row>
    <row r="702" ht="22.5" customHeight="1">
      <c r="A702" s="27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5"/>
    </row>
    <row r="703" ht="22.5" customHeight="1">
      <c r="A703" s="28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1"/>
    </row>
    <row r="704" ht="22.5" customHeight="1">
      <c r="A704" s="27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5"/>
    </row>
    <row r="705" ht="22.5" customHeight="1">
      <c r="A705" s="28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1"/>
    </row>
    <row r="706" ht="22.5" customHeight="1">
      <c r="A706" s="27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5"/>
    </row>
    <row r="707" ht="22.5" customHeight="1">
      <c r="A707" s="28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1"/>
    </row>
    <row r="708" ht="22.5" customHeight="1">
      <c r="A708" s="27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5"/>
    </row>
    <row r="709" ht="22.5" customHeight="1">
      <c r="A709" s="28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1"/>
    </row>
    <row r="710" ht="22.5" customHeight="1">
      <c r="A710" s="27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5"/>
    </row>
    <row r="711" ht="22.5" customHeight="1">
      <c r="A711" s="28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1"/>
    </row>
    <row r="712" ht="22.5" customHeight="1">
      <c r="A712" s="27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5"/>
    </row>
    <row r="713" ht="22.5" customHeight="1">
      <c r="A713" s="28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1"/>
    </row>
    <row r="714" ht="22.5" customHeight="1">
      <c r="A714" s="27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5"/>
    </row>
    <row r="715" ht="22.5" customHeight="1">
      <c r="A715" s="28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1"/>
    </row>
    <row r="716" ht="22.5" customHeight="1">
      <c r="A716" s="27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5"/>
    </row>
    <row r="717" ht="22.5" customHeight="1">
      <c r="A717" s="28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1"/>
    </row>
    <row r="718" ht="22.5" customHeight="1">
      <c r="A718" s="27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5"/>
    </row>
    <row r="719" ht="22.5" customHeight="1">
      <c r="A719" s="28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1"/>
    </row>
    <row r="720" ht="22.5" customHeight="1">
      <c r="A720" s="27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5"/>
    </row>
    <row r="721" ht="22.5" customHeight="1">
      <c r="A721" s="28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1"/>
    </row>
    <row r="722" ht="22.5" customHeight="1">
      <c r="A722" s="27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5"/>
    </row>
    <row r="723" ht="22.5" customHeight="1">
      <c r="A723" s="28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1"/>
    </row>
    <row r="724" ht="22.5" customHeight="1">
      <c r="A724" s="27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5"/>
    </row>
    <row r="725" ht="22.5" customHeight="1">
      <c r="A725" s="28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1"/>
    </row>
    <row r="726" ht="22.5" customHeight="1">
      <c r="A726" s="27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5"/>
    </row>
    <row r="727" ht="22.5" customHeight="1">
      <c r="A727" s="28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1"/>
    </row>
    <row r="728" ht="22.5" customHeight="1">
      <c r="A728" s="27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5"/>
    </row>
    <row r="729" ht="22.5" customHeight="1">
      <c r="A729" s="28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1"/>
    </row>
    <row r="730" ht="22.5" customHeight="1">
      <c r="A730" s="27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5"/>
    </row>
    <row r="731" ht="22.5" customHeight="1">
      <c r="A731" s="28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1"/>
    </row>
    <row r="732" ht="22.5" customHeight="1">
      <c r="A732" s="27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5"/>
    </row>
    <row r="733" ht="22.5" customHeight="1">
      <c r="A733" s="28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1"/>
    </row>
    <row r="734" ht="22.5" customHeight="1">
      <c r="A734" s="27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5"/>
    </row>
    <row r="735" ht="22.5" customHeight="1">
      <c r="A735" s="28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1"/>
    </row>
    <row r="736" ht="22.5" customHeight="1">
      <c r="A736" s="27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5"/>
    </row>
    <row r="737" ht="22.5" customHeight="1">
      <c r="A737" s="28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1"/>
    </row>
    <row r="738" ht="22.5" customHeight="1">
      <c r="A738" s="27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5"/>
    </row>
    <row r="739" ht="22.5" customHeight="1">
      <c r="A739" s="28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1"/>
    </row>
    <row r="740" ht="22.5" customHeight="1">
      <c r="A740" s="27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5"/>
    </row>
    <row r="741" ht="22.5" customHeight="1">
      <c r="A741" s="28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1"/>
    </row>
    <row r="742" ht="22.5" customHeight="1">
      <c r="A742" s="27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5"/>
    </row>
    <row r="743" ht="22.5" customHeight="1">
      <c r="A743" s="28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1"/>
    </row>
    <row r="744" ht="22.5" customHeight="1">
      <c r="A744" s="27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5"/>
    </row>
    <row r="745" ht="22.5" customHeight="1">
      <c r="A745" s="28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1"/>
    </row>
    <row r="746" ht="22.5" customHeight="1">
      <c r="A746" s="27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5"/>
    </row>
    <row r="747" ht="22.5" customHeight="1">
      <c r="A747" s="28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1"/>
    </row>
    <row r="748" ht="22.5" customHeight="1">
      <c r="A748" s="27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5"/>
    </row>
    <row r="749" ht="22.5" customHeight="1">
      <c r="A749" s="28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1"/>
    </row>
    <row r="750" ht="22.5" customHeight="1">
      <c r="A750" s="27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5"/>
    </row>
    <row r="751" ht="22.5" customHeight="1">
      <c r="A751" s="28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1"/>
    </row>
    <row r="752" ht="22.5" customHeight="1">
      <c r="A752" s="27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5"/>
    </row>
    <row r="753" ht="22.5" customHeight="1">
      <c r="A753" s="28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1"/>
    </row>
    <row r="754" ht="22.5" customHeight="1">
      <c r="A754" s="27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5"/>
    </row>
    <row r="755" ht="22.5" customHeight="1">
      <c r="A755" s="28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1"/>
    </row>
    <row r="756" ht="22.5" customHeight="1">
      <c r="A756" s="27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5"/>
    </row>
    <row r="757" ht="22.5" customHeight="1">
      <c r="A757" s="28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1"/>
    </row>
    <row r="758" ht="22.5" customHeight="1">
      <c r="A758" s="27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5"/>
    </row>
    <row r="759" ht="22.5" customHeight="1">
      <c r="A759" s="28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1"/>
    </row>
    <row r="760" ht="22.5" customHeight="1">
      <c r="A760" s="27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5"/>
    </row>
    <row r="761" ht="22.5" customHeight="1">
      <c r="A761" s="28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1"/>
    </row>
    <row r="762" ht="22.5" customHeight="1">
      <c r="A762" s="27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5"/>
    </row>
    <row r="763" ht="22.5" customHeight="1">
      <c r="A763" s="28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1"/>
    </row>
    <row r="764" ht="22.5" customHeight="1">
      <c r="A764" s="27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5"/>
    </row>
    <row r="765" ht="22.5" customHeight="1">
      <c r="A765" s="28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1"/>
    </row>
    <row r="766" ht="22.5" customHeight="1">
      <c r="A766" s="27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5"/>
    </row>
    <row r="767" ht="22.5" customHeight="1">
      <c r="A767" s="28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1"/>
    </row>
    <row r="768" ht="22.5" customHeight="1">
      <c r="A768" s="27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5"/>
    </row>
    <row r="769" ht="22.5" customHeight="1">
      <c r="A769" s="28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1"/>
    </row>
    <row r="770" ht="22.5" customHeight="1">
      <c r="A770" s="27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5"/>
    </row>
    <row r="771" ht="22.5" customHeight="1">
      <c r="A771" s="28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1"/>
    </row>
    <row r="772" ht="22.5" customHeight="1">
      <c r="A772" s="27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5"/>
    </row>
    <row r="773" ht="22.5" customHeight="1">
      <c r="A773" s="28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1"/>
    </row>
    <row r="774" ht="22.5" customHeight="1">
      <c r="A774" s="27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5"/>
    </row>
    <row r="775" ht="22.5" customHeight="1">
      <c r="A775" s="28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1"/>
    </row>
    <row r="776" ht="22.5" customHeight="1">
      <c r="A776" s="27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5"/>
    </row>
    <row r="777" ht="22.5" customHeight="1">
      <c r="A777" s="28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1"/>
    </row>
    <row r="778" ht="22.5" customHeight="1">
      <c r="A778" s="27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5"/>
    </row>
    <row r="779" ht="22.5" customHeight="1">
      <c r="A779" s="28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1"/>
    </row>
    <row r="780" ht="22.5" customHeight="1">
      <c r="A780" s="27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5"/>
    </row>
    <row r="781" ht="22.5" customHeight="1">
      <c r="A781" s="28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1"/>
    </row>
    <row r="782" ht="22.5" customHeight="1">
      <c r="A782" s="27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5"/>
    </row>
    <row r="783" ht="22.5" customHeight="1">
      <c r="A783" s="28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1"/>
    </row>
    <row r="784" ht="22.5" customHeight="1">
      <c r="A784" s="27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5"/>
    </row>
    <row r="785" ht="22.5" customHeight="1">
      <c r="A785" s="28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1"/>
    </row>
    <row r="786" ht="22.5" customHeight="1">
      <c r="A786" s="27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5"/>
    </row>
    <row r="787" ht="22.5" customHeight="1">
      <c r="A787" s="28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1"/>
    </row>
    <row r="788" ht="22.5" customHeight="1">
      <c r="A788" s="27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5"/>
    </row>
    <row r="789" ht="22.5" customHeight="1">
      <c r="A789" s="28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1"/>
    </row>
    <row r="790" ht="22.5" customHeight="1">
      <c r="A790" s="27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5"/>
    </row>
    <row r="791" ht="22.5" customHeight="1">
      <c r="A791" s="28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1"/>
    </row>
    <row r="792" ht="22.5" customHeight="1">
      <c r="A792" s="27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5"/>
    </row>
    <row r="793" ht="22.5" customHeight="1">
      <c r="A793" s="28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1"/>
    </row>
    <row r="794" ht="22.5" customHeight="1">
      <c r="A794" s="27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5"/>
    </row>
    <row r="795" ht="22.5" customHeight="1">
      <c r="A795" s="28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1"/>
    </row>
    <row r="796" ht="22.5" customHeight="1">
      <c r="A796" s="27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5"/>
    </row>
    <row r="797" ht="22.5" customHeight="1">
      <c r="A797" s="28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1"/>
    </row>
    <row r="798" ht="22.5" customHeight="1">
      <c r="A798" s="27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5"/>
    </row>
    <row r="799" ht="22.5" customHeight="1">
      <c r="A799" s="28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1"/>
    </row>
    <row r="800" ht="22.5" customHeight="1">
      <c r="A800" s="27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5"/>
    </row>
    <row r="801" ht="22.5" customHeight="1">
      <c r="A801" s="28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1"/>
    </row>
    <row r="802" ht="22.5" customHeight="1">
      <c r="A802" s="27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5"/>
    </row>
    <row r="803" ht="22.5" customHeight="1">
      <c r="A803" s="28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1"/>
    </row>
    <row r="804" ht="22.5" customHeight="1">
      <c r="A804" s="27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5"/>
    </row>
    <row r="805" ht="22.5" customHeight="1">
      <c r="A805" s="28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1"/>
    </row>
    <row r="806" ht="22.5" customHeight="1">
      <c r="A806" s="27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5"/>
    </row>
    <row r="807" ht="22.5" customHeight="1">
      <c r="A807" s="28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1"/>
    </row>
    <row r="808" ht="22.5" customHeight="1">
      <c r="A808" s="27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5"/>
    </row>
    <row r="809" ht="22.5" customHeight="1">
      <c r="A809" s="28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1"/>
    </row>
    <row r="810" ht="22.5" customHeight="1">
      <c r="A810" s="27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5"/>
    </row>
    <row r="811" ht="22.5" customHeight="1">
      <c r="A811" s="28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1"/>
    </row>
    <row r="812" ht="22.5" customHeight="1">
      <c r="A812" s="27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5"/>
    </row>
    <row r="813" ht="22.5" customHeight="1">
      <c r="A813" s="28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1"/>
    </row>
    <row r="814" ht="22.5" customHeight="1">
      <c r="A814" s="27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5"/>
    </row>
    <row r="815" ht="22.5" customHeight="1">
      <c r="A815" s="28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1"/>
    </row>
    <row r="816" ht="22.5" customHeight="1">
      <c r="A816" s="27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5"/>
    </row>
    <row r="817" ht="22.5" customHeight="1">
      <c r="A817" s="28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1"/>
    </row>
    <row r="818" ht="22.5" customHeight="1">
      <c r="A818" s="27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5"/>
    </row>
    <row r="819" ht="22.5" customHeight="1">
      <c r="A819" s="28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1"/>
    </row>
    <row r="820" ht="22.5" customHeight="1">
      <c r="A820" s="27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5"/>
    </row>
    <row r="821" ht="22.5" customHeight="1">
      <c r="A821" s="28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1"/>
    </row>
    <row r="822" ht="22.5" customHeight="1">
      <c r="A822" s="27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5"/>
    </row>
    <row r="823" ht="22.5" customHeight="1">
      <c r="A823" s="28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1"/>
    </row>
    <row r="824" ht="22.5" customHeight="1">
      <c r="A824" s="27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5"/>
    </row>
    <row r="825" ht="22.5" customHeight="1">
      <c r="A825" s="28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1"/>
    </row>
    <row r="826" ht="22.5" customHeight="1">
      <c r="A826" s="27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5"/>
    </row>
    <row r="827" ht="22.5" customHeight="1">
      <c r="A827" s="28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1"/>
    </row>
    <row r="828" ht="22.5" customHeight="1">
      <c r="A828" s="27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5"/>
    </row>
    <row r="829" ht="22.5" customHeight="1">
      <c r="A829" s="28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1"/>
    </row>
    <row r="830" ht="22.5" customHeight="1">
      <c r="A830" s="27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5"/>
    </row>
    <row r="831" ht="22.5" customHeight="1">
      <c r="A831" s="28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1"/>
    </row>
    <row r="832" ht="22.5" customHeight="1">
      <c r="A832" s="27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5"/>
    </row>
    <row r="833" ht="22.5" customHeight="1">
      <c r="A833" s="28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1"/>
    </row>
    <row r="834" ht="22.5" customHeight="1">
      <c r="A834" s="27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5"/>
    </row>
    <row r="835" ht="22.5" customHeight="1">
      <c r="A835" s="28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1"/>
    </row>
    <row r="836" ht="22.5" customHeight="1">
      <c r="A836" s="27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5"/>
    </row>
    <row r="837" ht="22.5" customHeight="1">
      <c r="A837" s="28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1"/>
    </row>
    <row r="838" ht="22.5" customHeight="1">
      <c r="A838" s="27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5"/>
    </row>
    <row r="839" ht="22.5" customHeight="1">
      <c r="A839" s="28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1"/>
    </row>
    <row r="840" ht="22.5" customHeight="1">
      <c r="A840" s="27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5"/>
    </row>
    <row r="841" ht="22.5" customHeight="1">
      <c r="A841" s="28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1"/>
    </row>
    <row r="842" ht="22.5" customHeight="1">
      <c r="A842" s="27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5"/>
    </row>
    <row r="843" ht="22.5" customHeight="1">
      <c r="A843" s="28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1"/>
    </row>
    <row r="844" ht="22.5" customHeight="1">
      <c r="A844" s="27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5"/>
    </row>
    <row r="845" ht="22.5" customHeight="1">
      <c r="A845" s="28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1"/>
    </row>
    <row r="846" ht="22.5" customHeight="1">
      <c r="A846" s="27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5"/>
    </row>
    <row r="847" ht="22.5" customHeight="1">
      <c r="A847" s="28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1"/>
    </row>
    <row r="848" ht="22.5" customHeight="1">
      <c r="A848" s="27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5"/>
    </row>
    <row r="849" ht="22.5" customHeight="1">
      <c r="A849" s="28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1"/>
    </row>
    <row r="850" ht="22.5" customHeight="1">
      <c r="A850" s="27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5"/>
    </row>
    <row r="851" ht="22.5" customHeight="1">
      <c r="A851" s="28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1"/>
    </row>
    <row r="852" ht="22.5" customHeight="1">
      <c r="A852" s="27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5"/>
    </row>
    <row r="853" ht="22.5" customHeight="1">
      <c r="A853" s="28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1"/>
    </row>
    <row r="854" ht="22.5" customHeight="1">
      <c r="A854" s="27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5"/>
    </row>
    <row r="855" ht="22.5" customHeight="1">
      <c r="A855" s="28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1"/>
    </row>
    <row r="856" ht="22.5" customHeight="1">
      <c r="A856" s="27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5"/>
    </row>
    <row r="857" ht="22.5" customHeight="1">
      <c r="A857" s="28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1"/>
    </row>
    <row r="858" ht="22.5" customHeight="1">
      <c r="A858" s="27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5"/>
    </row>
    <row r="859" ht="22.5" customHeight="1">
      <c r="A859" s="28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1"/>
    </row>
    <row r="860" ht="22.5" customHeight="1">
      <c r="A860" s="27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5"/>
    </row>
    <row r="861" ht="22.5" customHeight="1">
      <c r="A861" s="28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1"/>
    </row>
    <row r="862" ht="22.5" customHeight="1">
      <c r="A862" s="27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5"/>
    </row>
    <row r="863" ht="22.5" customHeight="1">
      <c r="A863" s="28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1"/>
    </row>
    <row r="864" ht="22.5" customHeight="1">
      <c r="A864" s="27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5"/>
    </row>
    <row r="865" ht="22.5" customHeight="1">
      <c r="A865" s="28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1"/>
    </row>
    <row r="866" ht="22.5" customHeight="1">
      <c r="A866" s="27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5"/>
    </row>
    <row r="867" ht="22.5" customHeight="1">
      <c r="A867" s="28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1"/>
    </row>
    <row r="868" ht="22.5" customHeight="1">
      <c r="A868" s="27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5"/>
    </row>
    <row r="869" ht="22.5" customHeight="1">
      <c r="A869" s="28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1"/>
    </row>
    <row r="870" ht="22.5" customHeight="1">
      <c r="A870" s="27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5"/>
    </row>
    <row r="871" ht="22.5" customHeight="1">
      <c r="A871" s="28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1"/>
    </row>
    <row r="872" ht="22.5" customHeight="1">
      <c r="A872" s="27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5"/>
    </row>
    <row r="873" ht="22.5" customHeight="1">
      <c r="A873" s="28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1"/>
    </row>
    <row r="874" ht="22.5" customHeight="1">
      <c r="A874" s="27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5"/>
    </row>
    <row r="875" ht="22.5" customHeight="1">
      <c r="A875" s="28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1"/>
    </row>
    <row r="876" ht="22.5" customHeight="1">
      <c r="A876" s="27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5"/>
    </row>
    <row r="877" ht="22.5" customHeight="1">
      <c r="A877" s="28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1"/>
    </row>
    <row r="878" ht="22.5" customHeight="1">
      <c r="A878" s="27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5"/>
    </row>
    <row r="879" ht="22.5" customHeight="1">
      <c r="A879" s="28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1"/>
    </row>
    <row r="880" ht="22.5" customHeight="1">
      <c r="A880" s="27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5"/>
    </row>
    <row r="881" ht="22.5" customHeight="1">
      <c r="A881" s="28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1"/>
    </row>
    <row r="882" ht="22.5" customHeight="1">
      <c r="A882" s="27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5"/>
    </row>
    <row r="883" ht="22.5" customHeight="1">
      <c r="A883" s="28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1"/>
    </row>
    <row r="884" ht="22.5" customHeight="1">
      <c r="A884" s="27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5"/>
    </row>
    <row r="885" ht="22.5" customHeight="1">
      <c r="A885" s="28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1"/>
    </row>
    <row r="886" ht="22.5" customHeight="1">
      <c r="A886" s="27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5"/>
    </row>
    <row r="887" ht="22.5" customHeight="1">
      <c r="A887" s="28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1"/>
    </row>
    <row r="888" ht="22.5" customHeight="1">
      <c r="A888" s="27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5"/>
    </row>
    <row r="889" ht="22.5" customHeight="1">
      <c r="A889" s="28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1"/>
    </row>
    <row r="890" ht="22.5" customHeight="1">
      <c r="A890" s="27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5"/>
    </row>
    <row r="891" ht="22.5" customHeight="1">
      <c r="A891" s="28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1"/>
    </row>
    <row r="892" ht="22.5" customHeight="1">
      <c r="A892" s="27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5"/>
    </row>
    <row r="893" ht="22.5" customHeight="1">
      <c r="A893" s="28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1"/>
    </row>
    <row r="894" ht="22.5" customHeight="1">
      <c r="A894" s="27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5"/>
    </row>
    <row r="895" ht="22.5" customHeight="1">
      <c r="A895" s="28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1"/>
    </row>
    <row r="896" ht="22.5" customHeight="1">
      <c r="A896" s="27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5"/>
    </row>
    <row r="897" ht="22.5" customHeight="1">
      <c r="A897" s="28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1"/>
    </row>
    <row r="898" ht="22.5" customHeight="1">
      <c r="A898" s="27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5"/>
    </row>
    <row r="899" ht="22.5" customHeight="1">
      <c r="A899" s="28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1"/>
    </row>
    <row r="900" ht="22.5" customHeight="1">
      <c r="A900" s="27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5"/>
    </row>
    <row r="901" ht="22.5" customHeight="1">
      <c r="A901" s="28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1"/>
    </row>
    <row r="902" ht="22.5" customHeight="1">
      <c r="A902" s="27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5"/>
    </row>
    <row r="903" ht="22.5" customHeight="1">
      <c r="A903" s="28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1"/>
    </row>
    <row r="904" ht="22.5" customHeight="1">
      <c r="A904" s="27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5"/>
    </row>
    <row r="905" ht="22.5" customHeight="1">
      <c r="A905" s="28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1"/>
    </row>
    <row r="906" ht="22.5" customHeight="1">
      <c r="A906" s="27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5"/>
    </row>
    <row r="907" ht="22.5" customHeight="1">
      <c r="A907" s="28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1"/>
    </row>
    <row r="908" ht="22.5" customHeight="1">
      <c r="A908" s="27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5"/>
    </row>
    <row r="909" ht="22.5" customHeight="1">
      <c r="A909" s="28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1"/>
    </row>
    <row r="910" ht="22.5" customHeight="1">
      <c r="A910" s="27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5"/>
    </row>
    <row r="911" ht="22.5" customHeight="1">
      <c r="A911" s="28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1"/>
    </row>
    <row r="912" ht="22.5" customHeight="1">
      <c r="A912" s="27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5"/>
    </row>
    <row r="913" ht="22.5" customHeight="1">
      <c r="A913" s="28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1"/>
    </row>
    <row r="914" ht="22.5" customHeight="1">
      <c r="A914" s="27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5"/>
    </row>
    <row r="915" ht="22.5" customHeight="1">
      <c r="A915" s="28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1"/>
    </row>
    <row r="916" ht="22.5" customHeight="1">
      <c r="A916" s="27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5"/>
    </row>
    <row r="917" ht="22.5" customHeight="1">
      <c r="A917" s="28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1"/>
    </row>
    <row r="918" ht="22.5" customHeight="1">
      <c r="A918" s="27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5"/>
    </row>
    <row r="919" ht="22.5" customHeight="1">
      <c r="A919" s="28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1"/>
    </row>
    <row r="920" ht="22.5" customHeight="1">
      <c r="A920" s="27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5"/>
    </row>
    <row r="921" ht="22.5" customHeight="1">
      <c r="A921" s="28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1"/>
    </row>
    <row r="922" ht="22.5" customHeight="1">
      <c r="A922" s="27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5"/>
    </row>
    <row r="923" ht="22.5" customHeight="1">
      <c r="A923" s="28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1"/>
    </row>
    <row r="924" ht="22.5" customHeight="1">
      <c r="A924" s="27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5"/>
    </row>
    <row r="925" ht="22.5" customHeight="1">
      <c r="A925" s="28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1"/>
    </row>
    <row r="926" ht="22.5" customHeight="1">
      <c r="A926" s="27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5"/>
    </row>
    <row r="927" ht="22.5" customHeight="1">
      <c r="A927" s="28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1"/>
    </row>
    <row r="928" ht="22.5" customHeight="1">
      <c r="A928" s="27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5"/>
    </row>
    <row r="929" ht="22.5" customHeight="1">
      <c r="A929" s="28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1"/>
    </row>
    <row r="930" ht="22.5" customHeight="1">
      <c r="A930" s="27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5"/>
    </row>
    <row r="931" ht="22.5" customHeight="1">
      <c r="A931" s="28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1"/>
    </row>
    <row r="932" ht="22.5" customHeight="1">
      <c r="A932" s="27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5"/>
    </row>
    <row r="933" ht="22.5" customHeight="1">
      <c r="A933" s="28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1"/>
    </row>
    <row r="934" ht="22.5" customHeight="1">
      <c r="A934" s="27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5"/>
    </row>
    <row r="935" ht="22.5" customHeight="1">
      <c r="A935" s="28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1"/>
    </row>
    <row r="936" ht="22.5" customHeight="1">
      <c r="A936" s="27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5"/>
    </row>
    <row r="937" ht="22.5" customHeight="1">
      <c r="A937" s="28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1"/>
    </row>
    <row r="938" ht="22.5" customHeight="1">
      <c r="A938" s="27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5"/>
    </row>
    <row r="939" ht="22.5" customHeight="1">
      <c r="A939" s="28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1"/>
    </row>
    <row r="940" ht="22.5" customHeight="1">
      <c r="A940" s="27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5"/>
    </row>
    <row r="941" ht="22.5" customHeight="1">
      <c r="A941" s="28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1"/>
    </row>
    <row r="942" ht="22.5" customHeight="1">
      <c r="A942" s="27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5"/>
    </row>
    <row r="943" ht="22.5" customHeight="1">
      <c r="A943" s="28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1"/>
    </row>
    <row r="944" ht="22.5" customHeight="1">
      <c r="A944" s="27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5"/>
    </row>
    <row r="945" ht="22.5" customHeight="1">
      <c r="A945" s="28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1"/>
    </row>
    <row r="946" ht="22.5" customHeight="1">
      <c r="A946" s="27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5"/>
    </row>
    <row r="947" ht="22.5" customHeight="1">
      <c r="A947" s="28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1"/>
    </row>
    <row r="948" ht="22.5" customHeight="1">
      <c r="A948" s="27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5"/>
    </row>
    <row r="949" ht="22.5" customHeight="1">
      <c r="A949" s="28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1"/>
    </row>
    <row r="950" ht="22.5" customHeight="1">
      <c r="A950" s="27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5"/>
    </row>
    <row r="951" ht="22.5" customHeight="1">
      <c r="A951" s="28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1"/>
    </row>
    <row r="952" ht="22.5" customHeight="1">
      <c r="A952" s="27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5"/>
    </row>
    <row r="953" ht="22.5" customHeight="1">
      <c r="A953" s="28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1"/>
    </row>
    <row r="954" ht="22.5" customHeight="1">
      <c r="A954" s="27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5"/>
    </row>
    <row r="955" ht="22.5" customHeight="1">
      <c r="A955" s="28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1"/>
    </row>
    <row r="956" ht="22.5" customHeight="1">
      <c r="A956" s="27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5"/>
    </row>
    <row r="957" ht="22.5" customHeight="1">
      <c r="A957" s="28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1"/>
    </row>
    <row r="958" ht="22.5" customHeight="1">
      <c r="A958" s="27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5"/>
    </row>
    <row r="959" ht="22.5" customHeight="1">
      <c r="A959" s="28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1"/>
    </row>
    <row r="960" ht="22.5" customHeight="1">
      <c r="A960" s="27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5"/>
    </row>
    <row r="961" ht="22.5" customHeight="1">
      <c r="A961" s="28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1"/>
    </row>
    <row r="962" ht="22.5" customHeight="1">
      <c r="A962" s="27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5"/>
    </row>
    <row r="963" ht="22.5" customHeight="1">
      <c r="A963" s="28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1"/>
    </row>
    <row r="964" ht="22.5" customHeight="1">
      <c r="A964" s="27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5"/>
    </row>
    <row r="965" ht="22.5" customHeight="1">
      <c r="A965" s="28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1"/>
    </row>
    <row r="966" ht="22.5" customHeight="1">
      <c r="A966" s="27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5"/>
    </row>
    <row r="967" ht="22.5" customHeight="1">
      <c r="A967" s="28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1"/>
    </row>
    <row r="968" ht="22.5" customHeight="1">
      <c r="A968" s="27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5"/>
    </row>
    <row r="969" ht="22.5" customHeight="1">
      <c r="A969" s="28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1"/>
    </row>
    <row r="970" ht="22.5" customHeight="1">
      <c r="A970" s="27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5"/>
    </row>
    <row r="971" ht="22.5" customHeight="1">
      <c r="A971" s="28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1"/>
    </row>
    <row r="972" ht="22.5" customHeight="1">
      <c r="A972" s="27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5"/>
    </row>
    <row r="973" ht="22.5" customHeight="1">
      <c r="A973" s="28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1"/>
    </row>
    <row r="974" ht="22.5" customHeight="1">
      <c r="A974" s="27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5"/>
    </row>
    <row r="975" ht="22.5" customHeight="1">
      <c r="A975" s="28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1"/>
    </row>
    <row r="976" ht="22.5" customHeight="1">
      <c r="A976" s="27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5"/>
    </row>
    <row r="977" ht="22.5" customHeight="1">
      <c r="A977" s="28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1"/>
    </row>
    <row r="978" ht="22.5" customHeight="1">
      <c r="A978" s="27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5"/>
    </row>
    <row r="979" ht="22.5" customHeight="1">
      <c r="A979" s="28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1"/>
    </row>
    <row r="980" ht="22.5" customHeight="1">
      <c r="A980" s="27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5"/>
    </row>
    <row r="981" ht="22.5" customHeight="1">
      <c r="A981" s="28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1"/>
    </row>
    <row r="982" ht="22.5" customHeight="1">
      <c r="A982" s="27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5"/>
    </row>
    <row r="983" ht="22.5" customHeight="1">
      <c r="A983" s="28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1"/>
    </row>
    <row r="984" ht="22.5" customHeight="1">
      <c r="A984" s="27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5"/>
    </row>
    <row r="985" ht="22.5" customHeight="1">
      <c r="A985" s="28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1"/>
    </row>
    <row r="986" ht="22.5" customHeight="1">
      <c r="A986" s="27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5"/>
    </row>
    <row r="987" ht="22.5" customHeight="1">
      <c r="A987" s="28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1"/>
    </row>
    <row r="988" ht="22.5" customHeight="1">
      <c r="A988" s="27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5"/>
    </row>
    <row r="989" ht="22.5" customHeight="1">
      <c r="A989" s="28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1"/>
    </row>
    <row r="990" ht="22.5" customHeight="1">
      <c r="A990" s="27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5"/>
    </row>
    <row r="991" ht="22.5" customHeight="1">
      <c r="A991" s="28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1"/>
    </row>
    <row r="992" ht="22.5" customHeight="1">
      <c r="A992" s="27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5"/>
    </row>
    <row r="993" ht="22.5" customHeight="1">
      <c r="A993" s="28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1"/>
    </row>
    <row r="994" ht="22.5" customHeight="1">
      <c r="A994" s="27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5"/>
    </row>
    <row r="995" ht="22.5" customHeight="1">
      <c r="A995" s="28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1"/>
    </row>
    <row r="996" ht="22.5" customHeight="1">
      <c r="A996" s="27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5"/>
    </row>
    <row r="997" ht="22.5" customHeight="1">
      <c r="A997" s="28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1"/>
    </row>
    <row r="998" ht="22.5" customHeight="1">
      <c r="A998" s="27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5"/>
    </row>
    <row r="999" ht="22.5" customHeight="1">
      <c r="A999" s="28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1"/>
    </row>
    <row r="1000" ht="22.5" customHeight="1">
      <c r="A1000" s="27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5"/>
    </row>
    <row r="1001" ht="22.5" customHeight="1">
      <c r="A1001" s="29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1"/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57"/>
    <col customWidth="1" min="2" max="2" width="7.71"/>
    <col customWidth="1" min="3" max="3" width="41.29"/>
    <col customWidth="1" min="4" max="4" width="20.86"/>
    <col customWidth="1" min="5" max="5" width="13.29"/>
    <col customWidth="1" min="6" max="6" width="9.57"/>
    <col customWidth="1" min="7" max="7" width="54.14"/>
    <col customWidth="1" min="8" max="8" width="10.57"/>
    <col customWidth="1" min="9" max="26" width="36.57"/>
  </cols>
  <sheetData>
    <row r="1">
      <c r="A1" s="32" t="s">
        <v>411</v>
      </c>
      <c r="B1" s="33" t="s">
        <v>7</v>
      </c>
      <c r="C1" s="33" t="s">
        <v>412</v>
      </c>
      <c r="D1" s="33" t="s">
        <v>413</v>
      </c>
      <c r="E1" s="33" t="s">
        <v>11</v>
      </c>
      <c r="F1" s="34" t="s">
        <v>414</v>
      </c>
      <c r="G1" s="34" t="s">
        <v>415</v>
      </c>
      <c r="H1" s="34" t="s">
        <v>1</v>
      </c>
      <c r="I1" s="33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>
      <c r="A2" s="35" t="str">
        <f>IFERROR(__xludf.DUMMYFUNCTION("QUERY(CandidatosFilaDeEspera!A1:M1599, ""SELECT Col10, Col8, Col11, Col13, Col12, Col5, Col3, Col2 where Col5 = 'INFANTIL 1' OR Col5 = 'INFANTIL 2' OR Col5 = 'INFANTIL 3'"",0)"),"24/03/2026 13:31:53")</f>
        <v>24/03/2026 13:31:53</v>
      </c>
      <c r="B2" s="35" t="str">
        <f>IFERROR(__xludf.DUMMYFUNCTION("""COMPUTED_VALUE"""),"1")</f>
        <v>1</v>
      </c>
      <c r="C2" s="36" t="str">
        <f>IFERROR(__xludf.DUMMYFUNCTION("""COMPUTED_VALUE"""),"MARIA EDUARDA SANTANA FELIX DA SILVA")</f>
        <v>MARIA EDUARDA SANTANA FELIX DA SILVA</v>
      </c>
      <c r="D2" s="35" t="str">
        <f>IFERROR(__xludf.DUMMYFUNCTION("""COMPUTED_VALUE"""),"09/06/2024")</f>
        <v>09/06/2024</v>
      </c>
      <c r="E2" s="35" t="str">
        <f>IFERROR(__xludf.DUMMYFUNCTION("""COMPUTED_VALUE"""),"004.110.684-90")</f>
        <v>004.110.684-90</v>
      </c>
      <c r="F2" s="35" t="str">
        <f>IFERROR(__xludf.DUMMYFUNCTION("""COMPUTED_VALUE"""),"INFANTIL 1")</f>
        <v>INFANTIL 1</v>
      </c>
      <c r="G2" s="35" t="str">
        <f>IFERROR(__xludf.DUMMYFUNCTION("""COMPUTED_VALUE"""),"CEMEI DR. PAULO MENDES")</f>
        <v>CEMEI DR. PAULO MENDES</v>
      </c>
      <c r="H2" s="35" t="str">
        <f>IFERROR(__xludf.DUMMYFUNCTION("""COMPUTED_VALUE"""),"REGIONAL 7")</f>
        <v>REGIONAL 7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>
      <c r="A3" s="35" t="str">
        <f>IFERROR(__xludf.DUMMYFUNCTION("""COMPUTED_VALUE"""),"27/03/2026 12:51:51")</f>
        <v>27/03/2026 12:51:51</v>
      </c>
      <c r="B3" s="35" t="str">
        <f>IFERROR(__xludf.DUMMYFUNCTION("""COMPUTED_VALUE"""),"2")</f>
        <v>2</v>
      </c>
      <c r="C3" s="36" t="str">
        <f>IFERROR(__xludf.DUMMYFUNCTION("""COMPUTED_VALUE"""),"OLIVER BENJAMIN DA SILVA LIMA")</f>
        <v>OLIVER BENJAMIN DA SILVA LIMA</v>
      </c>
      <c r="D3" s="35" t="str">
        <f>IFERROR(__xludf.DUMMYFUNCTION("""COMPUTED_VALUE"""),"13/11/2025")</f>
        <v>13/11/2025</v>
      </c>
      <c r="E3" s="35" t="str">
        <f>IFERROR(__xludf.DUMMYFUNCTION("""COMPUTED_VALUE"""),"022.780.734-00")</f>
        <v>022.780.734-00</v>
      </c>
      <c r="F3" s="35" t="str">
        <f>IFERROR(__xludf.DUMMYFUNCTION("""COMPUTED_VALUE"""),"INFANTIL 1")</f>
        <v>INFANTIL 1</v>
      </c>
      <c r="G3" s="35" t="str">
        <f>IFERROR(__xludf.DUMMYFUNCTION("""COMPUTED_VALUE"""),"CEMEI DR. PAULO MENDES")</f>
        <v>CEMEI DR. PAULO MENDES</v>
      </c>
      <c r="H3" s="35" t="str">
        <f>IFERROR(__xludf.DUMMYFUNCTION("""COMPUTED_VALUE"""),"REGIONAL 7")</f>
        <v>REGIONAL 7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>
      <c r="A4" s="35" t="str">
        <f>IFERROR(__xludf.DUMMYFUNCTION("""COMPUTED_VALUE"""),"21/05/2026 11:32:39")</f>
        <v>21/05/2026 11:32:39</v>
      </c>
      <c r="B4" s="35" t="str">
        <f>IFERROR(__xludf.DUMMYFUNCTION("""COMPUTED_VALUE"""),"3")</f>
        <v>3</v>
      </c>
      <c r="C4" s="36" t="str">
        <f>IFERROR(__xludf.DUMMYFUNCTION("""COMPUTED_VALUE"""),"KAUÊ HENRIQUE DE ARAÚJO SILVA")</f>
        <v>KAUÊ HENRIQUE DE ARAÚJO SILVA</v>
      </c>
      <c r="D4" s="35" t="str">
        <f>IFERROR(__xludf.DUMMYFUNCTION("""COMPUTED_VALUE"""),"01/04/2024")</f>
        <v>01/04/2024</v>
      </c>
      <c r="E4" s="35" t="str">
        <f>IFERROR(__xludf.DUMMYFUNCTION("""COMPUTED_VALUE"""),"002.527.454-69")</f>
        <v>002.527.454-69</v>
      </c>
      <c r="F4" s="35" t="str">
        <f>IFERROR(__xludf.DUMMYFUNCTION("""COMPUTED_VALUE"""),"INFANTIL 1")</f>
        <v>INFANTIL 1</v>
      </c>
      <c r="G4" s="35" t="str">
        <f>IFERROR(__xludf.DUMMYFUNCTION("""COMPUTED_VALUE"""),"CEMEI DR. PAULO MENDES")</f>
        <v>CEMEI DR. PAULO MENDES</v>
      </c>
      <c r="H4" s="35" t="str">
        <f>IFERROR(__xludf.DUMMYFUNCTION("""COMPUTED_VALUE"""),"REGIONAL 7")</f>
        <v>REGIONAL 7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>
      <c r="A5" s="35" t="str">
        <f>IFERROR(__xludf.DUMMYFUNCTION("""COMPUTED_VALUE"""),"22/05/2026 09:22:30")</f>
        <v>22/05/2026 09:22:30</v>
      </c>
      <c r="B5" s="35" t="str">
        <f>IFERROR(__xludf.DUMMYFUNCTION("""COMPUTED_VALUE"""),"4")</f>
        <v>4</v>
      </c>
      <c r="C5" s="36" t="str">
        <f>IFERROR(__xludf.DUMMYFUNCTION("""COMPUTED_VALUE"""),"Aylla Eduarda Marques da Silva")</f>
        <v>Aylla Eduarda Marques da Silva</v>
      </c>
      <c r="D5" s="35" t="str">
        <f>IFERROR(__xludf.DUMMYFUNCTION("""COMPUTED_VALUE"""),"27/07/2024")</f>
        <v>27/07/2024</v>
      </c>
      <c r="E5" s="35" t="str">
        <f>IFERROR(__xludf.DUMMYFUNCTION("""COMPUTED_VALUE"""),"003.643.684-46")</f>
        <v>003.643.684-46</v>
      </c>
      <c r="F5" s="35" t="str">
        <f>IFERROR(__xludf.DUMMYFUNCTION("""COMPUTED_VALUE"""),"INFANTIL 1")</f>
        <v>INFANTIL 1</v>
      </c>
      <c r="G5" s="35" t="str">
        <f>IFERROR(__xludf.DUMMYFUNCTION("""COMPUTED_VALUE"""),"CEMEI DR. PAULO MENDES")</f>
        <v>CEMEI DR. PAULO MENDES</v>
      </c>
      <c r="H5" s="35" t="str">
        <f>IFERROR(__xludf.DUMMYFUNCTION("""COMPUTED_VALUE"""),"REGIONAL 7")</f>
        <v>REGIONAL 7</v>
      </c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>
      <c r="A6" s="35" t="str">
        <f>IFERROR(__xludf.DUMMYFUNCTION("""COMPUTED_VALUE"""),"23/06/2026 09:32:02")</f>
        <v>23/06/2026 09:32:02</v>
      </c>
      <c r="B6" s="35" t="str">
        <f>IFERROR(__xludf.DUMMYFUNCTION("""COMPUTED_VALUE"""),"5")</f>
        <v>5</v>
      </c>
      <c r="C6" s="36" t="str">
        <f>IFERROR(__xludf.DUMMYFUNCTION("""COMPUTED_VALUE"""),"MARIANA LEANDRA TOMAZ DE MELO")</f>
        <v>MARIANA LEANDRA TOMAZ DE MELO</v>
      </c>
      <c r="D6" s="35" t="str">
        <f>IFERROR(__xludf.DUMMYFUNCTION("""COMPUTED_VALUE"""),"25/11/2024")</f>
        <v>25/11/2024</v>
      </c>
      <c r="E6" s="35" t="str">
        <f>IFERROR(__xludf.DUMMYFUNCTION("""COMPUTED_VALUE"""),"004.786.214-93")</f>
        <v>004.786.214-93</v>
      </c>
      <c r="F6" s="35" t="str">
        <f>IFERROR(__xludf.DUMMYFUNCTION("""COMPUTED_VALUE"""),"INFANTIL 1")</f>
        <v>INFANTIL 1</v>
      </c>
      <c r="G6" s="35" t="str">
        <f>IFERROR(__xludf.DUMMYFUNCTION("""COMPUTED_VALUE"""),"CEMEI DR. PAULO MENDES")</f>
        <v>CEMEI DR. PAULO MENDES</v>
      </c>
      <c r="H6" s="35" t="str">
        <f>IFERROR(__xludf.DUMMYFUNCTION("""COMPUTED_VALUE"""),"REGIONAL 7")</f>
        <v>REGIONAL 7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>
      <c r="A7" s="35" t="str">
        <f>IFERROR(__xludf.DUMMYFUNCTION("""COMPUTED_VALUE"""),"23/06/2026 09:36:48")</f>
        <v>23/06/2026 09:36:48</v>
      </c>
      <c r="B7" s="35" t="str">
        <f>IFERROR(__xludf.DUMMYFUNCTION("""COMPUTED_VALUE"""),"6")</f>
        <v>6</v>
      </c>
      <c r="C7" s="36" t="str">
        <f>IFERROR(__xludf.DUMMYFUNCTION("""COMPUTED_VALUE"""),"FERNANDA LEANDRA TOMAZ DE MELO")</f>
        <v>FERNANDA LEANDRA TOMAZ DE MELO</v>
      </c>
      <c r="D7" s="35" t="str">
        <f>IFERROR(__xludf.DUMMYFUNCTION("""COMPUTED_VALUE"""),"25/11/2024")</f>
        <v>25/11/2024</v>
      </c>
      <c r="E7" s="35" t="str">
        <f>IFERROR(__xludf.DUMMYFUNCTION("""COMPUTED_VALUE"""),"004.785.384-05")</f>
        <v>004.785.384-05</v>
      </c>
      <c r="F7" s="35" t="str">
        <f>IFERROR(__xludf.DUMMYFUNCTION("""COMPUTED_VALUE"""),"INFANTIL 1")</f>
        <v>INFANTIL 1</v>
      </c>
      <c r="G7" s="35" t="str">
        <f>IFERROR(__xludf.DUMMYFUNCTION("""COMPUTED_VALUE"""),"CEMEI DR. PAULO MENDES")</f>
        <v>CEMEI DR. PAULO MENDES</v>
      </c>
      <c r="H7" s="35" t="str">
        <f>IFERROR(__xludf.DUMMYFUNCTION("""COMPUTED_VALUE"""),"REGIONAL 7")</f>
        <v>REGIONAL 7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>
      <c r="A8" s="35" t="str">
        <f>IFERROR(__xludf.DUMMYFUNCTION("""COMPUTED_VALUE"""),"10/06/2026 11:22:14")</f>
        <v>10/06/2026 11:22:14</v>
      </c>
      <c r="B8" s="35" t="str">
        <f>IFERROR(__xludf.DUMMYFUNCTION("""COMPUTED_VALUE"""),"1")</f>
        <v>1</v>
      </c>
      <c r="C8" s="36" t="str">
        <f>IFERROR(__xludf.DUMMYFUNCTION("""COMPUTED_VALUE"""),"BRUNO GABRIEL SOARES DA SILVA")</f>
        <v>BRUNO GABRIEL SOARES DA SILVA</v>
      </c>
      <c r="D8" s="35" t="str">
        <f>IFERROR(__xludf.DUMMYFUNCTION("""COMPUTED_VALUE"""),"10/11/2023")</f>
        <v>10/11/2023</v>
      </c>
      <c r="E8" s="35" t="str">
        <f>IFERROR(__xludf.DUMMYFUNCTION("""COMPUTED_VALUE"""),"001.026.744-18")</f>
        <v>001.026.744-18</v>
      </c>
      <c r="F8" s="35" t="str">
        <f>IFERROR(__xludf.DUMMYFUNCTION("""COMPUTED_VALUE"""),"INFANTIL 2")</f>
        <v>INFANTIL 2</v>
      </c>
      <c r="G8" s="35" t="str">
        <f>IFERROR(__xludf.DUMMYFUNCTION("""COMPUTED_VALUE"""),"CEMEI DR. PAULO MENDES")</f>
        <v>CEMEI DR. PAULO MENDES</v>
      </c>
      <c r="H8" s="35" t="str">
        <f>IFERROR(__xludf.DUMMYFUNCTION("""COMPUTED_VALUE"""),"REGIONAL 7")</f>
        <v>REGIONAL 7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>
      <c r="A9" s="35" t="str">
        <f>IFERROR(__xludf.DUMMYFUNCTION("""COMPUTED_VALUE"""),"05/03/2026 14:41:21")</f>
        <v>05/03/2026 14:41:21</v>
      </c>
      <c r="B9" s="35" t="str">
        <f>IFERROR(__xludf.DUMMYFUNCTION("""COMPUTED_VALUE"""),"1")</f>
        <v>1</v>
      </c>
      <c r="C9" s="36" t="str">
        <f>IFERROR(__xludf.DUMMYFUNCTION("""COMPUTED_VALUE"""),"ISABELLY LUÍZA GONÇALVES DA SILVA")</f>
        <v>ISABELLY LUÍZA GONÇALVES DA SILVA</v>
      </c>
      <c r="D9" s="35" t="str">
        <f>IFERROR(__xludf.DUMMYFUNCTION("""COMPUTED_VALUE"""),"04/03/2023")</f>
        <v>04/03/2023</v>
      </c>
      <c r="E9" s="35" t="str">
        <f>IFERROR(__xludf.DUMMYFUNCTION("""COMPUTED_VALUE"""),"184.641.384-23")</f>
        <v>184.641.384-23</v>
      </c>
      <c r="F9" s="35" t="str">
        <f>IFERROR(__xludf.DUMMYFUNCTION("""COMPUTED_VALUE"""),"INFANTIL 3")</f>
        <v>INFANTIL 3</v>
      </c>
      <c r="G9" s="35" t="str">
        <f>IFERROR(__xludf.DUMMYFUNCTION("""COMPUTED_VALUE"""),"CEMEI DR. PAULO MENDES")</f>
        <v>CEMEI DR. PAULO MENDES</v>
      </c>
      <c r="H9" s="35" t="str">
        <f>IFERROR(__xludf.DUMMYFUNCTION("""COMPUTED_VALUE"""),"REGIONAL 7")</f>
        <v>REGIONAL 7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>
      <c r="A10" s="35" t="str">
        <f>IFERROR(__xludf.DUMMYFUNCTION("""COMPUTED_VALUE"""),"15/05/2026 11:07:04")</f>
        <v>15/05/2026 11:07:04</v>
      </c>
      <c r="B10" s="35" t="str">
        <f>IFERROR(__xludf.DUMMYFUNCTION("""COMPUTED_VALUE"""),"2")</f>
        <v>2</v>
      </c>
      <c r="C10" s="36" t="str">
        <f>IFERROR(__xludf.DUMMYFUNCTION("""COMPUTED_VALUE"""),"AUGUSTO MENDES DE BARROS")</f>
        <v>AUGUSTO MENDES DE BARROS</v>
      </c>
      <c r="D10" s="35" t="str">
        <f>IFERROR(__xludf.DUMMYFUNCTION("""COMPUTED_VALUE"""),"04/08/2022")</f>
        <v>04/08/2022</v>
      </c>
      <c r="E10" s="35" t="str">
        <f>IFERROR(__xludf.DUMMYFUNCTION("""COMPUTED_VALUE"""),"182.434.044-30")</f>
        <v>182.434.044-30</v>
      </c>
      <c r="F10" s="35" t="str">
        <f>IFERROR(__xludf.DUMMYFUNCTION("""COMPUTED_VALUE"""),"INFANTIL 3")</f>
        <v>INFANTIL 3</v>
      </c>
      <c r="G10" s="35" t="str">
        <f>IFERROR(__xludf.DUMMYFUNCTION("""COMPUTED_VALUE"""),"CEMEI DR. PAULO MENDES")</f>
        <v>CEMEI DR. PAULO MENDES</v>
      </c>
      <c r="H10" s="35" t="str">
        <f>IFERROR(__xludf.DUMMYFUNCTION("""COMPUTED_VALUE"""),"REGIONAL 7")</f>
        <v>REGIONAL 7</v>
      </c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>
      <c r="A11" s="35" t="str">
        <f>IFERROR(__xludf.DUMMYFUNCTION("""COMPUTED_VALUE"""),"18/05/2026 09:15:19")</f>
        <v>18/05/2026 09:15:19</v>
      </c>
      <c r="B11" s="35" t="str">
        <f>IFERROR(__xludf.DUMMYFUNCTION("""COMPUTED_VALUE"""),"3")</f>
        <v>3</v>
      </c>
      <c r="C11" s="36" t="str">
        <f>IFERROR(__xludf.DUMMYFUNCTION("""COMPUTED_VALUE"""),"HELLOYSE VITÓRIA SANTOS DUARTE")</f>
        <v>HELLOYSE VITÓRIA SANTOS DUARTE</v>
      </c>
      <c r="D11" s="35" t="str">
        <f>IFERROR(__xludf.DUMMYFUNCTION("""COMPUTED_VALUE"""),"11/01/2023")</f>
        <v>11/01/2023</v>
      </c>
      <c r="E11" s="35" t="str">
        <f>IFERROR(__xludf.DUMMYFUNCTION("""COMPUTED_VALUE"""),"184.035.244-20")</f>
        <v>184.035.244-20</v>
      </c>
      <c r="F11" s="35" t="str">
        <f>IFERROR(__xludf.DUMMYFUNCTION("""COMPUTED_VALUE"""),"INFANTIL 3")</f>
        <v>INFANTIL 3</v>
      </c>
      <c r="G11" s="35" t="str">
        <f>IFERROR(__xludf.DUMMYFUNCTION("""COMPUTED_VALUE"""),"CEMEI DR. PAULO MENDES")</f>
        <v>CEMEI DR. PAULO MENDES</v>
      </c>
      <c r="H11" s="35" t="str">
        <f>IFERROR(__xludf.DUMMYFUNCTION("""COMPUTED_VALUE"""),"REGIONAL 7")</f>
        <v>REGIONAL 7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>
      <c r="A12" s="35" t="str">
        <f>IFERROR(__xludf.DUMMYFUNCTION("""COMPUTED_VALUE"""),"06/02/2026 09:17:41")</f>
        <v>06/02/2026 09:17:41</v>
      </c>
      <c r="B12" s="35" t="str">
        <f>IFERROR(__xludf.DUMMYFUNCTION("""COMPUTED_VALUE"""),"1")</f>
        <v>1</v>
      </c>
      <c r="C12" s="36" t="str">
        <f>IFERROR(__xludf.DUMMYFUNCTION("""COMPUTED_VALUE"""),"JOÃO VITOR CERQUEIRA CAMPOS")</f>
        <v>JOÃO VITOR CERQUEIRA CAMPOS</v>
      </c>
      <c r="D12" s="35" t="str">
        <f>IFERROR(__xludf.DUMMYFUNCTION("""COMPUTED_VALUE"""),"26/03/2023")</f>
        <v>26/03/2023</v>
      </c>
      <c r="E12" s="35" t="str">
        <f>IFERROR(__xludf.DUMMYFUNCTION("""COMPUTED_VALUE"""),"184.852.244-42")</f>
        <v>184.852.244-42</v>
      </c>
      <c r="F12" s="35" t="str">
        <f>IFERROR(__xludf.DUMMYFUNCTION("""COMPUTED_VALUE"""),"INFANTIL 3")</f>
        <v>INFANTIL 3</v>
      </c>
      <c r="G12" s="35" t="str">
        <f>IFERROR(__xludf.DUMMYFUNCTION("""COMPUTED_VALUE"""),"CEMEI ELIEL EUSTAQUIO DA SILVA")</f>
        <v>CEMEI ELIEL EUSTAQUIO DA SILVA</v>
      </c>
      <c r="H12" s="35" t="str">
        <f>IFERROR(__xludf.DUMMYFUNCTION("""COMPUTED_VALUE"""),"REGIONAL 7")</f>
        <v>REGIONAL 7</v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>
      <c r="A13" s="35" t="str">
        <f>IFERROR(__xludf.DUMMYFUNCTION("""COMPUTED_VALUE"""),"04/05/2026 08:16:17")</f>
        <v>04/05/2026 08:16:17</v>
      </c>
      <c r="B13" s="35" t="str">
        <f>IFERROR(__xludf.DUMMYFUNCTION("""COMPUTED_VALUE"""),"2")</f>
        <v>2</v>
      </c>
      <c r="C13" s="36" t="str">
        <f>IFERROR(__xludf.DUMMYFUNCTION("""COMPUTED_VALUE"""),"ASAFE ALLAN DE PAULA SILVA")</f>
        <v>ASAFE ALLAN DE PAULA SILVA</v>
      </c>
      <c r="D13" s="35" t="str">
        <f>IFERROR(__xludf.DUMMYFUNCTION("""COMPUTED_VALUE"""),"24/12/2022")</f>
        <v>24/12/2022</v>
      </c>
      <c r="E13" s="35" t="str">
        <f>IFERROR(__xludf.DUMMYFUNCTION("""COMPUTED_VALUE"""),"183.832.884-09")</f>
        <v>183.832.884-09</v>
      </c>
      <c r="F13" s="35" t="str">
        <f>IFERROR(__xludf.DUMMYFUNCTION("""COMPUTED_VALUE"""),"INFANTIL 3")</f>
        <v>INFANTIL 3</v>
      </c>
      <c r="G13" s="35" t="str">
        <f>IFERROR(__xludf.DUMMYFUNCTION("""COMPUTED_VALUE"""),"CEMEI ELIEL EUSTAQUIO DA SILVA")</f>
        <v>CEMEI ELIEL EUSTAQUIO DA SILVA</v>
      </c>
      <c r="H13" s="35" t="str">
        <f>IFERROR(__xludf.DUMMYFUNCTION("""COMPUTED_VALUE"""),"REGIONAL 7")</f>
        <v>REGIONAL 7</v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>
      <c r="A14" s="35" t="str">
        <f>IFERROR(__xludf.DUMMYFUNCTION("""COMPUTED_VALUE"""),"22/06/2026 14:09:23")</f>
        <v>22/06/2026 14:09:23</v>
      </c>
      <c r="B14" s="35" t="str">
        <f>IFERROR(__xludf.DUMMYFUNCTION("""COMPUTED_VALUE"""),"3")</f>
        <v>3</v>
      </c>
      <c r="C14" s="36" t="str">
        <f>IFERROR(__xludf.DUMMYFUNCTION("""COMPUTED_VALUE"""),"Isabella Valentina dos Santos")</f>
        <v>Isabella Valentina dos Santos</v>
      </c>
      <c r="D14" s="35" t="str">
        <f>IFERROR(__xludf.DUMMYFUNCTION("""COMPUTED_VALUE"""),"07/04/2022")</f>
        <v>07/04/2022</v>
      </c>
      <c r="E14" s="35" t="str">
        <f>IFERROR(__xludf.DUMMYFUNCTION("""COMPUTED_VALUE"""),"181.388.084-03")</f>
        <v>181.388.084-03</v>
      </c>
      <c r="F14" s="35" t="str">
        <f>IFERROR(__xludf.DUMMYFUNCTION("""COMPUTED_VALUE"""),"INFANTIL 3")</f>
        <v>INFANTIL 3</v>
      </c>
      <c r="G14" s="35" t="str">
        <f>IFERROR(__xludf.DUMMYFUNCTION("""COMPUTED_VALUE"""),"CEMEI ELIEL EUSTAQUIO DA SILVA")</f>
        <v>CEMEI ELIEL EUSTAQUIO DA SILVA</v>
      </c>
      <c r="H14" s="35" t="str">
        <f>IFERROR(__xludf.DUMMYFUNCTION("""COMPUTED_VALUE"""),"REGIONAL 7")</f>
        <v>REGIONAL 7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>
      <c r="A15" s="35" t="str">
        <f>IFERROR(__xludf.DUMMYFUNCTION("""COMPUTED_VALUE"""),"09/03/2026 17:29:00")</f>
        <v>09/03/2026 17:29:00</v>
      </c>
      <c r="B15" s="35" t="str">
        <f>IFERROR(__xludf.DUMMYFUNCTION("""COMPUTED_VALUE"""),"1")</f>
        <v>1</v>
      </c>
      <c r="C15" s="36" t="str">
        <f>IFERROR(__xludf.DUMMYFUNCTION("""COMPUTED_VALUE"""),"MIGUEL DE CARVALHO MELO CARDOSO")</f>
        <v>MIGUEL DE CARVALHO MELO CARDOSO</v>
      </c>
      <c r="D15" s="35" t="str">
        <f>IFERROR(__xludf.DUMMYFUNCTION("""COMPUTED_VALUE"""),"21/05/2024")</f>
        <v>21/05/2024</v>
      </c>
      <c r="E15" s="35" t="str">
        <f>IFERROR(__xludf.DUMMYFUNCTION("""COMPUTED_VALUE"""),"003.288.894-58")</f>
        <v>003.288.894-58</v>
      </c>
      <c r="F15" s="35" t="str">
        <f>IFERROR(__xludf.DUMMYFUNCTION("""COMPUTED_VALUE"""),"INFANTIL 1")</f>
        <v>INFANTIL 1</v>
      </c>
      <c r="G15" s="35" t="str">
        <f>IFERROR(__xludf.DUMMYFUNCTION("""COMPUTED_VALUE"""),"CEMEI LIGIA ARAUJO DE OLIVEIRA")</f>
        <v>CEMEI LIGIA ARAUJO DE OLIVEIRA</v>
      </c>
      <c r="H15" s="35" t="str">
        <f>IFERROR(__xludf.DUMMYFUNCTION("""COMPUTED_VALUE"""),"REGIONAL 6")</f>
        <v>REGIONAL 6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>
      <c r="A16" s="35" t="str">
        <f>IFERROR(__xludf.DUMMYFUNCTION("""COMPUTED_VALUE"""),"23/03/2026 19:01:28")</f>
        <v>23/03/2026 19:01:28</v>
      </c>
      <c r="B16" s="35" t="str">
        <f>IFERROR(__xludf.DUMMYFUNCTION("""COMPUTED_VALUE"""),"2")</f>
        <v>2</v>
      </c>
      <c r="C16" s="36" t="str">
        <f>IFERROR(__xludf.DUMMYFUNCTION("""COMPUTED_VALUE"""),"LIAN SALAZAR SERNA")</f>
        <v>LIAN SALAZAR SERNA</v>
      </c>
      <c r="D16" s="35" t="str">
        <f>IFERROR(__xludf.DUMMYFUNCTION("""COMPUTED_VALUE"""),"15/05/2024")</f>
        <v>15/05/2024</v>
      </c>
      <c r="E16" s="35" t="str">
        <f>IFERROR(__xludf.DUMMYFUNCTION("""COMPUTED_VALUE"""),"003.732.314-82")</f>
        <v>003.732.314-82</v>
      </c>
      <c r="F16" s="35" t="str">
        <f>IFERROR(__xludf.DUMMYFUNCTION("""COMPUTED_VALUE"""),"INFANTIL 1")</f>
        <v>INFANTIL 1</v>
      </c>
      <c r="G16" s="35" t="str">
        <f>IFERROR(__xludf.DUMMYFUNCTION("""COMPUTED_VALUE"""),"CEMEI LIGIA ARAUJO DE OLIVEIRA")</f>
        <v>CEMEI LIGIA ARAUJO DE OLIVEIRA</v>
      </c>
      <c r="H16" s="35" t="str">
        <f>IFERROR(__xludf.DUMMYFUNCTION("""COMPUTED_VALUE"""),"REGIONAL 6")</f>
        <v>REGIONAL 6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>
      <c r="A17" s="35" t="str">
        <f>IFERROR(__xludf.DUMMYFUNCTION("""COMPUTED_VALUE"""),"28/01/2026 08:07:40")</f>
        <v>28/01/2026 08:07:40</v>
      </c>
      <c r="B17" s="35" t="str">
        <f>IFERROR(__xludf.DUMMYFUNCTION("""COMPUTED_VALUE"""),"1")</f>
        <v>1</v>
      </c>
      <c r="C17" s="36" t="str">
        <f>IFERROR(__xludf.DUMMYFUNCTION("""COMPUTED_VALUE"""),"ÍCARO MIGUEL ESPÍNDOLA DA SILVA")</f>
        <v>ÍCARO MIGUEL ESPÍNDOLA DA SILVA</v>
      </c>
      <c r="D17" s="35" t="str">
        <f>IFERROR(__xludf.DUMMYFUNCTION("""COMPUTED_VALUE"""),"19/08/2023")</f>
        <v>19/08/2023</v>
      </c>
      <c r="E17" s="35" t="str">
        <f>IFERROR(__xludf.DUMMYFUNCTION("""COMPUTED_VALUE"""),"001.566.454-67")</f>
        <v>001.566.454-67</v>
      </c>
      <c r="F17" s="35" t="str">
        <f>IFERROR(__xludf.DUMMYFUNCTION("""COMPUTED_VALUE"""),"INFANTIL 2")</f>
        <v>INFANTIL 2</v>
      </c>
      <c r="G17" s="35" t="str">
        <f>IFERROR(__xludf.DUMMYFUNCTION("""COMPUTED_VALUE"""),"CEMEI LIGIA ARAUJO DE OLIVEIRA")</f>
        <v>CEMEI LIGIA ARAUJO DE OLIVEIRA</v>
      </c>
      <c r="H17" s="35" t="str">
        <f>IFERROR(__xludf.DUMMYFUNCTION("""COMPUTED_VALUE"""),"REGIONAL 6")</f>
        <v>REGIONAL 6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>
      <c r="A18" s="35" t="str">
        <f>IFERROR(__xludf.DUMMYFUNCTION("""COMPUTED_VALUE"""),"29/01/2026 10:35:38")</f>
        <v>29/01/2026 10:35:38</v>
      </c>
      <c r="B18" s="35" t="str">
        <f>IFERROR(__xludf.DUMMYFUNCTION("""COMPUTED_VALUE"""),"2")</f>
        <v>2</v>
      </c>
      <c r="C18" s="36" t="str">
        <f>IFERROR(__xludf.DUMMYFUNCTION("""COMPUTED_VALUE"""),"OLIVER HEITOR LINS LIRA")</f>
        <v>OLIVER HEITOR LINS LIRA</v>
      </c>
      <c r="D18" s="35" t="str">
        <f>IFERROR(__xludf.DUMMYFUNCTION("""COMPUTED_VALUE"""),"27/05/2023")</f>
        <v>27/05/2023</v>
      </c>
      <c r="E18" s="35" t="str">
        <f>IFERROR(__xludf.DUMMYFUNCTION("""COMPUTED_VALUE"""),"185.479.534-18")</f>
        <v>185.479.534-18</v>
      </c>
      <c r="F18" s="35" t="str">
        <f>IFERROR(__xludf.DUMMYFUNCTION("""COMPUTED_VALUE"""),"INFANTIL 2")</f>
        <v>INFANTIL 2</v>
      </c>
      <c r="G18" s="35" t="str">
        <f>IFERROR(__xludf.DUMMYFUNCTION("""COMPUTED_VALUE"""),"CEMEI LIGIA ARAUJO DE OLIVEIRA")</f>
        <v>CEMEI LIGIA ARAUJO DE OLIVEIRA</v>
      </c>
      <c r="H18" s="35" t="str">
        <f>IFERROR(__xludf.DUMMYFUNCTION("""COMPUTED_VALUE"""),"REGIONAL 6")</f>
        <v>REGIONAL 6</v>
      </c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>
      <c r="A19" s="35" t="str">
        <f>IFERROR(__xludf.DUMMYFUNCTION("""COMPUTED_VALUE"""),"11/03/2026 10:19:05")</f>
        <v>11/03/2026 10:19:05</v>
      </c>
      <c r="B19" s="35" t="str">
        <f>IFERROR(__xludf.DUMMYFUNCTION("""COMPUTED_VALUE"""),"3")</f>
        <v>3</v>
      </c>
      <c r="C19" s="36" t="str">
        <f>IFERROR(__xludf.DUMMYFUNCTION("""COMPUTED_VALUE"""),"ALISSON GABRIEL DOS SANTOS SILVA")</f>
        <v>ALISSON GABRIEL DOS SANTOS SILVA</v>
      </c>
      <c r="D19" s="35" t="str">
        <f>IFERROR(__xludf.DUMMYFUNCTION("""COMPUTED_VALUE"""),"30/12/2023")</f>
        <v>30/12/2023</v>
      </c>
      <c r="E19" s="35" t="str">
        <f>IFERROR(__xludf.DUMMYFUNCTION("""COMPUTED_VALUE"""),"001.878.044-00")</f>
        <v>001.878.044-00</v>
      </c>
      <c r="F19" s="35" t="str">
        <f>IFERROR(__xludf.DUMMYFUNCTION("""COMPUTED_VALUE"""),"INFANTIL 2")</f>
        <v>INFANTIL 2</v>
      </c>
      <c r="G19" s="35" t="str">
        <f>IFERROR(__xludf.DUMMYFUNCTION("""COMPUTED_VALUE"""),"CEMEI LIGIA ARAUJO DE OLIVEIRA")</f>
        <v>CEMEI LIGIA ARAUJO DE OLIVEIRA</v>
      </c>
      <c r="H19" s="35" t="str">
        <f>IFERROR(__xludf.DUMMYFUNCTION("""COMPUTED_VALUE"""),"REGIONAL 6")</f>
        <v>REGIONAL 6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>
      <c r="A20" s="35" t="str">
        <f>IFERROR(__xludf.DUMMYFUNCTION("""COMPUTED_VALUE"""),"20/04/2026 12:53:45")</f>
        <v>20/04/2026 12:53:45</v>
      </c>
      <c r="B20" s="35" t="str">
        <f>IFERROR(__xludf.DUMMYFUNCTION("""COMPUTED_VALUE"""),"4")</f>
        <v>4</v>
      </c>
      <c r="C20" s="36" t="str">
        <f>IFERROR(__xludf.DUMMYFUNCTION("""COMPUTED_VALUE"""),"ISABELA MARIA DIAS DA SILVA")</f>
        <v>ISABELA MARIA DIAS DA SILVA</v>
      </c>
      <c r="D20" s="35" t="str">
        <f>IFERROR(__xludf.DUMMYFUNCTION("""COMPUTED_VALUE"""),"02/05/2023")</f>
        <v>02/05/2023</v>
      </c>
      <c r="E20" s="35" t="str">
        <f>IFERROR(__xludf.DUMMYFUNCTION("""COMPUTED_VALUE"""),"166.511.419-37")</f>
        <v>166.511.419-37</v>
      </c>
      <c r="F20" s="35" t="str">
        <f>IFERROR(__xludf.DUMMYFUNCTION("""COMPUTED_VALUE"""),"INFANTIL 2")</f>
        <v>INFANTIL 2</v>
      </c>
      <c r="G20" s="35" t="str">
        <f>IFERROR(__xludf.DUMMYFUNCTION("""COMPUTED_VALUE"""),"CEMEI LIGIA ARAUJO DE OLIVEIRA")</f>
        <v>CEMEI LIGIA ARAUJO DE OLIVEIRA</v>
      </c>
      <c r="H20" s="35" t="str">
        <f>IFERROR(__xludf.DUMMYFUNCTION("""COMPUTED_VALUE"""),"REGIONAL 6")</f>
        <v>REGIONAL 6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15.75" customHeight="1">
      <c r="A21" s="35" t="str">
        <f>IFERROR(__xludf.DUMMYFUNCTION("""COMPUTED_VALUE"""),"08/05/2026 07:30:21")</f>
        <v>08/05/2026 07:30:21</v>
      </c>
      <c r="B21" s="35" t="str">
        <f>IFERROR(__xludf.DUMMYFUNCTION("""COMPUTED_VALUE"""),"5")</f>
        <v>5</v>
      </c>
      <c r="C21" s="36" t="str">
        <f>IFERROR(__xludf.DUMMYFUNCTION("""COMPUTED_VALUE"""),"HEITOR GABRIEL MARQUES DOS SANTOS")</f>
        <v>HEITOR GABRIEL MARQUES DOS SANTOS</v>
      </c>
      <c r="D21" s="35" t="str">
        <f>IFERROR(__xludf.DUMMYFUNCTION("""COMPUTED_VALUE"""),"20/05/2023")</f>
        <v>20/05/2023</v>
      </c>
      <c r="E21" s="35" t="str">
        <f>IFERROR(__xludf.DUMMYFUNCTION("""COMPUTED_VALUE"""),"185.759.414-29")</f>
        <v>185.759.414-29</v>
      </c>
      <c r="F21" s="35" t="str">
        <f>IFERROR(__xludf.DUMMYFUNCTION("""COMPUTED_VALUE"""),"INFANTIL 2")</f>
        <v>INFANTIL 2</v>
      </c>
      <c r="G21" s="35" t="str">
        <f>IFERROR(__xludf.DUMMYFUNCTION("""COMPUTED_VALUE"""),"CEMEI LIGIA ARAUJO DE OLIVEIRA")</f>
        <v>CEMEI LIGIA ARAUJO DE OLIVEIRA</v>
      </c>
      <c r="H21" s="35" t="str">
        <f>IFERROR(__xludf.DUMMYFUNCTION("""COMPUTED_VALUE"""),"REGIONAL 6")</f>
        <v>REGIONAL 6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15.75" customHeight="1">
      <c r="A22" s="35" t="str">
        <f>IFERROR(__xludf.DUMMYFUNCTION("""COMPUTED_VALUE"""),"10/06/2026 09:35:26")</f>
        <v>10/06/2026 09:35:26</v>
      </c>
      <c r="B22" s="35" t="str">
        <f>IFERROR(__xludf.DUMMYFUNCTION("""COMPUTED_VALUE"""),"6")</f>
        <v>6</v>
      </c>
      <c r="C22" s="36" t="str">
        <f>IFERROR(__xludf.DUMMYFUNCTION("""COMPUTED_VALUE"""),"HENRIQUE LORENZO PACHECO DA SILVA")</f>
        <v>HENRIQUE LORENZO PACHECO DA SILVA</v>
      </c>
      <c r="D22" s="35" t="str">
        <f>IFERROR(__xludf.DUMMYFUNCTION("""COMPUTED_VALUE"""),"22/06/2023")</f>
        <v>22/06/2023</v>
      </c>
      <c r="E22" s="35" t="str">
        <f>IFERROR(__xludf.DUMMYFUNCTION("""COMPUTED_VALUE"""),"035.434.204-53")</f>
        <v>035.434.204-53</v>
      </c>
      <c r="F22" s="35" t="str">
        <f>IFERROR(__xludf.DUMMYFUNCTION("""COMPUTED_VALUE"""),"INFANTIL 2")</f>
        <v>INFANTIL 2</v>
      </c>
      <c r="G22" s="35" t="str">
        <f>IFERROR(__xludf.DUMMYFUNCTION("""COMPUTED_VALUE"""),"CEMEI LIGIA ARAUJO DE OLIVEIRA")</f>
        <v>CEMEI LIGIA ARAUJO DE OLIVEIRA</v>
      </c>
      <c r="H22" s="35" t="str">
        <f>IFERROR(__xludf.DUMMYFUNCTION("""COMPUTED_VALUE"""),"REGIONAL 6")</f>
        <v>REGIONAL 6</v>
      </c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15.75" customHeight="1">
      <c r="A23" s="35" t="str">
        <f>IFERROR(__xludf.DUMMYFUNCTION("""COMPUTED_VALUE"""),"03/02/2026 14:12:28")</f>
        <v>03/02/2026 14:12:28</v>
      </c>
      <c r="B23" s="35" t="str">
        <f>IFERROR(__xludf.DUMMYFUNCTION("""COMPUTED_VALUE"""),"1")</f>
        <v>1</v>
      </c>
      <c r="C23" s="36" t="str">
        <f>IFERROR(__xludf.DUMMYFUNCTION("""COMPUTED_VALUE"""),"AYLLA FERREIRA DA SILVA")</f>
        <v>AYLLA FERREIRA DA SILVA</v>
      </c>
      <c r="D23" s="35" t="str">
        <f>IFERROR(__xludf.DUMMYFUNCTION("""COMPUTED_VALUE"""),"22/11/2022")</f>
        <v>22/11/2022</v>
      </c>
      <c r="E23" s="35" t="str">
        <f>IFERROR(__xludf.DUMMYFUNCTION("""COMPUTED_VALUE"""),"183.532.494-05")</f>
        <v>183.532.494-05</v>
      </c>
      <c r="F23" s="35" t="str">
        <f>IFERROR(__xludf.DUMMYFUNCTION("""COMPUTED_VALUE"""),"INFANTIL 3")</f>
        <v>INFANTIL 3</v>
      </c>
      <c r="G23" s="35" t="str">
        <f>IFERROR(__xludf.DUMMYFUNCTION("""COMPUTED_VALUE"""),"CEMEI LIGIA ARAUJO DE OLIVEIRA")</f>
        <v>CEMEI LIGIA ARAUJO DE OLIVEIRA</v>
      </c>
      <c r="H23" s="35" t="str">
        <f>IFERROR(__xludf.DUMMYFUNCTION("""COMPUTED_VALUE"""),"REGIONAL 6")</f>
        <v>REGIONAL 6</v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ht="15.75" customHeight="1">
      <c r="A24" s="35" t="str">
        <f>IFERROR(__xludf.DUMMYFUNCTION("""COMPUTED_VALUE"""),"03/02/2026 14:18:57")</f>
        <v>03/02/2026 14:18:57</v>
      </c>
      <c r="B24" s="35" t="str">
        <f>IFERROR(__xludf.DUMMYFUNCTION("""COMPUTED_VALUE"""),"2")</f>
        <v>2</v>
      </c>
      <c r="C24" s="36" t="str">
        <f>IFERROR(__xludf.DUMMYFUNCTION("""COMPUTED_VALUE"""),"ALYCIA FERREIRA DA SILVA")</f>
        <v>ALYCIA FERREIRA DA SILVA</v>
      </c>
      <c r="D24" s="35" t="str">
        <f>IFERROR(__xludf.DUMMYFUNCTION("""COMPUTED_VALUE"""),"22/11/2022")</f>
        <v>22/11/2022</v>
      </c>
      <c r="E24" s="35" t="str">
        <f>IFERROR(__xludf.DUMMYFUNCTION("""COMPUTED_VALUE"""),"183.532.504-11")</f>
        <v>183.532.504-11</v>
      </c>
      <c r="F24" s="35" t="str">
        <f>IFERROR(__xludf.DUMMYFUNCTION("""COMPUTED_VALUE"""),"INFANTIL 3")</f>
        <v>INFANTIL 3</v>
      </c>
      <c r="G24" s="35" t="str">
        <f>IFERROR(__xludf.DUMMYFUNCTION("""COMPUTED_VALUE"""),"CEMEI LIGIA ARAUJO DE OLIVEIRA")</f>
        <v>CEMEI LIGIA ARAUJO DE OLIVEIRA</v>
      </c>
      <c r="H24" s="35" t="str">
        <f>IFERROR(__xludf.DUMMYFUNCTION("""COMPUTED_VALUE"""),"REGIONAL 6")</f>
        <v>REGIONAL 6</v>
      </c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15.75" customHeight="1">
      <c r="A25" s="35" t="str">
        <f>IFERROR(__xludf.DUMMYFUNCTION("""COMPUTED_VALUE"""),"23/02/2026 20:39:24")</f>
        <v>23/02/2026 20:39:24</v>
      </c>
      <c r="B25" s="35" t="str">
        <f>IFERROR(__xludf.DUMMYFUNCTION("""COMPUTED_VALUE"""),"3")</f>
        <v>3</v>
      </c>
      <c r="C25" s="36" t="str">
        <f>IFERROR(__xludf.DUMMYFUNCTION("""COMPUTED_VALUE"""),"ABRAÃO EMANOEL PINHEIRO DA SILVA")</f>
        <v>ABRAÃO EMANOEL PINHEIRO DA SILVA</v>
      </c>
      <c r="D25" s="35" t="str">
        <f>IFERROR(__xludf.DUMMYFUNCTION("""COMPUTED_VALUE"""),"31/08/2022")</f>
        <v>31/08/2022</v>
      </c>
      <c r="E25" s="35" t="str">
        <f>IFERROR(__xludf.DUMMYFUNCTION("""COMPUTED_VALUE"""),"182.714.394-05")</f>
        <v>182.714.394-05</v>
      </c>
      <c r="F25" s="35" t="str">
        <f>IFERROR(__xludf.DUMMYFUNCTION("""COMPUTED_VALUE"""),"INFANTIL 3")</f>
        <v>INFANTIL 3</v>
      </c>
      <c r="G25" s="35" t="str">
        <f>IFERROR(__xludf.DUMMYFUNCTION("""COMPUTED_VALUE"""),"CEMEI LIGIA ARAUJO DE OLIVEIRA")</f>
        <v>CEMEI LIGIA ARAUJO DE OLIVEIRA</v>
      </c>
      <c r="H25" s="35" t="str">
        <f>IFERROR(__xludf.DUMMYFUNCTION("""COMPUTED_VALUE"""),"REGIONAL 6")</f>
        <v>REGIONAL 6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15.75" customHeight="1">
      <c r="A26" s="35" t="str">
        <f>IFERROR(__xludf.DUMMYFUNCTION("""COMPUTED_VALUE"""),"19/03/2026 08:28:18")</f>
        <v>19/03/2026 08:28:18</v>
      </c>
      <c r="B26" s="35" t="str">
        <f>IFERROR(__xludf.DUMMYFUNCTION("""COMPUTED_VALUE"""),"1")</f>
        <v>1</v>
      </c>
      <c r="C26" s="36" t="str">
        <f>IFERROR(__xludf.DUMMYFUNCTION("""COMPUTED_VALUE"""),"MARIA CLARA DE LIMA")</f>
        <v>MARIA CLARA DE LIMA</v>
      </c>
      <c r="D26" s="35" t="str">
        <f>IFERROR(__xludf.DUMMYFUNCTION("""COMPUTED_VALUE"""),"16/12/2024")</f>
        <v>16/12/2024</v>
      </c>
      <c r="E26" s="35" t="str">
        <f>IFERROR(__xludf.DUMMYFUNCTION("""COMPUTED_VALUE"""),"004.995.084-32")</f>
        <v>004.995.084-32</v>
      </c>
      <c r="F26" s="35" t="str">
        <f>IFERROR(__xludf.DUMMYFUNCTION("""COMPUTED_VALUE"""),"INFANTIL 1")</f>
        <v>INFANTIL 1</v>
      </c>
      <c r="G26" s="35" t="str">
        <f>IFERROR(__xludf.DUMMYFUNCTION("""COMPUTED_VALUE"""),"CEMEI PROFª MARIA LUZIA RIO LIMA")</f>
        <v>CEMEI PROFª MARIA LUZIA RIO LIMA</v>
      </c>
      <c r="H26" s="35" t="str">
        <f>IFERROR(__xludf.DUMMYFUNCTION("""COMPUTED_VALUE"""),"REGIONAL 5")</f>
        <v>REGIONAL 5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5.75" customHeight="1">
      <c r="A27" s="35" t="str">
        <f>IFERROR(__xludf.DUMMYFUNCTION("""COMPUTED_VALUE"""),"19/03/2026 08:46:18")</f>
        <v>19/03/2026 08:46:18</v>
      </c>
      <c r="B27" s="35" t="str">
        <f>IFERROR(__xludf.DUMMYFUNCTION("""COMPUTED_VALUE"""),"2")</f>
        <v>2</v>
      </c>
      <c r="C27" s="36" t="str">
        <f>IFERROR(__xludf.DUMMYFUNCTION("""COMPUTED_VALUE"""),"MARIA FLOR DE LIMA")</f>
        <v>MARIA FLOR DE LIMA</v>
      </c>
      <c r="D27" s="35" t="str">
        <f>IFERROR(__xludf.DUMMYFUNCTION("""COMPUTED_VALUE"""),"16/12/2024")</f>
        <v>16/12/2024</v>
      </c>
      <c r="E27" s="35" t="str">
        <f>IFERROR(__xludf.DUMMYFUNCTION("""COMPUTED_VALUE"""),"004.995.534-97")</f>
        <v>004.995.534-97</v>
      </c>
      <c r="F27" s="35" t="str">
        <f>IFERROR(__xludf.DUMMYFUNCTION("""COMPUTED_VALUE"""),"INFANTIL 1")</f>
        <v>INFANTIL 1</v>
      </c>
      <c r="G27" s="35" t="str">
        <f>IFERROR(__xludf.DUMMYFUNCTION("""COMPUTED_VALUE"""),"CEMEI PROFª MARIA LUZIA RIO LIMA")</f>
        <v>CEMEI PROFª MARIA LUZIA RIO LIMA</v>
      </c>
      <c r="H27" s="35" t="str">
        <f>IFERROR(__xludf.DUMMYFUNCTION("""COMPUTED_VALUE"""),"REGIONAL 5")</f>
        <v>REGIONAL 5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5.75" customHeight="1">
      <c r="A28" s="35" t="str">
        <f>IFERROR(__xludf.DUMMYFUNCTION("""COMPUTED_VALUE"""),"06/05/2026 15:38:45")</f>
        <v>06/05/2026 15:38:45</v>
      </c>
      <c r="B28" s="35" t="str">
        <f>IFERROR(__xludf.DUMMYFUNCTION("""COMPUTED_VALUE"""),"3")</f>
        <v>3</v>
      </c>
      <c r="C28" s="36" t="str">
        <f>IFERROR(__xludf.DUMMYFUNCTION("""COMPUTED_VALUE"""),"EMANUEL LUCAS FAUSTINO DA SILVA")</f>
        <v>EMANUEL LUCAS FAUSTINO DA SILVA</v>
      </c>
      <c r="D28" s="35" t="str">
        <f>IFERROR(__xludf.DUMMYFUNCTION("""COMPUTED_VALUE"""),"05/09/2024")</f>
        <v>05/09/2024</v>
      </c>
      <c r="E28" s="35" t="str">
        <f>IFERROR(__xludf.DUMMYFUNCTION("""COMPUTED_VALUE"""),"118.065.824-81")</f>
        <v>118.065.824-81</v>
      </c>
      <c r="F28" s="35" t="str">
        <f>IFERROR(__xludf.DUMMYFUNCTION("""COMPUTED_VALUE"""),"INFANTIL 1")</f>
        <v>INFANTIL 1</v>
      </c>
      <c r="G28" s="35" t="str">
        <f>IFERROR(__xludf.DUMMYFUNCTION("""COMPUTED_VALUE"""),"CEMEI PROFª MARIA LUZIA RIO LIMA")</f>
        <v>CEMEI PROFª MARIA LUZIA RIO LIMA</v>
      </c>
      <c r="H28" s="35" t="str">
        <f>IFERROR(__xludf.DUMMYFUNCTION("""COMPUTED_VALUE"""),"REGIONAL 5")</f>
        <v>REGIONAL 5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5.75" customHeight="1">
      <c r="A29" s="35" t="str">
        <f>IFERROR(__xludf.DUMMYFUNCTION("""COMPUTED_VALUE"""),"10/06/2026 16:57:35")</f>
        <v>10/06/2026 16:57:35</v>
      </c>
      <c r="B29" s="35" t="str">
        <f>IFERROR(__xludf.DUMMYFUNCTION("""COMPUTED_VALUE"""),"4")</f>
        <v>4</v>
      </c>
      <c r="C29" s="36" t="str">
        <f>IFERROR(__xludf.DUMMYFUNCTION("""COMPUTED_VALUE"""),"Edgar Souza do monte")</f>
        <v>Edgar Souza do monte</v>
      </c>
      <c r="D29" s="35" t="str">
        <f>IFERROR(__xludf.DUMMYFUNCTION("""COMPUTED_VALUE"""),"19/09/2024")</f>
        <v>19/09/2024</v>
      </c>
      <c r="E29" s="35" t="str">
        <f>IFERROR(__xludf.DUMMYFUNCTION("""COMPUTED_VALUE"""),"004.150.004-08")</f>
        <v>004.150.004-08</v>
      </c>
      <c r="F29" s="35" t="str">
        <f>IFERROR(__xludf.DUMMYFUNCTION("""COMPUTED_VALUE"""),"INFANTIL 1")</f>
        <v>INFANTIL 1</v>
      </c>
      <c r="G29" s="35" t="str">
        <f>IFERROR(__xludf.DUMMYFUNCTION("""COMPUTED_VALUE"""),"CEMEI PROFª MARIA LUZIA RIO LIMA")</f>
        <v>CEMEI PROFª MARIA LUZIA RIO LIMA</v>
      </c>
      <c r="H29" s="35" t="str">
        <f>IFERROR(__xludf.DUMMYFUNCTION("""COMPUTED_VALUE"""),"REGIONAL 5")</f>
        <v>REGIONAL 5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5.75" customHeight="1">
      <c r="A30" s="35" t="str">
        <f>IFERROR(__xludf.DUMMYFUNCTION("""COMPUTED_VALUE"""),"10/06/2026 17:01:25")</f>
        <v>10/06/2026 17:01:25</v>
      </c>
      <c r="B30" s="35" t="str">
        <f>IFERROR(__xludf.DUMMYFUNCTION("""COMPUTED_VALUE"""),"5")</f>
        <v>5</v>
      </c>
      <c r="C30" s="36" t="str">
        <f>IFERROR(__xludf.DUMMYFUNCTION("""COMPUTED_VALUE"""),"Dante Souza do Monte")</f>
        <v>Dante Souza do Monte</v>
      </c>
      <c r="D30" s="35" t="str">
        <f>IFERROR(__xludf.DUMMYFUNCTION("""COMPUTED_VALUE"""),"19/09/2024")</f>
        <v>19/09/2024</v>
      </c>
      <c r="E30" s="35" t="str">
        <f>IFERROR(__xludf.DUMMYFUNCTION("""COMPUTED_VALUE"""),"004.149.744-92")</f>
        <v>004.149.744-92</v>
      </c>
      <c r="F30" s="35" t="str">
        <f>IFERROR(__xludf.DUMMYFUNCTION("""COMPUTED_VALUE"""),"INFANTIL 1")</f>
        <v>INFANTIL 1</v>
      </c>
      <c r="G30" s="35" t="str">
        <f>IFERROR(__xludf.DUMMYFUNCTION("""COMPUTED_VALUE"""),"CEMEI PROFª MARIA LUZIA RIO LIMA")</f>
        <v>CEMEI PROFª MARIA LUZIA RIO LIMA</v>
      </c>
      <c r="H30" s="35" t="str">
        <f>IFERROR(__xludf.DUMMYFUNCTION("""COMPUTED_VALUE"""),"REGIONAL 5")</f>
        <v>REGIONAL 5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35" t="str">
        <f>IFERROR(__xludf.DUMMYFUNCTION("""COMPUTED_VALUE"""),"02/02/2026 09:13:57")</f>
        <v>02/02/2026 09:13:57</v>
      </c>
      <c r="B31" s="35" t="str">
        <f>IFERROR(__xludf.DUMMYFUNCTION("""COMPUTED_VALUE"""),"1")</f>
        <v>1</v>
      </c>
      <c r="C31" s="36" t="str">
        <f>IFERROR(__xludf.DUMMYFUNCTION("""COMPUTED_VALUE"""),"ÍSIS POLYANA SOARES RAMOS")</f>
        <v>ÍSIS POLYANA SOARES RAMOS</v>
      </c>
      <c r="D31" s="35" t="str">
        <f>IFERROR(__xludf.DUMMYFUNCTION("""COMPUTED_VALUE"""),"17/01/2026")</f>
        <v>17/01/2026</v>
      </c>
      <c r="E31" s="35" t="str">
        <f>IFERROR(__xludf.DUMMYFUNCTION("""COMPUTED_VALUE"""),"041.104.474-53")</f>
        <v>041.104.474-53</v>
      </c>
      <c r="F31" s="35" t="str">
        <f>IFERROR(__xludf.DUMMYFUNCTION("""COMPUTED_VALUE"""),"INFANTIL 1")</f>
        <v>INFANTIL 1</v>
      </c>
      <c r="G31" s="35" t="str">
        <f>IFERROR(__xludf.DUMMYFUNCTION("""COMPUTED_VALUE"""),"CEMEI PROFESSORA CIBELE DE ANDRADE MENDES DE AZEVEDO")</f>
        <v>CEMEI PROFESSORA CIBELE DE ANDRADE MENDES DE AZEVEDO</v>
      </c>
      <c r="H31" s="35" t="str">
        <f>IFERROR(__xludf.DUMMYFUNCTION("""COMPUTED_VALUE"""),"REGIONAL 7")</f>
        <v>REGIONAL 7</v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5.75" customHeight="1">
      <c r="A32" s="35" t="str">
        <f>IFERROR(__xludf.DUMMYFUNCTION("""COMPUTED_VALUE"""),"04/02/2026 08:52:54")</f>
        <v>04/02/2026 08:52:54</v>
      </c>
      <c r="B32" s="35" t="str">
        <f>IFERROR(__xludf.DUMMYFUNCTION("""COMPUTED_VALUE"""),"2")</f>
        <v>2</v>
      </c>
      <c r="C32" s="36" t="str">
        <f>IFERROR(__xludf.DUMMYFUNCTION("""COMPUTED_VALUE"""),"RENAN JOSÉ DA SILVA")</f>
        <v>RENAN JOSÉ DA SILVA</v>
      </c>
      <c r="D32" s="35" t="str">
        <f>IFERROR(__xludf.DUMMYFUNCTION("""COMPUTED_VALUE"""),"18/04/2024")</f>
        <v>18/04/2024</v>
      </c>
      <c r="E32" s="35" t="str">
        <f>IFERROR(__xludf.DUMMYFUNCTION("""COMPUTED_VALUE"""),"003.612.264-54")</f>
        <v>003.612.264-54</v>
      </c>
      <c r="F32" s="35" t="str">
        <f>IFERROR(__xludf.DUMMYFUNCTION("""COMPUTED_VALUE"""),"INFANTIL 1")</f>
        <v>INFANTIL 1</v>
      </c>
      <c r="G32" s="35" t="str">
        <f>IFERROR(__xludf.DUMMYFUNCTION("""COMPUTED_VALUE"""),"CEMEI PROFESSORA CIBELE DE ANDRADE MENDES DE AZEVEDO")</f>
        <v>CEMEI PROFESSORA CIBELE DE ANDRADE MENDES DE AZEVEDO</v>
      </c>
      <c r="H32" s="35" t="str">
        <f>IFERROR(__xludf.DUMMYFUNCTION("""COMPUTED_VALUE"""),"REGIONAL 7")</f>
        <v>REGIONAL 7</v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5.75" customHeight="1">
      <c r="A33" s="35" t="str">
        <f>IFERROR(__xludf.DUMMYFUNCTION("""COMPUTED_VALUE"""),"05/02/2026 12:22:17")</f>
        <v>05/02/2026 12:22:17</v>
      </c>
      <c r="B33" s="35" t="str">
        <f>IFERROR(__xludf.DUMMYFUNCTION("""COMPUTED_VALUE"""),"3")</f>
        <v>3</v>
      </c>
      <c r="C33" s="36" t="str">
        <f>IFERROR(__xludf.DUMMYFUNCTION("""COMPUTED_VALUE"""),"ELLOÁH JASMIN NASCIMENTO DA SILVA")</f>
        <v>ELLOÁH JASMIN NASCIMENTO DA SILVA</v>
      </c>
      <c r="D33" s="35" t="str">
        <f>IFERROR(__xludf.DUMMYFUNCTION("""COMPUTED_VALUE"""),"12/08/2024")</f>
        <v>12/08/2024</v>
      </c>
      <c r="E33" s="35" t="str">
        <f>IFERROR(__xludf.DUMMYFUNCTION("""COMPUTED_VALUE"""),"003.964.064-75")</f>
        <v>003.964.064-75</v>
      </c>
      <c r="F33" s="35" t="str">
        <f>IFERROR(__xludf.DUMMYFUNCTION("""COMPUTED_VALUE"""),"INFANTIL 1")</f>
        <v>INFANTIL 1</v>
      </c>
      <c r="G33" s="35" t="str">
        <f>IFERROR(__xludf.DUMMYFUNCTION("""COMPUTED_VALUE"""),"CEMEI PROFESSORA CIBELE DE ANDRADE MENDES DE AZEVEDO")</f>
        <v>CEMEI PROFESSORA CIBELE DE ANDRADE MENDES DE AZEVEDO</v>
      </c>
      <c r="H33" s="35" t="str">
        <f>IFERROR(__xludf.DUMMYFUNCTION("""COMPUTED_VALUE"""),"REGIONAL 7")</f>
        <v>REGIONAL 7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35" t="str">
        <f>IFERROR(__xludf.DUMMYFUNCTION("""COMPUTED_VALUE"""),"05/02/2026 13:29:32")</f>
        <v>05/02/2026 13:29:32</v>
      </c>
      <c r="B34" s="35" t="str">
        <f>IFERROR(__xludf.DUMMYFUNCTION("""COMPUTED_VALUE"""),"4")</f>
        <v>4</v>
      </c>
      <c r="C34" s="36" t="str">
        <f>IFERROR(__xludf.DUMMYFUNCTION("""COMPUTED_VALUE"""),"OLIVER LICKS DE ALMEIDA")</f>
        <v>OLIVER LICKS DE ALMEIDA</v>
      </c>
      <c r="D34" s="35" t="str">
        <f>IFERROR(__xludf.DUMMYFUNCTION("""COMPUTED_VALUE"""),"16/05/2024")</f>
        <v>16/05/2024</v>
      </c>
      <c r="E34" s="35" t="str">
        <f>IFERROR(__xludf.DUMMYFUNCTION("""COMPUTED_VALUE"""),"002.966.174-90")</f>
        <v>002.966.174-90</v>
      </c>
      <c r="F34" s="35" t="str">
        <f>IFERROR(__xludf.DUMMYFUNCTION("""COMPUTED_VALUE"""),"INFANTIL 1")</f>
        <v>INFANTIL 1</v>
      </c>
      <c r="G34" s="35" t="str">
        <f>IFERROR(__xludf.DUMMYFUNCTION("""COMPUTED_VALUE"""),"CEMEI PROFESSORA CIBELE DE ANDRADE MENDES DE AZEVEDO")</f>
        <v>CEMEI PROFESSORA CIBELE DE ANDRADE MENDES DE AZEVEDO</v>
      </c>
      <c r="H34" s="35" t="str">
        <f>IFERROR(__xludf.DUMMYFUNCTION("""COMPUTED_VALUE"""),"REGIONAL 7")</f>
        <v>REGIONAL 7</v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35" t="str">
        <f>IFERROR(__xludf.DUMMYFUNCTION("""COMPUTED_VALUE"""),"05/02/2026 15:38:24")</f>
        <v>05/02/2026 15:38:24</v>
      </c>
      <c r="B35" s="35" t="str">
        <f>IFERROR(__xludf.DUMMYFUNCTION("""COMPUTED_VALUE"""),"5")</f>
        <v>5</v>
      </c>
      <c r="C35" s="36" t="str">
        <f>IFERROR(__xludf.DUMMYFUNCTION("""COMPUTED_VALUE"""),"THOMAS ENRICO RODRIGUES DE BARROS")</f>
        <v>THOMAS ENRICO RODRIGUES DE BARROS</v>
      </c>
      <c r="D35" s="35" t="str">
        <f>IFERROR(__xludf.DUMMYFUNCTION("""COMPUTED_VALUE"""),"19/05/2024")</f>
        <v>19/05/2024</v>
      </c>
      <c r="E35" s="35" t="str">
        <f>IFERROR(__xludf.DUMMYFUNCTION("""COMPUTED_VALUE"""),"003.082.134-75")</f>
        <v>003.082.134-75</v>
      </c>
      <c r="F35" s="35" t="str">
        <f>IFERROR(__xludf.DUMMYFUNCTION("""COMPUTED_VALUE"""),"INFANTIL 1")</f>
        <v>INFANTIL 1</v>
      </c>
      <c r="G35" s="35" t="str">
        <f>IFERROR(__xludf.DUMMYFUNCTION("""COMPUTED_VALUE"""),"CEMEI PROFESSORA CIBELE DE ANDRADE MENDES DE AZEVEDO")</f>
        <v>CEMEI PROFESSORA CIBELE DE ANDRADE MENDES DE AZEVEDO</v>
      </c>
      <c r="H35" s="35" t="str">
        <f>IFERROR(__xludf.DUMMYFUNCTION("""COMPUTED_VALUE"""),"REGIONAL 7")</f>
        <v>REGIONAL 7</v>
      </c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35" t="str">
        <f>IFERROR(__xludf.DUMMYFUNCTION("""COMPUTED_VALUE"""),"05/02/2026 20:35:45")</f>
        <v>05/02/2026 20:35:45</v>
      </c>
      <c r="B36" s="35" t="str">
        <f>IFERROR(__xludf.DUMMYFUNCTION("""COMPUTED_VALUE"""),"6")</f>
        <v>6</v>
      </c>
      <c r="C36" s="36" t="str">
        <f>IFERROR(__xludf.DUMMYFUNCTION("""COMPUTED_VALUE"""),"YASMIM BEATRIZ DA SILVA ADRIÃO")</f>
        <v>YASMIM BEATRIZ DA SILVA ADRIÃO</v>
      </c>
      <c r="D36" s="35" t="str">
        <f>IFERROR(__xludf.DUMMYFUNCTION("""COMPUTED_VALUE"""),"14/03/2025")</f>
        <v>14/03/2025</v>
      </c>
      <c r="E36" s="35" t="str">
        <f>IFERROR(__xludf.DUMMYFUNCTION("""COMPUTED_VALUE"""),"005.732.894-33")</f>
        <v>005.732.894-33</v>
      </c>
      <c r="F36" s="35" t="str">
        <f>IFERROR(__xludf.DUMMYFUNCTION("""COMPUTED_VALUE"""),"INFANTIL 1")</f>
        <v>INFANTIL 1</v>
      </c>
      <c r="G36" s="35" t="str">
        <f>IFERROR(__xludf.DUMMYFUNCTION("""COMPUTED_VALUE"""),"CEMEI PROFESSORA CIBELE DE ANDRADE MENDES DE AZEVEDO")</f>
        <v>CEMEI PROFESSORA CIBELE DE ANDRADE MENDES DE AZEVEDO</v>
      </c>
      <c r="H36" s="35" t="str">
        <f>IFERROR(__xludf.DUMMYFUNCTION("""COMPUTED_VALUE"""),"REGIONAL 7")</f>
        <v>REGIONAL 7</v>
      </c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35" t="str">
        <f>IFERROR(__xludf.DUMMYFUNCTION("""COMPUTED_VALUE"""),"23/02/2026 14:03:33")</f>
        <v>23/02/2026 14:03:33</v>
      </c>
      <c r="B37" s="35" t="str">
        <f>IFERROR(__xludf.DUMMYFUNCTION("""COMPUTED_VALUE"""),"7")</f>
        <v>7</v>
      </c>
      <c r="C37" s="36" t="str">
        <f>IFERROR(__xludf.DUMMYFUNCTION("""COMPUTED_VALUE"""),"EMANUELLY SOFIA DA SILVA")</f>
        <v>EMANUELLY SOFIA DA SILVA</v>
      </c>
      <c r="D37" s="35" t="str">
        <f>IFERROR(__xludf.DUMMYFUNCTION("""COMPUTED_VALUE"""),"10/04/2024")</f>
        <v>10/04/2024</v>
      </c>
      <c r="E37" s="35" t="str">
        <f>IFERROR(__xludf.DUMMYFUNCTION("""COMPUTED_VALUE"""),"002.714.984-63")</f>
        <v>002.714.984-63</v>
      </c>
      <c r="F37" s="35" t="str">
        <f>IFERROR(__xludf.DUMMYFUNCTION("""COMPUTED_VALUE"""),"INFANTIL 1")</f>
        <v>INFANTIL 1</v>
      </c>
      <c r="G37" s="35" t="str">
        <f>IFERROR(__xludf.DUMMYFUNCTION("""COMPUTED_VALUE"""),"CEMEI PROFESSORA CIBELE DE ANDRADE MENDES DE AZEVEDO")</f>
        <v>CEMEI PROFESSORA CIBELE DE ANDRADE MENDES DE AZEVEDO</v>
      </c>
      <c r="H37" s="35" t="str">
        <f>IFERROR(__xludf.DUMMYFUNCTION("""COMPUTED_VALUE"""),"REGIONAL 7")</f>
        <v>REGIONAL 7</v>
      </c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35" t="str">
        <f>IFERROR(__xludf.DUMMYFUNCTION("""COMPUTED_VALUE"""),"16/03/2026 10:09:54")</f>
        <v>16/03/2026 10:09:54</v>
      </c>
      <c r="B38" s="35" t="str">
        <f>IFERROR(__xludf.DUMMYFUNCTION("""COMPUTED_VALUE"""),"8")</f>
        <v>8</v>
      </c>
      <c r="C38" s="36" t="str">
        <f>IFERROR(__xludf.DUMMYFUNCTION("""COMPUTED_VALUE"""),"HELENA MARIA CAVALCANTI MARTINS TORRES")</f>
        <v>HELENA MARIA CAVALCANTI MARTINS TORRES</v>
      </c>
      <c r="D38" s="35" t="str">
        <f>IFERROR(__xludf.DUMMYFUNCTION("""COMPUTED_VALUE"""),"15/04/2024")</f>
        <v>15/04/2024</v>
      </c>
      <c r="E38" s="35" t="str">
        <f>IFERROR(__xludf.DUMMYFUNCTION("""COMPUTED_VALUE"""),"002.611.704-57")</f>
        <v>002.611.704-57</v>
      </c>
      <c r="F38" s="35" t="str">
        <f>IFERROR(__xludf.DUMMYFUNCTION("""COMPUTED_VALUE"""),"INFANTIL 1")</f>
        <v>INFANTIL 1</v>
      </c>
      <c r="G38" s="35" t="str">
        <f>IFERROR(__xludf.DUMMYFUNCTION("""COMPUTED_VALUE"""),"CEMEI PROFESSORA CIBELE DE ANDRADE MENDES DE AZEVEDO")</f>
        <v>CEMEI PROFESSORA CIBELE DE ANDRADE MENDES DE AZEVEDO</v>
      </c>
      <c r="H38" s="35" t="str">
        <f>IFERROR(__xludf.DUMMYFUNCTION("""COMPUTED_VALUE"""),"REGIONAL 7")</f>
        <v>REGIONAL 7</v>
      </c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75" customHeight="1">
      <c r="A39" s="35" t="str">
        <f>IFERROR(__xludf.DUMMYFUNCTION("""COMPUTED_VALUE"""),"18/03/2026 12:28:10")</f>
        <v>18/03/2026 12:28:10</v>
      </c>
      <c r="B39" s="35" t="str">
        <f>IFERROR(__xludf.DUMMYFUNCTION("""COMPUTED_VALUE"""),"9")</f>
        <v>9</v>
      </c>
      <c r="C39" s="36" t="str">
        <f>IFERROR(__xludf.DUMMYFUNCTION("""COMPUTED_VALUE"""),"LAVI EMANUEL SIQUEIRA DA SILVA")</f>
        <v>LAVI EMANUEL SIQUEIRA DA SILVA</v>
      </c>
      <c r="D39" s="35" t="str">
        <f>IFERROR(__xludf.DUMMYFUNCTION("""COMPUTED_VALUE"""),"19/01/2026")</f>
        <v>19/01/2026</v>
      </c>
      <c r="E39" s="35" t="str">
        <f>IFERROR(__xludf.DUMMYFUNCTION("""COMPUTED_VALUE"""),"045.571.744-34")</f>
        <v>045.571.744-34</v>
      </c>
      <c r="F39" s="35" t="str">
        <f>IFERROR(__xludf.DUMMYFUNCTION("""COMPUTED_VALUE"""),"INFANTIL 1")</f>
        <v>INFANTIL 1</v>
      </c>
      <c r="G39" s="35" t="str">
        <f>IFERROR(__xludf.DUMMYFUNCTION("""COMPUTED_VALUE"""),"CEMEI PROFESSORA CIBELE DE ANDRADE MENDES DE AZEVEDO")</f>
        <v>CEMEI PROFESSORA CIBELE DE ANDRADE MENDES DE AZEVEDO</v>
      </c>
      <c r="H39" s="35" t="str">
        <f>IFERROR(__xludf.DUMMYFUNCTION("""COMPUTED_VALUE"""),"REGIONAL 7")</f>
        <v>REGIONAL 7</v>
      </c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5.75" customHeight="1">
      <c r="A40" s="35" t="str">
        <f>IFERROR(__xludf.DUMMYFUNCTION("""COMPUTED_VALUE"""),"26/03/2026 18:22:32")</f>
        <v>26/03/2026 18:22:32</v>
      </c>
      <c r="B40" s="35" t="str">
        <f>IFERROR(__xludf.DUMMYFUNCTION("""COMPUTED_VALUE"""),"10")</f>
        <v>10</v>
      </c>
      <c r="C40" s="36" t="str">
        <f>IFERROR(__xludf.DUMMYFUNCTION("""COMPUTED_VALUE"""),"AYLA MANUELLE ALMEIDA DURVAL BRISSANTT")</f>
        <v>AYLA MANUELLE ALMEIDA DURVAL BRISSANTT</v>
      </c>
      <c r="D40" s="35" t="str">
        <f>IFERROR(__xludf.DUMMYFUNCTION("""COMPUTED_VALUE"""),"20/11/2024")</f>
        <v>20/11/2024</v>
      </c>
      <c r="E40" s="35" t="str">
        <f>IFERROR(__xludf.DUMMYFUNCTION("""COMPUTED_VALUE"""),"004.727.814-56")</f>
        <v>004.727.814-56</v>
      </c>
      <c r="F40" s="35" t="str">
        <f>IFERROR(__xludf.DUMMYFUNCTION("""COMPUTED_VALUE"""),"INFANTIL 1")</f>
        <v>INFANTIL 1</v>
      </c>
      <c r="G40" s="35" t="str">
        <f>IFERROR(__xludf.DUMMYFUNCTION("""COMPUTED_VALUE"""),"CEMEI PROFESSORA CIBELE DE ANDRADE MENDES DE AZEVEDO")</f>
        <v>CEMEI PROFESSORA CIBELE DE ANDRADE MENDES DE AZEVEDO</v>
      </c>
      <c r="H40" s="35" t="str">
        <f>IFERROR(__xludf.DUMMYFUNCTION("""COMPUTED_VALUE"""),"REGIONAL 7")</f>
        <v>REGIONAL 7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5.75" customHeight="1">
      <c r="A41" s="35" t="str">
        <f>IFERROR(__xludf.DUMMYFUNCTION("""COMPUTED_VALUE"""),"29/04/2026 15:44:18")</f>
        <v>29/04/2026 15:44:18</v>
      </c>
      <c r="B41" s="35" t="str">
        <f>IFERROR(__xludf.DUMMYFUNCTION("""COMPUTED_VALUE"""),"11")</f>
        <v>11</v>
      </c>
      <c r="C41" s="36" t="str">
        <f>IFERROR(__xludf.DUMMYFUNCTION("""COMPUTED_VALUE"""),"AYLA SOFIA CORREIA DE LIMA")</f>
        <v>AYLA SOFIA CORREIA DE LIMA</v>
      </c>
      <c r="D41" s="35" t="str">
        <f>IFERROR(__xludf.DUMMYFUNCTION("""COMPUTED_VALUE"""),"06/05/2025")</f>
        <v>06/05/2025</v>
      </c>
      <c r="E41" s="35" t="str">
        <f>IFERROR(__xludf.DUMMYFUNCTION("""COMPUTED_VALUE"""),"006.122.294-16")</f>
        <v>006.122.294-16</v>
      </c>
      <c r="F41" s="35" t="str">
        <f>IFERROR(__xludf.DUMMYFUNCTION("""COMPUTED_VALUE"""),"INFANTIL 1")</f>
        <v>INFANTIL 1</v>
      </c>
      <c r="G41" s="35" t="str">
        <f>IFERROR(__xludf.DUMMYFUNCTION("""COMPUTED_VALUE"""),"CEMEI PROFESSORA CIBELE DE ANDRADE MENDES DE AZEVEDO")</f>
        <v>CEMEI PROFESSORA CIBELE DE ANDRADE MENDES DE AZEVEDO</v>
      </c>
      <c r="H41" s="35" t="str">
        <f>IFERROR(__xludf.DUMMYFUNCTION("""COMPUTED_VALUE"""),"REGIONAL 7")</f>
        <v>REGIONAL 7</v>
      </c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5.75" customHeight="1">
      <c r="A42" s="35" t="str">
        <f>IFERROR(__xludf.DUMMYFUNCTION("""COMPUTED_VALUE"""),"19/05/2026 10:34:49")</f>
        <v>19/05/2026 10:34:49</v>
      </c>
      <c r="B42" s="35" t="str">
        <f>IFERROR(__xludf.DUMMYFUNCTION("""COMPUTED_VALUE"""),"12")</f>
        <v>12</v>
      </c>
      <c r="C42" s="36" t="str">
        <f>IFERROR(__xludf.DUMMYFUNCTION("""COMPUTED_VALUE"""),"HARIEL CRUZ CAMPOS")</f>
        <v>HARIEL CRUZ CAMPOS</v>
      </c>
      <c r="D42" s="35" t="str">
        <f>IFERROR(__xludf.DUMMYFUNCTION("""COMPUTED_VALUE"""),"25/10/2025")</f>
        <v>25/10/2025</v>
      </c>
      <c r="E42" s="35" t="str">
        <f>IFERROR(__xludf.DUMMYFUNCTION("""COMPUTED_VALUE"""),"017.444.294-72")</f>
        <v>017.444.294-72</v>
      </c>
      <c r="F42" s="35" t="str">
        <f>IFERROR(__xludf.DUMMYFUNCTION("""COMPUTED_VALUE"""),"INFANTIL 1")</f>
        <v>INFANTIL 1</v>
      </c>
      <c r="G42" s="35" t="str">
        <f>IFERROR(__xludf.DUMMYFUNCTION("""COMPUTED_VALUE"""),"CEMEI PROFESSORA CIBELE DE ANDRADE MENDES DE AZEVEDO")</f>
        <v>CEMEI PROFESSORA CIBELE DE ANDRADE MENDES DE AZEVEDO</v>
      </c>
      <c r="H42" s="35" t="str">
        <f>IFERROR(__xludf.DUMMYFUNCTION("""COMPUTED_VALUE"""),"REGIONAL 7")</f>
        <v>REGIONAL 7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5.75" customHeight="1">
      <c r="A43" s="35" t="str">
        <f>IFERROR(__xludf.DUMMYFUNCTION("""COMPUTED_VALUE"""),"25/05/2026 18:01:52")</f>
        <v>25/05/2026 18:01:52</v>
      </c>
      <c r="B43" s="35" t="str">
        <f>IFERROR(__xludf.DUMMYFUNCTION("""COMPUTED_VALUE"""),"13")</f>
        <v>13</v>
      </c>
      <c r="C43" s="36" t="str">
        <f>IFERROR(__xludf.DUMMYFUNCTION("""COMPUTED_VALUE"""),"Naomi Uehara Alves da Silva")</f>
        <v>Naomi Uehara Alves da Silva</v>
      </c>
      <c r="D43" s="35" t="str">
        <f>IFERROR(__xludf.DUMMYFUNCTION("""COMPUTED_VALUE"""),"15/04/2025")</f>
        <v>15/04/2025</v>
      </c>
      <c r="E43" s="35" t="str">
        <f>IFERROR(__xludf.DUMMYFUNCTION("""COMPUTED_VALUE"""),"005.944.274-36")</f>
        <v>005.944.274-36</v>
      </c>
      <c r="F43" s="35" t="str">
        <f>IFERROR(__xludf.DUMMYFUNCTION("""COMPUTED_VALUE"""),"INFANTIL 1")</f>
        <v>INFANTIL 1</v>
      </c>
      <c r="G43" s="35" t="str">
        <f>IFERROR(__xludf.DUMMYFUNCTION("""COMPUTED_VALUE"""),"CEMEI PROFESSORA CIBELE DE ANDRADE MENDES DE AZEVEDO")</f>
        <v>CEMEI PROFESSORA CIBELE DE ANDRADE MENDES DE AZEVEDO</v>
      </c>
      <c r="H43" s="35" t="str">
        <f>IFERROR(__xludf.DUMMYFUNCTION("""COMPUTED_VALUE"""),"REGIONAL 7")</f>
        <v>REGIONAL 7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5.75" customHeight="1">
      <c r="A44" s="35" t="str">
        <f>IFERROR(__xludf.DUMMYFUNCTION("""COMPUTED_VALUE"""),"10/03/2026 12:16:11")</f>
        <v>10/03/2026 12:16:11</v>
      </c>
      <c r="B44" s="35" t="str">
        <f>IFERROR(__xludf.DUMMYFUNCTION("""COMPUTED_VALUE"""),"1")</f>
        <v>1</v>
      </c>
      <c r="C44" s="36" t="str">
        <f>IFERROR(__xludf.DUMMYFUNCTION("""COMPUTED_VALUE"""),"MELISSA VITÓRIA CIPRIANO DE LIMA")</f>
        <v>MELISSA VITÓRIA CIPRIANO DE LIMA</v>
      </c>
      <c r="D44" s="35" t="str">
        <f>IFERROR(__xludf.DUMMYFUNCTION("""COMPUTED_VALUE"""),"17/01/2024")</f>
        <v>17/01/2024</v>
      </c>
      <c r="E44" s="35" t="str">
        <f>IFERROR(__xludf.DUMMYFUNCTION("""COMPUTED_VALUE"""),"001.770.654-86")</f>
        <v>001.770.654-86</v>
      </c>
      <c r="F44" s="35" t="str">
        <f>IFERROR(__xludf.DUMMYFUNCTION("""COMPUTED_VALUE"""),"INFANTIL 2")</f>
        <v>INFANTIL 2</v>
      </c>
      <c r="G44" s="35" t="str">
        <f>IFERROR(__xludf.DUMMYFUNCTION("""COMPUTED_VALUE"""),"CEMEI PROFESSORA CIBELE DE ANDRADE MENDES DE AZEVEDO")</f>
        <v>CEMEI PROFESSORA CIBELE DE ANDRADE MENDES DE AZEVEDO</v>
      </c>
      <c r="H44" s="35" t="str">
        <f>IFERROR(__xludf.DUMMYFUNCTION("""COMPUTED_VALUE"""),"REGIONAL 7")</f>
        <v>REGIONAL 7</v>
      </c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5.75" customHeight="1">
      <c r="A45" s="35" t="str">
        <f>IFERROR(__xludf.DUMMYFUNCTION("""COMPUTED_VALUE"""),"17/03/2026 09:54:44")</f>
        <v>17/03/2026 09:54:44</v>
      </c>
      <c r="B45" s="35" t="str">
        <f>IFERROR(__xludf.DUMMYFUNCTION("""COMPUTED_VALUE"""),"2")</f>
        <v>2</v>
      </c>
      <c r="C45" s="36" t="str">
        <f>IFERROR(__xludf.DUMMYFUNCTION("""COMPUTED_VALUE"""),"ELOAH SOFIA SILVA DE SANTANA")</f>
        <v>ELOAH SOFIA SILVA DE SANTANA</v>
      </c>
      <c r="D45" s="35" t="str">
        <f>IFERROR(__xludf.DUMMYFUNCTION("""COMPUTED_VALUE"""),"03/01/2024")</f>
        <v>03/01/2024</v>
      </c>
      <c r="E45" s="35" t="str">
        <f>IFERROR(__xludf.DUMMYFUNCTION("""COMPUTED_VALUE"""),"001.380.254-28")</f>
        <v>001.380.254-28</v>
      </c>
      <c r="F45" s="35" t="str">
        <f>IFERROR(__xludf.DUMMYFUNCTION("""COMPUTED_VALUE"""),"INFANTIL 2")</f>
        <v>INFANTIL 2</v>
      </c>
      <c r="G45" s="35" t="str">
        <f>IFERROR(__xludf.DUMMYFUNCTION("""COMPUTED_VALUE"""),"CEMEI PROFESSORA CIBELE DE ANDRADE MENDES DE AZEVEDO")</f>
        <v>CEMEI PROFESSORA CIBELE DE ANDRADE MENDES DE AZEVEDO</v>
      </c>
      <c r="H45" s="35" t="str">
        <f>IFERROR(__xludf.DUMMYFUNCTION("""COMPUTED_VALUE"""),"REGIONAL 7")</f>
        <v>REGIONAL 7</v>
      </c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15.75" customHeight="1">
      <c r="A46" s="35" t="str">
        <f>IFERROR(__xludf.DUMMYFUNCTION("""COMPUTED_VALUE"""),"05/05/2026 11:36:38")</f>
        <v>05/05/2026 11:36:38</v>
      </c>
      <c r="B46" s="35" t="str">
        <f>IFERROR(__xludf.DUMMYFUNCTION("""COMPUTED_VALUE"""),"3")</f>
        <v>3</v>
      </c>
      <c r="C46" s="36" t="str">
        <f>IFERROR(__xludf.DUMMYFUNCTION("""COMPUTED_VALUE"""),"LUNA MARIA GOMES ALVES")</f>
        <v>LUNA MARIA GOMES ALVES</v>
      </c>
      <c r="D46" s="35" t="str">
        <f>IFERROR(__xludf.DUMMYFUNCTION("""COMPUTED_VALUE"""),"08/01/2024")</f>
        <v>08/01/2024</v>
      </c>
      <c r="E46" s="35" t="str">
        <f>IFERROR(__xludf.DUMMYFUNCTION("""COMPUTED_VALUE"""),"001.809.754-55")</f>
        <v>001.809.754-55</v>
      </c>
      <c r="F46" s="35" t="str">
        <f>IFERROR(__xludf.DUMMYFUNCTION("""COMPUTED_VALUE"""),"INFANTIL 2")</f>
        <v>INFANTIL 2</v>
      </c>
      <c r="G46" s="35" t="str">
        <f>IFERROR(__xludf.DUMMYFUNCTION("""COMPUTED_VALUE"""),"CEMEI PROFESSORA CIBELE DE ANDRADE MENDES DE AZEVEDO")</f>
        <v>CEMEI PROFESSORA CIBELE DE ANDRADE MENDES DE AZEVEDO</v>
      </c>
      <c r="H46" s="35" t="str">
        <f>IFERROR(__xludf.DUMMYFUNCTION("""COMPUTED_VALUE"""),"REGIONAL 7")</f>
        <v>REGIONAL 7</v>
      </c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15.75" customHeight="1">
      <c r="A47" s="35" t="str">
        <f>IFERROR(__xludf.DUMMYFUNCTION("""COMPUTED_VALUE"""),"25/05/2026 18:09:35")</f>
        <v>25/05/2026 18:09:35</v>
      </c>
      <c r="B47" s="35" t="str">
        <f>IFERROR(__xludf.DUMMYFUNCTION("""COMPUTED_VALUE"""),"4")</f>
        <v>4</v>
      </c>
      <c r="C47" s="36" t="str">
        <f>IFERROR(__xludf.DUMMYFUNCTION("""COMPUTED_VALUE"""),"Anthony Gabriel Alves Teixeira da silva")</f>
        <v>Anthony Gabriel Alves Teixeira da silva</v>
      </c>
      <c r="D47" s="35" t="str">
        <f>IFERROR(__xludf.DUMMYFUNCTION("""COMPUTED_VALUE"""),"29/02/2024")</f>
        <v>29/02/2024</v>
      </c>
      <c r="E47" s="35" t="str">
        <f>IFERROR(__xludf.DUMMYFUNCTION("""COMPUTED_VALUE"""),"002.138.204-20")</f>
        <v>002.138.204-20</v>
      </c>
      <c r="F47" s="35" t="str">
        <f>IFERROR(__xludf.DUMMYFUNCTION("""COMPUTED_VALUE"""),"INFANTIL 2")</f>
        <v>INFANTIL 2</v>
      </c>
      <c r="G47" s="35" t="str">
        <f>IFERROR(__xludf.DUMMYFUNCTION("""COMPUTED_VALUE"""),"CEMEI PROFESSORA CIBELE DE ANDRADE MENDES DE AZEVEDO")</f>
        <v>CEMEI PROFESSORA CIBELE DE ANDRADE MENDES DE AZEVEDO</v>
      </c>
      <c r="H47" s="35" t="str">
        <f>IFERROR(__xludf.DUMMYFUNCTION("""COMPUTED_VALUE"""),"REGIONAL 7")</f>
        <v>REGIONAL 7</v>
      </c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5.75" customHeight="1">
      <c r="A48" s="35" t="str">
        <f>IFERROR(__xludf.DUMMYFUNCTION("""COMPUTED_VALUE"""),"09/03/2026 13:36:35")</f>
        <v>09/03/2026 13:36:35</v>
      </c>
      <c r="B48" s="35" t="str">
        <f>IFERROR(__xludf.DUMMYFUNCTION("""COMPUTED_VALUE"""),"1")</f>
        <v>1</v>
      </c>
      <c r="C48" s="36" t="str">
        <f>IFERROR(__xludf.DUMMYFUNCTION("""COMPUTED_VALUE"""),"BRAYAN MENDES")</f>
        <v>BRAYAN MENDES</v>
      </c>
      <c r="D48" s="35" t="str">
        <f>IFERROR(__xludf.DUMMYFUNCTION("""COMPUTED_VALUE"""),"07/02/2023")</f>
        <v>07/02/2023</v>
      </c>
      <c r="E48" s="35" t="str">
        <f>IFERROR(__xludf.DUMMYFUNCTION("""COMPUTED_VALUE"""),"006.823.174-11")</f>
        <v>006.823.174-11</v>
      </c>
      <c r="F48" s="35" t="str">
        <f>IFERROR(__xludf.DUMMYFUNCTION("""COMPUTED_VALUE"""),"INFANTIL 3")</f>
        <v>INFANTIL 3</v>
      </c>
      <c r="G48" s="35" t="str">
        <f>IFERROR(__xludf.DUMMYFUNCTION("""COMPUTED_VALUE"""),"CEMEI PROFESSORA CIBELE DE ANDRADE MENDES DE AZEVEDO")</f>
        <v>CEMEI PROFESSORA CIBELE DE ANDRADE MENDES DE AZEVEDO</v>
      </c>
      <c r="H48" s="35" t="str">
        <f>IFERROR(__xludf.DUMMYFUNCTION("""COMPUTED_VALUE"""),"REGIONAL 7")</f>
        <v>REGIONAL 7</v>
      </c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5.75" customHeight="1">
      <c r="A49" s="35" t="str">
        <f>IFERROR(__xludf.DUMMYFUNCTION("""COMPUTED_VALUE"""),"23/03/2026 18:55:05")</f>
        <v>23/03/2026 18:55:05</v>
      </c>
      <c r="B49" s="35" t="str">
        <f>IFERROR(__xludf.DUMMYFUNCTION("""COMPUTED_VALUE"""),"2")</f>
        <v>2</v>
      </c>
      <c r="C49" s="36" t="str">
        <f>IFERROR(__xludf.DUMMYFUNCTION("""COMPUTED_VALUE"""),"FRANK GAEL COSTA LOPES")</f>
        <v>FRANK GAEL COSTA LOPES</v>
      </c>
      <c r="D49" s="35" t="str">
        <f>IFERROR(__xludf.DUMMYFUNCTION("""COMPUTED_VALUE"""),"08/06/2022")</f>
        <v>08/06/2022</v>
      </c>
      <c r="E49" s="35" t="str">
        <f>IFERROR(__xludf.DUMMYFUNCTION("""COMPUTED_VALUE"""),"181.868.494-24")</f>
        <v>181.868.494-24</v>
      </c>
      <c r="F49" s="35" t="str">
        <f>IFERROR(__xludf.DUMMYFUNCTION("""COMPUTED_VALUE"""),"INFANTIL 3")</f>
        <v>INFANTIL 3</v>
      </c>
      <c r="G49" s="35" t="str">
        <f>IFERROR(__xludf.DUMMYFUNCTION("""COMPUTED_VALUE"""),"CEMEI PROFESSORA CIBELE DE ANDRADE MENDES DE AZEVEDO")</f>
        <v>CEMEI PROFESSORA CIBELE DE ANDRADE MENDES DE AZEVEDO</v>
      </c>
      <c r="H49" s="35" t="str">
        <f>IFERROR(__xludf.DUMMYFUNCTION("""COMPUTED_VALUE"""),"REGIONAL 7")</f>
        <v>REGIONAL 7</v>
      </c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5.75" customHeight="1">
      <c r="A50" s="35" t="str">
        <f>IFERROR(__xludf.DUMMYFUNCTION("""COMPUTED_VALUE"""),"22/04/2026 15:18:51")</f>
        <v>22/04/2026 15:18:51</v>
      </c>
      <c r="B50" s="35" t="str">
        <f>IFERROR(__xludf.DUMMYFUNCTION("""COMPUTED_VALUE"""),"3")</f>
        <v>3</v>
      </c>
      <c r="C50" s="36" t="str">
        <f>IFERROR(__xludf.DUMMYFUNCTION("""COMPUTED_VALUE"""),"AYLLA MOANA MAGALHÃES DA SILVA")</f>
        <v>AYLLA MOANA MAGALHÃES DA SILVA</v>
      </c>
      <c r="D50" s="35" t="str">
        <f>IFERROR(__xludf.DUMMYFUNCTION("""COMPUTED_VALUE"""),"05/01/2023")</f>
        <v>05/01/2023</v>
      </c>
      <c r="E50" s="35" t="str">
        <f>IFERROR(__xludf.DUMMYFUNCTION("""COMPUTED_VALUE"""),"184.259.274-20")</f>
        <v>184.259.274-20</v>
      </c>
      <c r="F50" s="35" t="str">
        <f>IFERROR(__xludf.DUMMYFUNCTION("""COMPUTED_VALUE"""),"INFANTIL 3")</f>
        <v>INFANTIL 3</v>
      </c>
      <c r="G50" s="35" t="str">
        <f>IFERROR(__xludf.DUMMYFUNCTION("""COMPUTED_VALUE"""),"CEMEI PROFESSORA CIBELE DE ANDRADE MENDES DE AZEVEDO")</f>
        <v>CEMEI PROFESSORA CIBELE DE ANDRADE MENDES DE AZEVEDO</v>
      </c>
      <c r="H50" s="35" t="str">
        <f>IFERROR(__xludf.DUMMYFUNCTION("""COMPUTED_VALUE"""),"REGIONAL 7")</f>
        <v>REGIONAL 7</v>
      </c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5.75" customHeight="1">
      <c r="A51" s="35" t="str">
        <f>IFERROR(__xludf.DUMMYFUNCTION("""COMPUTED_VALUE"""),"23/04/2026 10:57:36")</f>
        <v>23/04/2026 10:57:36</v>
      </c>
      <c r="B51" s="35" t="str">
        <f>IFERROR(__xludf.DUMMYFUNCTION("""COMPUTED_VALUE"""),"4")</f>
        <v>4</v>
      </c>
      <c r="C51" s="36" t="str">
        <f>IFERROR(__xludf.DUMMYFUNCTION("""COMPUTED_VALUE"""),"AYLLA VALENTINA SOUZA DOS SANTOS")</f>
        <v>AYLLA VALENTINA SOUZA DOS SANTOS</v>
      </c>
      <c r="D51" s="35" t="str">
        <f>IFERROR(__xludf.DUMMYFUNCTION("""COMPUTED_VALUE"""),"18/11/2022")</f>
        <v>18/11/2022</v>
      </c>
      <c r="E51" s="35" t="str">
        <f>IFERROR(__xludf.DUMMYFUNCTION("""COMPUTED_VALUE"""),"183.494.434-13")</f>
        <v>183.494.434-13</v>
      </c>
      <c r="F51" s="35" t="str">
        <f>IFERROR(__xludf.DUMMYFUNCTION("""COMPUTED_VALUE"""),"INFANTIL 3")</f>
        <v>INFANTIL 3</v>
      </c>
      <c r="G51" s="35" t="str">
        <f>IFERROR(__xludf.DUMMYFUNCTION("""COMPUTED_VALUE"""),"CEMEI PROFESSORA CIBELE DE ANDRADE MENDES DE AZEVEDO")</f>
        <v>CEMEI PROFESSORA CIBELE DE ANDRADE MENDES DE AZEVEDO</v>
      </c>
      <c r="H51" s="35" t="str">
        <f>IFERROR(__xludf.DUMMYFUNCTION("""COMPUTED_VALUE"""),"REGIONAL 7")</f>
        <v>REGIONAL 7</v>
      </c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5.75" customHeight="1">
      <c r="A52" s="35" t="str">
        <f>IFERROR(__xludf.DUMMYFUNCTION("""COMPUTED_VALUE"""),"13/05/2026 10:59:27")</f>
        <v>13/05/2026 10:59:27</v>
      </c>
      <c r="B52" s="35" t="str">
        <f>IFERROR(__xludf.DUMMYFUNCTION("""COMPUTED_VALUE"""),"5")</f>
        <v>5</v>
      </c>
      <c r="C52" s="36" t="str">
        <f>IFERROR(__xludf.DUMMYFUNCTION("""COMPUTED_VALUE"""),"REBECA LUANA DA SILVA MILANEZ")</f>
        <v>REBECA LUANA DA SILVA MILANEZ</v>
      </c>
      <c r="D52" s="35" t="str">
        <f>IFERROR(__xludf.DUMMYFUNCTION("""COMPUTED_VALUE"""),"21/09/2022")</f>
        <v>21/09/2022</v>
      </c>
      <c r="E52" s="35" t="str">
        <f>IFERROR(__xludf.DUMMYFUNCTION("""COMPUTED_VALUE"""),"182.950.714-16")</f>
        <v>182.950.714-16</v>
      </c>
      <c r="F52" s="35" t="str">
        <f>IFERROR(__xludf.DUMMYFUNCTION("""COMPUTED_VALUE"""),"INFANTIL 3")</f>
        <v>INFANTIL 3</v>
      </c>
      <c r="G52" s="35" t="str">
        <f>IFERROR(__xludf.DUMMYFUNCTION("""COMPUTED_VALUE"""),"CEMEI PROFESSORA CIBELE DE ANDRADE MENDES DE AZEVEDO")</f>
        <v>CEMEI PROFESSORA CIBELE DE ANDRADE MENDES DE AZEVEDO</v>
      </c>
      <c r="H52" s="35" t="str">
        <f>IFERROR(__xludf.DUMMYFUNCTION("""COMPUTED_VALUE"""),"REGIONAL 7")</f>
        <v>REGIONAL 7</v>
      </c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5.75" customHeight="1">
      <c r="A53" s="35" t="str">
        <f>IFERROR(__xludf.DUMMYFUNCTION("""COMPUTED_VALUE"""),"28/01/2026 08:08:23")</f>
        <v>28/01/2026 08:08:23</v>
      </c>
      <c r="B53" s="35" t="str">
        <f>IFERROR(__xludf.DUMMYFUNCTION("""COMPUTED_VALUE"""),"1")</f>
        <v>1</v>
      </c>
      <c r="C53" s="36" t="str">
        <f>IFERROR(__xludf.DUMMYFUNCTION("""COMPUTED_VALUE"""),"LUNNA SOPHIA DA SILVA ARAÚJO")</f>
        <v>LUNNA SOPHIA DA SILVA ARAÚJO</v>
      </c>
      <c r="D53" s="35" t="str">
        <f>IFERROR(__xludf.DUMMYFUNCTION("""COMPUTED_VALUE"""),"07/11/2024")</f>
        <v>07/11/2024</v>
      </c>
      <c r="E53" s="35" t="str">
        <f>IFERROR(__xludf.DUMMYFUNCTION("""COMPUTED_VALUE"""),"004.595.404-67")</f>
        <v>004.595.404-67</v>
      </c>
      <c r="F53" s="35" t="str">
        <f>IFERROR(__xludf.DUMMYFUNCTION("""COMPUTED_VALUE"""),"INFANTIL 1")</f>
        <v>INFANTIL 1</v>
      </c>
      <c r="G53" s="35" t="str">
        <f>IFERROR(__xludf.DUMMYFUNCTION("""COMPUTED_VALUE"""),"CEMEI PROFESSORA LINDOMAR DOMINGOS DA SILVA ANJOS")</f>
        <v>CEMEI PROFESSORA LINDOMAR DOMINGOS DA SILVA ANJOS</v>
      </c>
      <c r="H53" s="35" t="str">
        <f>IFERROR(__xludf.DUMMYFUNCTION("""COMPUTED_VALUE"""),"REGIONAL 5")</f>
        <v>REGIONAL 5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5.75" customHeight="1">
      <c r="A54" s="35" t="str">
        <f>IFERROR(__xludf.DUMMYFUNCTION("""COMPUTED_VALUE"""),"28/01/2026 08:08:37")</f>
        <v>28/01/2026 08:08:37</v>
      </c>
      <c r="B54" s="35" t="str">
        <f>IFERROR(__xludf.DUMMYFUNCTION("""COMPUTED_VALUE"""),"2")</f>
        <v>2</v>
      </c>
      <c r="C54" s="36" t="str">
        <f>IFERROR(__xludf.DUMMYFUNCTION("""COMPUTED_VALUE"""),"BRYAN ARTHUR COSTA SILVA")</f>
        <v>BRYAN ARTHUR COSTA SILVA</v>
      </c>
      <c r="D54" s="35" t="str">
        <f>IFERROR(__xludf.DUMMYFUNCTION("""COMPUTED_VALUE"""),"13/09/2024")</f>
        <v>13/09/2024</v>
      </c>
      <c r="E54" s="35" t="str">
        <f>IFERROR(__xludf.DUMMYFUNCTION("""COMPUTED_VALUE"""),"004.069.734-74")</f>
        <v>004.069.734-74</v>
      </c>
      <c r="F54" s="35" t="str">
        <f>IFERROR(__xludf.DUMMYFUNCTION("""COMPUTED_VALUE"""),"INFANTIL 1")</f>
        <v>INFANTIL 1</v>
      </c>
      <c r="G54" s="35" t="str">
        <f>IFERROR(__xludf.DUMMYFUNCTION("""COMPUTED_VALUE"""),"CEMEI PROFESSORA LINDOMAR DOMINGOS DA SILVA ANJOS")</f>
        <v>CEMEI PROFESSORA LINDOMAR DOMINGOS DA SILVA ANJOS</v>
      </c>
      <c r="H54" s="35" t="str">
        <f>IFERROR(__xludf.DUMMYFUNCTION("""COMPUTED_VALUE"""),"REGIONAL 5")</f>
        <v>REGIONAL 5</v>
      </c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5.75" customHeight="1">
      <c r="A55" s="35" t="str">
        <f>IFERROR(__xludf.DUMMYFUNCTION("""COMPUTED_VALUE"""),"28/01/2026 08:11:25")</f>
        <v>28/01/2026 08:11:25</v>
      </c>
      <c r="B55" s="35" t="str">
        <f>IFERROR(__xludf.DUMMYFUNCTION("""COMPUTED_VALUE"""),"3")</f>
        <v>3</v>
      </c>
      <c r="C55" s="36" t="str">
        <f>IFERROR(__xludf.DUMMYFUNCTION("""COMPUTED_VALUE"""),"ANNA LIZ COSTA DA SILVA MOURA")</f>
        <v>ANNA LIZ COSTA DA SILVA MOURA</v>
      </c>
      <c r="D55" s="35" t="str">
        <f>IFERROR(__xludf.DUMMYFUNCTION("""COMPUTED_VALUE"""),"20/04/2024")</f>
        <v>20/04/2024</v>
      </c>
      <c r="E55" s="35" t="str">
        <f>IFERROR(__xludf.DUMMYFUNCTION("""COMPUTED_VALUE"""),"170.372.894-77")</f>
        <v>170.372.894-77</v>
      </c>
      <c r="F55" s="35" t="str">
        <f>IFERROR(__xludf.DUMMYFUNCTION("""COMPUTED_VALUE"""),"INFANTIL 1")</f>
        <v>INFANTIL 1</v>
      </c>
      <c r="G55" s="35" t="str">
        <f>IFERROR(__xludf.DUMMYFUNCTION("""COMPUTED_VALUE"""),"CEMEI PROFESSORA LINDOMAR DOMINGOS DA SILVA ANJOS")</f>
        <v>CEMEI PROFESSORA LINDOMAR DOMINGOS DA SILVA ANJOS</v>
      </c>
      <c r="H55" s="35" t="str">
        <f>IFERROR(__xludf.DUMMYFUNCTION("""COMPUTED_VALUE"""),"REGIONAL 5")</f>
        <v>REGIONAL 5</v>
      </c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5.75" customHeight="1">
      <c r="A56" s="35" t="str">
        <f>IFERROR(__xludf.DUMMYFUNCTION("""COMPUTED_VALUE"""),"28/01/2026 08:13:45")</f>
        <v>28/01/2026 08:13:45</v>
      </c>
      <c r="B56" s="35" t="str">
        <f>IFERROR(__xludf.DUMMYFUNCTION("""COMPUTED_VALUE"""),"4")</f>
        <v>4</v>
      </c>
      <c r="C56" s="36" t="str">
        <f>IFERROR(__xludf.DUMMYFUNCTION("""COMPUTED_VALUE"""),"GEYSON LUCAS CABRAL DA SILVA")</f>
        <v>GEYSON LUCAS CABRAL DA SILVA</v>
      </c>
      <c r="D56" s="35" t="str">
        <f>IFERROR(__xludf.DUMMYFUNCTION("""COMPUTED_VALUE"""),"18/07/2024")</f>
        <v>18/07/2024</v>
      </c>
      <c r="E56" s="35" t="str">
        <f>IFERROR(__xludf.DUMMYFUNCTION("""COMPUTED_VALUE"""),"003.545.084-31")</f>
        <v>003.545.084-31</v>
      </c>
      <c r="F56" s="35" t="str">
        <f>IFERROR(__xludf.DUMMYFUNCTION("""COMPUTED_VALUE"""),"INFANTIL 1")</f>
        <v>INFANTIL 1</v>
      </c>
      <c r="G56" s="35" t="str">
        <f>IFERROR(__xludf.DUMMYFUNCTION("""COMPUTED_VALUE"""),"CEMEI PROFESSORA LINDOMAR DOMINGOS DA SILVA ANJOS")</f>
        <v>CEMEI PROFESSORA LINDOMAR DOMINGOS DA SILVA ANJOS</v>
      </c>
      <c r="H56" s="35" t="str">
        <f>IFERROR(__xludf.DUMMYFUNCTION("""COMPUTED_VALUE"""),"REGIONAL 5")</f>
        <v>REGIONAL 5</v>
      </c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5.75" customHeight="1">
      <c r="A57" s="35" t="str">
        <f>IFERROR(__xludf.DUMMYFUNCTION("""COMPUTED_VALUE"""),"28/01/2026 08:25:22")</f>
        <v>28/01/2026 08:25:22</v>
      </c>
      <c r="B57" s="35" t="str">
        <f>IFERROR(__xludf.DUMMYFUNCTION("""COMPUTED_VALUE"""),"5")</f>
        <v>5</v>
      </c>
      <c r="C57" s="36" t="str">
        <f>IFERROR(__xludf.DUMMYFUNCTION("""COMPUTED_VALUE"""),"HELENA MAITÊ BARRETO DA SILVA")</f>
        <v>HELENA MAITÊ BARRETO DA SILVA</v>
      </c>
      <c r="D57" s="35" t="str">
        <f>IFERROR(__xludf.DUMMYFUNCTION("""COMPUTED_VALUE"""),"02/11/2024")</f>
        <v>02/11/2024</v>
      </c>
      <c r="E57" s="35" t="str">
        <f>IFERROR(__xludf.DUMMYFUNCTION("""COMPUTED_VALUE"""),"004.709.854-61")</f>
        <v>004.709.854-61</v>
      </c>
      <c r="F57" s="35" t="str">
        <f>IFERROR(__xludf.DUMMYFUNCTION("""COMPUTED_VALUE"""),"INFANTIL 1")</f>
        <v>INFANTIL 1</v>
      </c>
      <c r="G57" s="35" t="str">
        <f>IFERROR(__xludf.DUMMYFUNCTION("""COMPUTED_VALUE"""),"CEMEI PROFESSORA LINDOMAR DOMINGOS DA SILVA ANJOS")</f>
        <v>CEMEI PROFESSORA LINDOMAR DOMINGOS DA SILVA ANJOS</v>
      </c>
      <c r="H57" s="35" t="str">
        <f>IFERROR(__xludf.DUMMYFUNCTION("""COMPUTED_VALUE"""),"REGIONAL 5")</f>
        <v>REGIONAL 5</v>
      </c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5.75" customHeight="1">
      <c r="A58" s="35" t="str">
        <f>IFERROR(__xludf.DUMMYFUNCTION("""COMPUTED_VALUE"""),"28/01/2026 09:18:21")</f>
        <v>28/01/2026 09:18:21</v>
      </c>
      <c r="B58" s="35" t="str">
        <f>IFERROR(__xludf.DUMMYFUNCTION("""COMPUTED_VALUE"""),"6")</f>
        <v>6</v>
      </c>
      <c r="C58" s="36" t="str">
        <f>IFERROR(__xludf.DUMMYFUNCTION("""COMPUTED_VALUE"""),"HELOISA FERREIRA MIRANDA DA SILVA")</f>
        <v>HELOISA FERREIRA MIRANDA DA SILVA</v>
      </c>
      <c r="D58" s="35" t="str">
        <f>IFERROR(__xludf.DUMMYFUNCTION("""COMPUTED_VALUE"""),"15/01/2025")</f>
        <v>15/01/2025</v>
      </c>
      <c r="E58" s="35" t="str">
        <f>IFERROR(__xludf.DUMMYFUNCTION("""COMPUTED_VALUE"""),"005.241.694-11")</f>
        <v>005.241.694-11</v>
      </c>
      <c r="F58" s="35" t="str">
        <f>IFERROR(__xludf.DUMMYFUNCTION("""COMPUTED_VALUE"""),"INFANTIL 1")</f>
        <v>INFANTIL 1</v>
      </c>
      <c r="G58" s="35" t="str">
        <f>IFERROR(__xludf.DUMMYFUNCTION("""COMPUTED_VALUE"""),"CEMEI PROFESSORA LINDOMAR DOMINGOS DA SILVA ANJOS")</f>
        <v>CEMEI PROFESSORA LINDOMAR DOMINGOS DA SILVA ANJOS</v>
      </c>
      <c r="H58" s="35" t="str">
        <f>IFERROR(__xludf.DUMMYFUNCTION("""COMPUTED_VALUE"""),"REGIONAL 5")</f>
        <v>REGIONAL 5</v>
      </c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5.75" customHeight="1">
      <c r="A59" s="35" t="str">
        <f>IFERROR(__xludf.DUMMYFUNCTION("""COMPUTED_VALUE"""),"28/01/2026 09:33:11")</f>
        <v>28/01/2026 09:33:11</v>
      </c>
      <c r="B59" s="35" t="str">
        <f>IFERROR(__xludf.DUMMYFUNCTION("""COMPUTED_VALUE"""),"7")</f>
        <v>7</v>
      </c>
      <c r="C59" s="36" t="str">
        <f>IFERROR(__xludf.DUMMYFUNCTION("""COMPUTED_VALUE"""),"JASMYNE ELOISE DOS SANTOS")</f>
        <v>JASMYNE ELOISE DOS SANTOS</v>
      </c>
      <c r="D59" s="35" t="str">
        <f>IFERROR(__xludf.DUMMYFUNCTION("""COMPUTED_VALUE"""),"23/06/2024")</f>
        <v>23/06/2024</v>
      </c>
      <c r="E59" s="35" t="str">
        <f>IFERROR(__xludf.DUMMYFUNCTION("""COMPUTED_VALUE"""),"004.726.704-68")</f>
        <v>004.726.704-68</v>
      </c>
      <c r="F59" s="35" t="str">
        <f>IFERROR(__xludf.DUMMYFUNCTION("""COMPUTED_VALUE"""),"INFANTIL 1")</f>
        <v>INFANTIL 1</v>
      </c>
      <c r="G59" s="35" t="str">
        <f>IFERROR(__xludf.DUMMYFUNCTION("""COMPUTED_VALUE"""),"CEMEI PROFESSORA LINDOMAR DOMINGOS DA SILVA ANJOS")</f>
        <v>CEMEI PROFESSORA LINDOMAR DOMINGOS DA SILVA ANJOS</v>
      </c>
      <c r="H59" s="35" t="str">
        <f>IFERROR(__xludf.DUMMYFUNCTION("""COMPUTED_VALUE"""),"REGIONAL 5")</f>
        <v>REGIONAL 5</v>
      </c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5.75" customHeight="1">
      <c r="A60" s="35" t="str">
        <f>IFERROR(__xludf.DUMMYFUNCTION("""COMPUTED_VALUE"""),"28/01/2026 09:38:34")</f>
        <v>28/01/2026 09:38:34</v>
      </c>
      <c r="B60" s="35" t="str">
        <f>IFERROR(__xludf.DUMMYFUNCTION("""COMPUTED_VALUE"""),"8")</f>
        <v>8</v>
      </c>
      <c r="C60" s="36" t="str">
        <f>IFERROR(__xludf.DUMMYFUNCTION("""COMPUTED_VALUE"""),"ALEF GABRIEL FERREIRA SALES")</f>
        <v>ALEF GABRIEL FERREIRA SALES</v>
      </c>
      <c r="D60" s="35" t="str">
        <f>IFERROR(__xludf.DUMMYFUNCTION("""COMPUTED_VALUE"""),"31/05/2024")</f>
        <v>31/05/2024</v>
      </c>
      <c r="E60" s="35" t="str">
        <f>IFERROR(__xludf.DUMMYFUNCTION("""COMPUTED_VALUE"""),"003.127.374-24")</f>
        <v>003.127.374-24</v>
      </c>
      <c r="F60" s="35" t="str">
        <f>IFERROR(__xludf.DUMMYFUNCTION("""COMPUTED_VALUE"""),"INFANTIL 1")</f>
        <v>INFANTIL 1</v>
      </c>
      <c r="G60" s="35" t="str">
        <f>IFERROR(__xludf.DUMMYFUNCTION("""COMPUTED_VALUE"""),"CEMEI PROFESSORA LINDOMAR DOMINGOS DA SILVA ANJOS")</f>
        <v>CEMEI PROFESSORA LINDOMAR DOMINGOS DA SILVA ANJOS</v>
      </c>
      <c r="H60" s="35" t="str">
        <f>IFERROR(__xludf.DUMMYFUNCTION("""COMPUTED_VALUE"""),"REGIONAL 5")</f>
        <v>REGIONAL 5</v>
      </c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5.75" customHeight="1">
      <c r="A61" s="35" t="str">
        <f>IFERROR(__xludf.DUMMYFUNCTION("""COMPUTED_VALUE"""),"28/01/2026 10:45:36")</f>
        <v>28/01/2026 10:45:36</v>
      </c>
      <c r="B61" s="35" t="str">
        <f>IFERROR(__xludf.DUMMYFUNCTION("""COMPUTED_VALUE"""),"9")</f>
        <v>9</v>
      </c>
      <c r="C61" s="36" t="str">
        <f>IFERROR(__xludf.DUMMYFUNCTION("""COMPUTED_VALUE"""),"THEO MENDES DA SILVA")</f>
        <v>THEO MENDES DA SILVA</v>
      </c>
      <c r="D61" s="35" t="str">
        <f>IFERROR(__xludf.DUMMYFUNCTION("""COMPUTED_VALUE"""),"25/11/2024")</f>
        <v>25/11/2024</v>
      </c>
      <c r="E61" s="35" t="str">
        <f>IFERROR(__xludf.DUMMYFUNCTION("""COMPUTED_VALUE"""),"004.687.804-16")</f>
        <v>004.687.804-16</v>
      </c>
      <c r="F61" s="35" t="str">
        <f>IFERROR(__xludf.DUMMYFUNCTION("""COMPUTED_VALUE"""),"INFANTIL 1")</f>
        <v>INFANTIL 1</v>
      </c>
      <c r="G61" s="35" t="str">
        <f>IFERROR(__xludf.DUMMYFUNCTION("""COMPUTED_VALUE"""),"CEMEI PROFESSORA LINDOMAR DOMINGOS DA SILVA ANJOS")</f>
        <v>CEMEI PROFESSORA LINDOMAR DOMINGOS DA SILVA ANJOS</v>
      </c>
      <c r="H61" s="35" t="str">
        <f>IFERROR(__xludf.DUMMYFUNCTION("""COMPUTED_VALUE"""),"REGIONAL 5")</f>
        <v>REGIONAL 5</v>
      </c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5.75" customHeight="1">
      <c r="A62" s="35" t="str">
        <f>IFERROR(__xludf.DUMMYFUNCTION("""COMPUTED_VALUE"""),"28/01/2026 12:49:55")</f>
        <v>28/01/2026 12:49:55</v>
      </c>
      <c r="B62" s="35" t="str">
        <f>IFERROR(__xludf.DUMMYFUNCTION("""COMPUTED_VALUE"""),"10")</f>
        <v>10</v>
      </c>
      <c r="C62" s="36" t="str">
        <f>IFERROR(__xludf.DUMMYFUNCTION("""COMPUTED_VALUE"""),"KAYLLANY CECÍLIA FEITOZA SANTOS DA SILVA")</f>
        <v>KAYLLANY CECÍLIA FEITOZA SANTOS DA SILVA</v>
      </c>
      <c r="D62" s="35" t="str">
        <f>IFERROR(__xludf.DUMMYFUNCTION("""COMPUTED_VALUE"""),"10/09/2024")</f>
        <v>10/09/2024</v>
      </c>
      <c r="E62" s="35" t="str">
        <f>IFERROR(__xludf.DUMMYFUNCTION("""COMPUTED_VALUE"""),"004.046.764-30")</f>
        <v>004.046.764-30</v>
      </c>
      <c r="F62" s="35" t="str">
        <f>IFERROR(__xludf.DUMMYFUNCTION("""COMPUTED_VALUE"""),"INFANTIL 1")</f>
        <v>INFANTIL 1</v>
      </c>
      <c r="G62" s="35" t="str">
        <f>IFERROR(__xludf.DUMMYFUNCTION("""COMPUTED_VALUE"""),"CEMEI PROFESSORA LINDOMAR DOMINGOS DA SILVA ANJOS")</f>
        <v>CEMEI PROFESSORA LINDOMAR DOMINGOS DA SILVA ANJOS</v>
      </c>
      <c r="H62" s="35" t="str">
        <f>IFERROR(__xludf.DUMMYFUNCTION("""COMPUTED_VALUE"""),"REGIONAL 5")</f>
        <v>REGIONAL 5</v>
      </c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5.75" customHeight="1">
      <c r="A63" s="35" t="str">
        <f>IFERROR(__xludf.DUMMYFUNCTION("""COMPUTED_VALUE"""),"28/01/2026 20:34:21")</f>
        <v>28/01/2026 20:34:21</v>
      </c>
      <c r="B63" s="35" t="str">
        <f>IFERROR(__xludf.DUMMYFUNCTION("""COMPUTED_VALUE"""),"11")</f>
        <v>11</v>
      </c>
      <c r="C63" s="36" t="str">
        <f>IFERROR(__xludf.DUMMYFUNCTION("""COMPUTED_VALUE"""),"LUNNA HÊLOA PINHEIRO DOS SANTOS")</f>
        <v>LUNNA HÊLOA PINHEIRO DOS SANTOS</v>
      </c>
      <c r="D63" s="35" t="str">
        <f>IFERROR(__xludf.DUMMYFUNCTION("""COMPUTED_VALUE"""),"01/04/2024")</f>
        <v>01/04/2024</v>
      </c>
      <c r="E63" s="35" t="str">
        <f>IFERROR(__xludf.DUMMYFUNCTION("""COMPUTED_VALUE"""),"002.535.554-69")</f>
        <v>002.535.554-69</v>
      </c>
      <c r="F63" s="35" t="str">
        <f>IFERROR(__xludf.DUMMYFUNCTION("""COMPUTED_VALUE"""),"INFANTIL 1")</f>
        <v>INFANTIL 1</v>
      </c>
      <c r="G63" s="35" t="str">
        <f>IFERROR(__xludf.DUMMYFUNCTION("""COMPUTED_VALUE"""),"CEMEI PROFESSORA LINDOMAR DOMINGOS DA SILVA ANJOS")</f>
        <v>CEMEI PROFESSORA LINDOMAR DOMINGOS DA SILVA ANJOS</v>
      </c>
      <c r="H63" s="35" t="str">
        <f>IFERROR(__xludf.DUMMYFUNCTION("""COMPUTED_VALUE"""),"REGIONAL 5")</f>
        <v>REGIONAL 5</v>
      </c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5.75" customHeight="1">
      <c r="A64" s="35" t="str">
        <f>IFERROR(__xludf.DUMMYFUNCTION("""COMPUTED_VALUE"""),"06/02/2026 14:12:06")</f>
        <v>06/02/2026 14:12:06</v>
      </c>
      <c r="B64" s="35" t="str">
        <f>IFERROR(__xludf.DUMMYFUNCTION("""COMPUTED_VALUE"""),"12")</f>
        <v>12</v>
      </c>
      <c r="C64" s="36" t="str">
        <f>IFERROR(__xludf.DUMMYFUNCTION("""COMPUTED_VALUE"""),"VIVIANE MARIA DE SANTANA FERREIRA")</f>
        <v>VIVIANE MARIA DE SANTANA FERREIRA</v>
      </c>
      <c r="D64" s="35" t="str">
        <f>IFERROR(__xludf.DUMMYFUNCTION("""COMPUTED_VALUE"""),"16/04/2024")</f>
        <v>16/04/2024</v>
      </c>
      <c r="E64" s="35" t="str">
        <f>IFERROR(__xludf.DUMMYFUNCTION("""COMPUTED_VALUE"""),"003.219.974-09")</f>
        <v>003.219.974-09</v>
      </c>
      <c r="F64" s="35" t="str">
        <f>IFERROR(__xludf.DUMMYFUNCTION("""COMPUTED_VALUE"""),"INFANTIL 1")</f>
        <v>INFANTIL 1</v>
      </c>
      <c r="G64" s="35" t="str">
        <f>IFERROR(__xludf.DUMMYFUNCTION("""COMPUTED_VALUE"""),"CEMEI PROFESSORA LINDOMAR DOMINGOS DA SILVA ANJOS")</f>
        <v>CEMEI PROFESSORA LINDOMAR DOMINGOS DA SILVA ANJOS</v>
      </c>
      <c r="H64" s="35" t="str">
        <f>IFERROR(__xludf.DUMMYFUNCTION("""COMPUTED_VALUE"""),"REGIONAL 5")</f>
        <v>REGIONAL 5</v>
      </c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5.75" customHeight="1">
      <c r="A65" s="35" t="str">
        <f>IFERROR(__xludf.DUMMYFUNCTION("""COMPUTED_VALUE"""),"11/02/2026 09:26:12")</f>
        <v>11/02/2026 09:26:12</v>
      </c>
      <c r="B65" s="35" t="str">
        <f>IFERROR(__xludf.DUMMYFUNCTION("""COMPUTED_VALUE"""),"13")</f>
        <v>13</v>
      </c>
      <c r="C65" s="36" t="str">
        <f>IFERROR(__xludf.DUMMYFUNCTION("""COMPUTED_VALUE"""),"KAUANY ISABELLE DA SILVA SANTOS")</f>
        <v>KAUANY ISABELLE DA SILVA SANTOS</v>
      </c>
      <c r="D65" s="35" t="str">
        <f>IFERROR(__xludf.DUMMYFUNCTION("""COMPUTED_VALUE"""),"13/09/2024")</f>
        <v>13/09/2024</v>
      </c>
      <c r="E65" s="35" t="str">
        <f>IFERROR(__xludf.DUMMYFUNCTION("""COMPUTED_VALUE"""),"004.058.404-62")</f>
        <v>004.058.404-62</v>
      </c>
      <c r="F65" s="35" t="str">
        <f>IFERROR(__xludf.DUMMYFUNCTION("""COMPUTED_VALUE"""),"INFANTIL 1")</f>
        <v>INFANTIL 1</v>
      </c>
      <c r="G65" s="35" t="str">
        <f>IFERROR(__xludf.DUMMYFUNCTION("""COMPUTED_VALUE"""),"CEMEI PROFESSORA LINDOMAR DOMINGOS DA SILVA ANJOS")</f>
        <v>CEMEI PROFESSORA LINDOMAR DOMINGOS DA SILVA ANJOS</v>
      </c>
      <c r="H65" s="35" t="str">
        <f>IFERROR(__xludf.DUMMYFUNCTION("""COMPUTED_VALUE"""),"REGIONAL 5")</f>
        <v>REGIONAL 5</v>
      </c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5.75" customHeight="1">
      <c r="A66" s="35" t="str">
        <f>IFERROR(__xludf.DUMMYFUNCTION("""COMPUTED_VALUE"""),"26/02/2026 23:54:06")</f>
        <v>26/02/2026 23:54:06</v>
      </c>
      <c r="B66" s="35" t="str">
        <f>IFERROR(__xludf.DUMMYFUNCTION("""COMPUTED_VALUE"""),"14")</f>
        <v>14</v>
      </c>
      <c r="C66" s="36" t="str">
        <f>IFERROR(__xludf.DUMMYFUNCTION("""COMPUTED_VALUE"""),"ARTHUR MIGUEL DOS SANTOS ROCHA")</f>
        <v>ARTHUR MIGUEL DOS SANTOS ROCHA</v>
      </c>
      <c r="D66" s="35" t="str">
        <f>IFERROR(__xludf.DUMMYFUNCTION("""COMPUTED_VALUE"""),"21/01/2025")</f>
        <v>21/01/2025</v>
      </c>
      <c r="E66" s="35" t="str">
        <f>IFERROR(__xludf.DUMMYFUNCTION("""COMPUTED_VALUE"""),"005.161.924-50")</f>
        <v>005.161.924-50</v>
      </c>
      <c r="F66" s="35" t="str">
        <f>IFERROR(__xludf.DUMMYFUNCTION("""COMPUTED_VALUE"""),"INFANTIL 1")</f>
        <v>INFANTIL 1</v>
      </c>
      <c r="G66" s="35" t="str">
        <f>IFERROR(__xludf.DUMMYFUNCTION("""COMPUTED_VALUE"""),"CEMEI PROFESSORA LINDOMAR DOMINGOS DA SILVA ANJOS")</f>
        <v>CEMEI PROFESSORA LINDOMAR DOMINGOS DA SILVA ANJOS</v>
      </c>
      <c r="H66" s="35" t="str">
        <f>IFERROR(__xludf.DUMMYFUNCTION("""COMPUTED_VALUE"""),"REGIONAL 5")</f>
        <v>REGIONAL 5</v>
      </c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5.75" customHeight="1">
      <c r="A67" s="35" t="str">
        <f>IFERROR(__xludf.DUMMYFUNCTION("""COMPUTED_VALUE"""),"03/03/2026 13:59:55")</f>
        <v>03/03/2026 13:59:55</v>
      </c>
      <c r="B67" s="35" t="str">
        <f>IFERROR(__xludf.DUMMYFUNCTION("""COMPUTED_VALUE"""),"15")</f>
        <v>15</v>
      </c>
      <c r="C67" s="36" t="str">
        <f>IFERROR(__xludf.DUMMYFUNCTION("""COMPUTED_VALUE"""),"GAEL ANTÔNIO DEODATO DE MEDEIROS")</f>
        <v>GAEL ANTÔNIO DEODATO DE MEDEIROS</v>
      </c>
      <c r="D67" s="35" t="str">
        <f>IFERROR(__xludf.DUMMYFUNCTION("""COMPUTED_VALUE"""),"05/04/2025")</f>
        <v>05/04/2025</v>
      </c>
      <c r="E67" s="35" t="str">
        <f>IFERROR(__xludf.DUMMYFUNCTION("""COMPUTED_VALUE"""),"005.879.454-94")</f>
        <v>005.879.454-94</v>
      </c>
      <c r="F67" s="35" t="str">
        <f>IFERROR(__xludf.DUMMYFUNCTION("""COMPUTED_VALUE"""),"INFANTIL 1")</f>
        <v>INFANTIL 1</v>
      </c>
      <c r="G67" s="35" t="str">
        <f>IFERROR(__xludf.DUMMYFUNCTION("""COMPUTED_VALUE"""),"CEMEI PROFESSORA LINDOMAR DOMINGOS DA SILVA ANJOS")</f>
        <v>CEMEI PROFESSORA LINDOMAR DOMINGOS DA SILVA ANJOS</v>
      </c>
      <c r="H67" s="35" t="str">
        <f>IFERROR(__xludf.DUMMYFUNCTION("""COMPUTED_VALUE"""),"REGIONAL 5")</f>
        <v>REGIONAL 5</v>
      </c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5.75" customHeight="1">
      <c r="A68" s="35" t="str">
        <f>IFERROR(__xludf.DUMMYFUNCTION("""COMPUTED_VALUE"""),"04/03/2026 10:32:01")</f>
        <v>04/03/2026 10:32:01</v>
      </c>
      <c r="B68" s="35" t="str">
        <f>IFERROR(__xludf.DUMMYFUNCTION("""COMPUTED_VALUE"""),"16")</f>
        <v>16</v>
      </c>
      <c r="C68" s="36" t="str">
        <f>IFERROR(__xludf.DUMMYFUNCTION("""COMPUTED_VALUE"""),"NOAH DANIEL MEDEIROS DA SILVA")</f>
        <v>NOAH DANIEL MEDEIROS DA SILVA</v>
      </c>
      <c r="D68" s="35" t="str">
        <f>IFERROR(__xludf.DUMMYFUNCTION("""COMPUTED_VALUE"""),"21/05/2025")</f>
        <v>21/05/2025</v>
      </c>
      <c r="E68" s="35" t="str">
        <f>IFERROR(__xludf.DUMMYFUNCTION("""COMPUTED_VALUE"""),"006.309.024-45")</f>
        <v>006.309.024-45</v>
      </c>
      <c r="F68" s="35" t="str">
        <f>IFERROR(__xludf.DUMMYFUNCTION("""COMPUTED_VALUE"""),"INFANTIL 1")</f>
        <v>INFANTIL 1</v>
      </c>
      <c r="G68" s="35" t="str">
        <f>IFERROR(__xludf.DUMMYFUNCTION("""COMPUTED_VALUE"""),"CEMEI PROFESSORA LINDOMAR DOMINGOS DA SILVA ANJOS")</f>
        <v>CEMEI PROFESSORA LINDOMAR DOMINGOS DA SILVA ANJOS</v>
      </c>
      <c r="H68" s="35" t="str">
        <f>IFERROR(__xludf.DUMMYFUNCTION("""COMPUTED_VALUE"""),"REGIONAL 5")</f>
        <v>REGIONAL 5</v>
      </c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5.75" customHeight="1">
      <c r="A69" s="35" t="str">
        <f>IFERROR(__xludf.DUMMYFUNCTION("""COMPUTED_VALUE"""),"23/03/2026 12:35:29")</f>
        <v>23/03/2026 12:35:29</v>
      </c>
      <c r="B69" s="35" t="str">
        <f>IFERROR(__xludf.DUMMYFUNCTION("""COMPUTED_VALUE"""),"17")</f>
        <v>17</v>
      </c>
      <c r="C69" s="36" t="str">
        <f>IFERROR(__xludf.DUMMYFUNCTION("""COMPUTED_VALUE"""),"RAVI GABRIEL DA ROCHA PRAEIRO")</f>
        <v>RAVI GABRIEL DA ROCHA PRAEIRO</v>
      </c>
      <c r="D69" s="35" t="str">
        <f>IFERROR(__xludf.DUMMYFUNCTION("""COMPUTED_VALUE"""),"07/11/2025")</f>
        <v>07/11/2025</v>
      </c>
      <c r="E69" s="35" t="str">
        <f>IFERROR(__xludf.DUMMYFUNCTION("""COMPUTED_VALUE"""),"022.291.614-15")</f>
        <v>022.291.614-15</v>
      </c>
      <c r="F69" s="35" t="str">
        <f>IFERROR(__xludf.DUMMYFUNCTION("""COMPUTED_VALUE"""),"INFANTIL 1")</f>
        <v>INFANTIL 1</v>
      </c>
      <c r="G69" s="35" t="str">
        <f>IFERROR(__xludf.DUMMYFUNCTION("""COMPUTED_VALUE"""),"CEMEI PROFESSORA LINDOMAR DOMINGOS DA SILVA ANJOS")</f>
        <v>CEMEI PROFESSORA LINDOMAR DOMINGOS DA SILVA ANJOS</v>
      </c>
      <c r="H69" s="35" t="str">
        <f>IFERROR(__xludf.DUMMYFUNCTION("""COMPUTED_VALUE"""),"REGIONAL 5")</f>
        <v>REGIONAL 5</v>
      </c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5.75" customHeight="1">
      <c r="A70" s="35" t="str">
        <f>IFERROR(__xludf.DUMMYFUNCTION("""COMPUTED_VALUE"""),"30/03/2026 09:26:51")</f>
        <v>30/03/2026 09:26:51</v>
      </c>
      <c r="B70" s="35" t="str">
        <f>IFERROR(__xludf.DUMMYFUNCTION("""COMPUTED_VALUE"""),"18")</f>
        <v>18</v>
      </c>
      <c r="C70" s="36" t="str">
        <f>IFERROR(__xludf.DUMMYFUNCTION("""COMPUTED_VALUE"""),"FRANCISCO CAVALCANTI MAGALHÃES")</f>
        <v>FRANCISCO CAVALCANTI MAGALHÃES</v>
      </c>
      <c r="D70" s="35" t="str">
        <f>IFERROR(__xludf.DUMMYFUNCTION("""COMPUTED_VALUE"""),"26/11/2025")</f>
        <v>26/11/2025</v>
      </c>
      <c r="E70" s="35" t="str">
        <f>IFERROR(__xludf.DUMMYFUNCTION("""COMPUTED_VALUE"""),"027.792.694-72")</f>
        <v>027.792.694-72</v>
      </c>
      <c r="F70" s="35" t="str">
        <f>IFERROR(__xludf.DUMMYFUNCTION("""COMPUTED_VALUE"""),"INFANTIL 1")</f>
        <v>INFANTIL 1</v>
      </c>
      <c r="G70" s="35" t="str">
        <f>IFERROR(__xludf.DUMMYFUNCTION("""COMPUTED_VALUE"""),"CEMEI PROFESSORA LINDOMAR DOMINGOS DA SILVA ANJOS")</f>
        <v>CEMEI PROFESSORA LINDOMAR DOMINGOS DA SILVA ANJOS</v>
      </c>
      <c r="H70" s="35" t="str">
        <f>IFERROR(__xludf.DUMMYFUNCTION("""COMPUTED_VALUE"""),"REGIONAL 5")</f>
        <v>REGIONAL 5</v>
      </c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5.75" customHeight="1">
      <c r="A71" s="35" t="str">
        <f>IFERROR(__xludf.DUMMYFUNCTION("""COMPUTED_VALUE"""),"01/04/2026 11:07:18")</f>
        <v>01/04/2026 11:07:18</v>
      </c>
      <c r="B71" s="35" t="str">
        <f>IFERROR(__xludf.DUMMYFUNCTION("""COMPUTED_VALUE"""),"19")</f>
        <v>19</v>
      </c>
      <c r="C71" s="36" t="str">
        <f>IFERROR(__xludf.DUMMYFUNCTION("""COMPUTED_VALUE"""),"MARIA ISADORA SANTOS SEVERO")</f>
        <v>MARIA ISADORA SANTOS SEVERO</v>
      </c>
      <c r="D71" s="35" t="str">
        <f>IFERROR(__xludf.DUMMYFUNCTION("""COMPUTED_VALUE"""),"03/09/2024")</f>
        <v>03/09/2024</v>
      </c>
      <c r="E71" s="35" t="str">
        <f>IFERROR(__xludf.DUMMYFUNCTION("""COMPUTED_VALUE"""),"054.059.888-71")</f>
        <v>054.059.888-71</v>
      </c>
      <c r="F71" s="35" t="str">
        <f>IFERROR(__xludf.DUMMYFUNCTION("""COMPUTED_VALUE"""),"INFANTIL 1")</f>
        <v>INFANTIL 1</v>
      </c>
      <c r="G71" s="35" t="str">
        <f>IFERROR(__xludf.DUMMYFUNCTION("""COMPUTED_VALUE"""),"CEMEI PROFESSORA LINDOMAR DOMINGOS DA SILVA ANJOS")</f>
        <v>CEMEI PROFESSORA LINDOMAR DOMINGOS DA SILVA ANJOS</v>
      </c>
      <c r="H71" s="35" t="str">
        <f>IFERROR(__xludf.DUMMYFUNCTION("""COMPUTED_VALUE"""),"REGIONAL 5")</f>
        <v>REGIONAL 5</v>
      </c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5.75" customHeight="1">
      <c r="A72" s="35" t="str">
        <f>IFERROR(__xludf.DUMMYFUNCTION("""COMPUTED_VALUE"""),"08/04/2026 16:32:34")</f>
        <v>08/04/2026 16:32:34</v>
      </c>
      <c r="B72" s="35" t="str">
        <f>IFERROR(__xludf.DUMMYFUNCTION("""COMPUTED_VALUE"""),"20")</f>
        <v>20</v>
      </c>
      <c r="C72" s="36" t="str">
        <f>IFERROR(__xludf.DUMMYFUNCTION("""COMPUTED_VALUE"""),"MATTEO BERNARDO MONTEIRO ARAÚJO")</f>
        <v>MATTEO BERNARDO MONTEIRO ARAÚJO</v>
      </c>
      <c r="D72" s="35" t="str">
        <f>IFERROR(__xludf.DUMMYFUNCTION("""COMPUTED_VALUE"""),"01/04/2025")</f>
        <v>01/04/2025</v>
      </c>
      <c r="E72" s="35" t="str">
        <f>IFERROR(__xludf.DUMMYFUNCTION("""COMPUTED_VALUE"""),"005.825.614-85")</f>
        <v>005.825.614-85</v>
      </c>
      <c r="F72" s="35" t="str">
        <f>IFERROR(__xludf.DUMMYFUNCTION("""COMPUTED_VALUE"""),"INFANTIL 1")</f>
        <v>INFANTIL 1</v>
      </c>
      <c r="G72" s="35" t="str">
        <f>IFERROR(__xludf.DUMMYFUNCTION("""COMPUTED_VALUE"""),"CEMEI PROFESSORA LINDOMAR DOMINGOS DA SILVA ANJOS")</f>
        <v>CEMEI PROFESSORA LINDOMAR DOMINGOS DA SILVA ANJOS</v>
      </c>
      <c r="H72" s="35" t="str">
        <f>IFERROR(__xludf.DUMMYFUNCTION("""COMPUTED_VALUE"""),"REGIONAL 5")</f>
        <v>REGIONAL 5</v>
      </c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5.75" customHeight="1">
      <c r="A73" s="35" t="str">
        <f>IFERROR(__xludf.DUMMYFUNCTION("""COMPUTED_VALUE"""),"15/04/2026 13:07:53")</f>
        <v>15/04/2026 13:07:53</v>
      </c>
      <c r="B73" s="35" t="str">
        <f>IFERROR(__xludf.DUMMYFUNCTION("""COMPUTED_VALUE"""),"21")</f>
        <v>21</v>
      </c>
      <c r="C73" s="36" t="str">
        <f>IFERROR(__xludf.DUMMYFUNCTION("""COMPUTED_VALUE"""),"HADASSA ROSA MACIEL")</f>
        <v>HADASSA ROSA MACIEL</v>
      </c>
      <c r="D73" s="35" t="str">
        <f>IFERROR(__xludf.DUMMYFUNCTION("""COMPUTED_VALUE"""),"30/08/2025")</f>
        <v>30/08/2025</v>
      </c>
      <c r="E73" s="35" t="str">
        <f>IFERROR(__xludf.DUMMYFUNCTION("""COMPUTED_VALUE"""),"007.185.654-44")</f>
        <v>007.185.654-44</v>
      </c>
      <c r="F73" s="35" t="str">
        <f>IFERROR(__xludf.DUMMYFUNCTION("""COMPUTED_VALUE"""),"INFANTIL 1")</f>
        <v>INFANTIL 1</v>
      </c>
      <c r="G73" s="35" t="str">
        <f>IFERROR(__xludf.DUMMYFUNCTION("""COMPUTED_VALUE"""),"CEMEI PROFESSORA LINDOMAR DOMINGOS DA SILVA ANJOS")</f>
        <v>CEMEI PROFESSORA LINDOMAR DOMINGOS DA SILVA ANJOS</v>
      </c>
      <c r="H73" s="35" t="str">
        <f>IFERROR(__xludf.DUMMYFUNCTION("""COMPUTED_VALUE"""),"REGIONAL 5")</f>
        <v>REGIONAL 5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5.75" customHeight="1">
      <c r="A74" s="35" t="str">
        <f>IFERROR(__xludf.DUMMYFUNCTION("""COMPUTED_VALUE"""),"04/05/2026 10:11:49")</f>
        <v>04/05/2026 10:11:49</v>
      </c>
      <c r="B74" s="35" t="str">
        <f>IFERROR(__xludf.DUMMYFUNCTION("""COMPUTED_VALUE"""),"22")</f>
        <v>22</v>
      </c>
      <c r="C74" s="36" t="str">
        <f>IFERROR(__xludf.DUMMYFUNCTION("""COMPUTED_VALUE"""),"MATTEO ALEJANDRO DE ARAÚJO ESCOBAR")</f>
        <v>MATTEO ALEJANDRO DE ARAÚJO ESCOBAR</v>
      </c>
      <c r="D74" s="35" t="str">
        <f>IFERROR(__xludf.DUMMYFUNCTION("""COMPUTED_VALUE"""),"11/03/2025")</f>
        <v>11/03/2025</v>
      </c>
      <c r="E74" s="35" t="str">
        <f>IFERROR(__xludf.DUMMYFUNCTION("""COMPUTED_VALUE"""),"005.682.884-59")</f>
        <v>005.682.884-59</v>
      </c>
      <c r="F74" s="35" t="str">
        <f>IFERROR(__xludf.DUMMYFUNCTION("""COMPUTED_VALUE"""),"INFANTIL 1")</f>
        <v>INFANTIL 1</v>
      </c>
      <c r="G74" s="35" t="str">
        <f>IFERROR(__xludf.DUMMYFUNCTION("""COMPUTED_VALUE"""),"CEMEI PROFESSORA LINDOMAR DOMINGOS DA SILVA ANJOS")</f>
        <v>CEMEI PROFESSORA LINDOMAR DOMINGOS DA SILVA ANJOS</v>
      </c>
      <c r="H74" s="35" t="str">
        <f>IFERROR(__xludf.DUMMYFUNCTION("""COMPUTED_VALUE"""),"REGIONAL 5")</f>
        <v>REGIONAL 5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5.75" customHeight="1">
      <c r="A75" s="35" t="str">
        <f>IFERROR(__xludf.DUMMYFUNCTION("""COMPUTED_VALUE"""),"15/05/2026 11:54:29")</f>
        <v>15/05/2026 11:54:29</v>
      </c>
      <c r="B75" s="35" t="str">
        <f>IFERROR(__xludf.DUMMYFUNCTION("""COMPUTED_VALUE"""),"23")</f>
        <v>23</v>
      </c>
      <c r="C75" s="36" t="str">
        <f>IFERROR(__xludf.DUMMYFUNCTION("""COMPUTED_VALUE"""),"ARTHUR MIGUEL SOUZA DA SILVA")</f>
        <v>ARTHUR MIGUEL SOUZA DA SILVA</v>
      </c>
      <c r="D75" s="35" t="str">
        <f>IFERROR(__xludf.DUMMYFUNCTION("""COMPUTED_VALUE"""),"10/09/2024")</f>
        <v>10/09/2024</v>
      </c>
      <c r="E75" s="35" t="str">
        <f>IFERROR(__xludf.DUMMYFUNCTION("""COMPUTED_VALUE"""),"004.089.984-58")</f>
        <v>004.089.984-58</v>
      </c>
      <c r="F75" s="35" t="str">
        <f>IFERROR(__xludf.DUMMYFUNCTION("""COMPUTED_VALUE"""),"INFANTIL 1")</f>
        <v>INFANTIL 1</v>
      </c>
      <c r="G75" s="35" t="str">
        <f>IFERROR(__xludf.DUMMYFUNCTION("""COMPUTED_VALUE"""),"CEMEI PROFESSORA LINDOMAR DOMINGOS DA SILVA ANJOS")</f>
        <v>CEMEI PROFESSORA LINDOMAR DOMINGOS DA SILVA ANJOS</v>
      </c>
      <c r="H75" s="35" t="str">
        <f>IFERROR(__xludf.DUMMYFUNCTION("""COMPUTED_VALUE"""),"REGIONAL 5")</f>
        <v>REGIONAL 5</v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5.75" customHeight="1">
      <c r="A76" s="35" t="str">
        <f>IFERROR(__xludf.DUMMYFUNCTION("""COMPUTED_VALUE"""),"15/05/2026 12:03:27")</f>
        <v>15/05/2026 12:03:27</v>
      </c>
      <c r="B76" s="35" t="str">
        <f>IFERROR(__xludf.DUMMYFUNCTION("""COMPUTED_VALUE"""),"24")</f>
        <v>24</v>
      </c>
      <c r="C76" s="36" t="str">
        <f>IFERROR(__xludf.DUMMYFUNCTION("""COMPUTED_VALUE"""),"AYLLA KAROLINE SOUZA DA SILVA")</f>
        <v>AYLLA KAROLINE SOUZA DA SILVA</v>
      </c>
      <c r="D76" s="35" t="str">
        <f>IFERROR(__xludf.DUMMYFUNCTION("""COMPUTED_VALUE"""),"10/09/2024")</f>
        <v>10/09/2024</v>
      </c>
      <c r="E76" s="35" t="str">
        <f>IFERROR(__xludf.DUMMYFUNCTION("""COMPUTED_VALUE"""),"004.089.794-02")</f>
        <v>004.089.794-02</v>
      </c>
      <c r="F76" s="35" t="str">
        <f>IFERROR(__xludf.DUMMYFUNCTION("""COMPUTED_VALUE"""),"INFANTIL 1")</f>
        <v>INFANTIL 1</v>
      </c>
      <c r="G76" s="35" t="str">
        <f>IFERROR(__xludf.DUMMYFUNCTION("""COMPUTED_VALUE"""),"CEMEI PROFESSORA LINDOMAR DOMINGOS DA SILVA ANJOS")</f>
        <v>CEMEI PROFESSORA LINDOMAR DOMINGOS DA SILVA ANJOS</v>
      </c>
      <c r="H76" s="35" t="str">
        <f>IFERROR(__xludf.DUMMYFUNCTION("""COMPUTED_VALUE"""),"REGIONAL 5")</f>
        <v>REGIONAL 5</v>
      </c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5.75" customHeight="1">
      <c r="A77" s="35" t="str">
        <f>IFERROR(__xludf.DUMMYFUNCTION("""COMPUTED_VALUE"""),"30/05/2026 11:24:31")</f>
        <v>30/05/2026 11:24:31</v>
      </c>
      <c r="B77" s="35" t="str">
        <f>IFERROR(__xludf.DUMMYFUNCTION("""COMPUTED_VALUE"""),"25")</f>
        <v>25</v>
      </c>
      <c r="C77" s="36" t="str">
        <f>IFERROR(__xludf.DUMMYFUNCTION("""COMPUTED_VALUE"""),"Natanael Ryan Felix de Santana")</f>
        <v>Natanael Ryan Felix de Santana</v>
      </c>
      <c r="D77" s="35" t="str">
        <f>IFERROR(__xludf.DUMMYFUNCTION("""COMPUTED_VALUE"""),"10/10/2024")</f>
        <v>10/10/2024</v>
      </c>
      <c r="E77" s="35" t="str">
        <f>IFERROR(__xludf.DUMMYFUNCTION("""COMPUTED_VALUE"""),"004.409.374-85")</f>
        <v>004.409.374-85</v>
      </c>
      <c r="F77" s="35" t="str">
        <f>IFERROR(__xludf.DUMMYFUNCTION("""COMPUTED_VALUE"""),"INFANTIL 1")</f>
        <v>INFANTIL 1</v>
      </c>
      <c r="G77" s="35" t="str">
        <f>IFERROR(__xludf.DUMMYFUNCTION("""COMPUTED_VALUE"""),"CEMEI PROFESSORA LINDOMAR DOMINGOS DA SILVA ANJOS")</f>
        <v>CEMEI PROFESSORA LINDOMAR DOMINGOS DA SILVA ANJOS</v>
      </c>
      <c r="H77" s="35" t="str">
        <f>IFERROR(__xludf.DUMMYFUNCTION("""COMPUTED_VALUE"""),"REGIONAL 5")</f>
        <v>REGIONAL 5</v>
      </c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5.75" customHeight="1">
      <c r="A78" s="35" t="str">
        <f>IFERROR(__xludf.DUMMYFUNCTION("""COMPUTED_VALUE"""),"01/06/2026 13:25:04")</f>
        <v>01/06/2026 13:25:04</v>
      </c>
      <c r="B78" s="35" t="str">
        <f>IFERROR(__xludf.DUMMYFUNCTION("""COMPUTED_VALUE"""),"26")</f>
        <v>26</v>
      </c>
      <c r="C78" s="36" t="str">
        <f>IFERROR(__xludf.DUMMYFUNCTION("""COMPUTED_VALUE"""),"Ana liz Ferreira luz")</f>
        <v>Ana liz Ferreira luz</v>
      </c>
      <c r="D78" s="35" t="str">
        <f>IFERROR(__xludf.DUMMYFUNCTION("""COMPUTED_VALUE"""),"02/09/2024")</f>
        <v>02/09/2024</v>
      </c>
      <c r="E78" s="35" t="str">
        <f>IFERROR(__xludf.DUMMYFUNCTION("""COMPUTED_VALUE"""),"004.029.294-03")</f>
        <v>004.029.294-03</v>
      </c>
      <c r="F78" s="35" t="str">
        <f>IFERROR(__xludf.DUMMYFUNCTION("""COMPUTED_VALUE"""),"INFANTIL 1")</f>
        <v>INFANTIL 1</v>
      </c>
      <c r="G78" s="35" t="str">
        <f>IFERROR(__xludf.DUMMYFUNCTION("""COMPUTED_VALUE"""),"CEMEI PROFESSORA LINDOMAR DOMINGOS DA SILVA ANJOS")</f>
        <v>CEMEI PROFESSORA LINDOMAR DOMINGOS DA SILVA ANJOS</v>
      </c>
      <c r="H78" s="35" t="str">
        <f>IFERROR(__xludf.DUMMYFUNCTION("""COMPUTED_VALUE"""),"REGIONAL 5")</f>
        <v>REGIONAL 5</v>
      </c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5.75" customHeight="1">
      <c r="A79" s="35" t="str">
        <f>IFERROR(__xludf.DUMMYFUNCTION("""COMPUTED_VALUE"""),"04/06/2026 10:58:04")</f>
        <v>04/06/2026 10:58:04</v>
      </c>
      <c r="B79" s="35" t="str">
        <f>IFERROR(__xludf.DUMMYFUNCTION("""COMPUTED_VALUE"""),"27")</f>
        <v>27</v>
      </c>
      <c r="C79" s="36" t="str">
        <f>IFERROR(__xludf.DUMMYFUNCTION("""COMPUTED_VALUE"""),"Théo José Cruz Martins de Santana")</f>
        <v>Théo José Cruz Martins de Santana</v>
      </c>
      <c r="D79" s="35" t="str">
        <f>IFERROR(__xludf.DUMMYFUNCTION("""COMPUTED_VALUE"""),"28/04/2024")</f>
        <v>28/04/2024</v>
      </c>
      <c r="E79" s="35" t="str">
        <f>IFERROR(__xludf.DUMMYFUNCTION("""COMPUTED_VALUE"""),"002.750.404-29")</f>
        <v>002.750.404-29</v>
      </c>
      <c r="F79" s="35" t="str">
        <f>IFERROR(__xludf.DUMMYFUNCTION("""COMPUTED_VALUE"""),"INFANTIL 1")</f>
        <v>INFANTIL 1</v>
      </c>
      <c r="G79" s="35" t="str">
        <f>IFERROR(__xludf.DUMMYFUNCTION("""COMPUTED_VALUE"""),"CEMEI PROFESSORA LINDOMAR DOMINGOS DA SILVA ANJOS")</f>
        <v>CEMEI PROFESSORA LINDOMAR DOMINGOS DA SILVA ANJOS</v>
      </c>
      <c r="H79" s="35" t="str">
        <f>IFERROR(__xludf.DUMMYFUNCTION("""COMPUTED_VALUE"""),"REGIONAL 5")</f>
        <v>REGIONAL 5</v>
      </c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5.75" customHeight="1">
      <c r="A80" s="35" t="str">
        <f>IFERROR(__xludf.DUMMYFUNCTION("""COMPUTED_VALUE"""),"10/06/2026 09:48:38")</f>
        <v>10/06/2026 09:48:38</v>
      </c>
      <c r="B80" s="35" t="str">
        <f>IFERROR(__xludf.DUMMYFUNCTION("""COMPUTED_VALUE"""),"28")</f>
        <v>28</v>
      </c>
      <c r="C80" s="36" t="str">
        <f>IFERROR(__xludf.DUMMYFUNCTION("""COMPUTED_VALUE"""),"Théo Gabriel Vicente Da Silva")</f>
        <v>Théo Gabriel Vicente Da Silva</v>
      </c>
      <c r="D80" s="35" t="str">
        <f>IFERROR(__xludf.DUMMYFUNCTION("""COMPUTED_VALUE"""),"22/01/2025")</f>
        <v>22/01/2025</v>
      </c>
      <c r="E80" s="35" t="str">
        <f>IFERROR(__xludf.DUMMYFUNCTION("""COMPUTED_VALUE"""),"005.155.414-35")</f>
        <v>005.155.414-35</v>
      </c>
      <c r="F80" s="35" t="str">
        <f>IFERROR(__xludf.DUMMYFUNCTION("""COMPUTED_VALUE"""),"INFANTIL 1")</f>
        <v>INFANTIL 1</v>
      </c>
      <c r="G80" s="35" t="str">
        <f>IFERROR(__xludf.DUMMYFUNCTION("""COMPUTED_VALUE"""),"CEMEI PROFESSORA LINDOMAR DOMINGOS DA SILVA ANJOS")</f>
        <v>CEMEI PROFESSORA LINDOMAR DOMINGOS DA SILVA ANJOS</v>
      </c>
      <c r="H80" s="35" t="str">
        <f>IFERROR(__xludf.DUMMYFUNCTION("""COMPUTED_VALUE"""),"REGIONAL 5")</f>
        <v>REGIONAL 5</v>
      </c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5.75" customHeight="1">
      <c r="A81" s="35" t="str">
        <f>IFERROR(__xludf.DUMMYFUNCTION("""COMPUTED_VALUE"""),"28/01/2026 08:06:54")</f>
        <v>28/01/2026 08:06:54</v>
      </c>
      <c r="B81" s="35" t="str">
        <f>IFERROR(__xludf.DUMMYFUNCTION("""COMPUTED_VALUE"""),"1")</f>
        <v>1</v>
      </c>
      <c r="C81" s="36" t="str">
        <f>IFERROR(__xludf.DUMMYFUNCTION("""COMPUTED_VALUE"""),"ALYCIA MARIA FERREIRA LOPES")</f>
        <v>ALYCIA MARIA FERREIRA LOPES</v>
      </c>
      <c r="D81" s="35" t="str">
        <f>IFERROR(__xludf.DUMMYFUNCTION("""COMPUTED_VALUE"""),"06/04/2023")</f>
        <v>06/04/2023</v>
      </c>
      <c r="E81" s="35" t="str">
        <f>IFERROR(__xludf.DUMMYFUNCTION("""COMPUTED_VALUE"""),"185.002.054-07")</f>
        <v>185.002.054-07</v>
      </c>
      <c r="F81" s="35" t="str">
        <f>IFERROR(__xludf.DUMMYFUNCTION("""COMPUTED_VALUE"""),"INFANTIL 2")</f>
        <v>INFANTIL 2</v>
      </c>
      <c r="G81" s="35" t="str">
        <f>IFERROR(__xludf.DUMMYFUNCTION("""COMPUTED_VALUE"""),"CEMEI PROFESSORA LINDOMAR DOMINGOS DA SILVA ANJOS")</f>
        <v>CEMEI PROFESSORA LINDOMAR DOMINGOS DA SILVA ANJOS</v>
      </c>
      <c r="H81" s="35" t="str">
        <f>IFERROR(__xludf.DUMMYFUNCTION("""COMPUTED_VALUE"""),"REGIONAL 5")</f>
        <v>REGIONAL 5</v>
      </c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5.75" customHeight="1">
      <c r="A82" s="35" t="str">
        <f>IFERROR(__xludf.DUMMYFUNCTION("""COMPUTED_VALUE"""),"28/01/2026 08:08:24")</f>
        <v>28/01/2026 08:08:24</v>
      </c>
      <c r="B82" s="35" t="str">
        <f>IFERROR(__xludf.DUMMYFUNCTION("""COMPUTED_VALUE"""),"2")</f>
        <v>2</v>
      </c>
      <c r="C82" s="36" t="str">
        <f>IFERROR(__xludf.DUMMYFUNCTION("""COMPUTED_VALUE"""),"MIKAEL OLIVEIRA FERREIRA CAVALCANTE")</f>
        <v>MIKAEL OLIVEIRA FERREIRA CAVALCANTE</v>
      </c>
      <c r="D82" s="35" t="str">
        <f>IFERROR(__xludf.DUMMYFUNCTION("""COMPUTED_VALUE"""),"23/07/2023")</f>
        <v>23/07/2023</v>
      </c>
      <c r="E82" s="35" t="str">
        <f>IFERROR(__xludf.DUMMYFUNCTION("""COMPUTED_VALUE"""),"186.109.834-04")</f>
        <v>186.109.834-04</v>
      </c>
      <c r="F82" s="35" t="str">
        <f>IFERROR(__xludf.DUMMYFUNCTION("""COMPUTED_VALUE"""),"INFANTIL 2")</f>
        <v>INFANTIL 2</v>
      </c>
      <c r="G82" s="35" t="str">
        <f>IFERROR(__xludf.DUMMYFUNCTION("""COMPUTED_VALUE"""),"CEMEI PROFESSORA LINDOMAR DOMINGOS DA SILVA ANJOS")</f>
        <v>CEMEI PROFESSORA LINDOMAR DOMINGOS DA SILVA ANJOS</v>
      </c>
      <c r="H82" s="35" t="str">
        <f>IFERROR(__xludf.DUMMYFUNCTION("""COMPUTED_VALUE"""),"REGIONAL 5")</f>
        <v>REGIONAL 5</v>
      </c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5.75" customHeight="1">
      <c r="A83" s="35" t="str">
        <f>IFERROR(__xludf.DUMMYFUNCTION("""COMPUTED_VALUE"""),"28/01/2026 08:14:44")</f>
        <v>28/01/2026 08:14:44</v>
      </c>
      <c r="B83" s="35" t="str">
        <f>IFERROR(__xludf.DUMMYFUNCTION("""COMPUTED_VALUE"""),"3")</f>
        <v>3</v>
      </c>
      <c r="C83" s="36" t="str">
        <f>IFERROR(__xludf.DUMMYFUNCTION("""COMPUTED_VALUE"""),"SARAH BEATRIZ CORREIA RODRIGUES DA SILVA")</f>
        <v>SARAH BEATRIZ CORREIA RODRIGUES DA SILVA</v>
      </c>
      <c r="D83" s="35" t="str">
        <f>IFERROR(__xludf.DUMMYFUNCTION("""COMPUTED_VALUE"""),"07/06/2023")</f>
        <v>07/06/2023</v>
      </c>
      <c r="E83" s="35" t="str">
        <f>IFERROR(__xludf.DUMMYFUNCTION("""COMPUTED_VALUE"""),"185.680.884-06")</f>
        <v>185.680.884-06</v>
      </c>
      <c r="F83" s="35" t="str">
        <f>IFERROR(__xludf.DUMMYFUNCTION("""COMPUTED_VALUE"""),"INFANTIL 2")</f>
        <v>INFANTIL 2</v>
      </c>
      <c r="G83" s="35" t="str">
        <f>IFERROR(__xludf.DUMMYFUNCTION("""COMPUTED_VALUE"""),"CEMEI PROFESSORA LINDOMAR DOMINGOS DA SILVA ANJOS")</f>
        <v>CEMEI PROFESSORA LINDOMAR DOMINGOS DA SILVA ANJOS</v>
      </c>
      <c r="H83" s="35" t="str">
        <f>IFERROR(__xludf.DUMMYFUNCTION("""COMPUTED_VALUE"""),"REGIONAL 5")</f>
        <v>REGIONAL 5</v>
      </c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5.75" customHeight="1">
      <c r="A84" s="35" t="str">
        <f>IFERROR(__xludf.DUMMYFUNCTION("""COMPUTED_VALUE"""),"28/01/2026 08:17:19")</f>
        <v>28/01/2026 08:17:19</v>
      </c>
      <c r="B84" s="35" t="str">
        <f>IFERROR(__xludf.DUMMYFUNCTION("""COMPUTED_VALUE"""),"4")</f>
        <v>4</v>
      </c>
      <c r="C84" s="36" t="str">
        <f>IFERROR(__xludf.DUMMYFUNCTION("""COMPUTED_VALUE"""),"LAURA MARIAH TEIXEIRA SILVA")</f>
        <v>LAURA MARIAH TEIXEIRA SILVA</v>
      </c>
      <c r="D84" s="35" t="str">
        <f>IFERROR(__xludf.DUMMYFUNCTION("""COMPUTED_VALUE"""),"18/02/2024")</f>
        <v>18/02/2024</v>
      </c>
      <c r="E84" s="35" t="str">
        <f>IFERROR(__xludf.DUMMYFUNCTION("""COMPUTED_VALUE"""),"002.969.484-11")</f>
        <v>002.969.484-11</v>
      </c>
      <c r="F84" s="35" t="str">
        <f>IFERROR(__xludf.DUMMYFUNCTION("""COMPUTED_VALUE"""),"INFANTIL 2")</f>
        <v>INFANTIL 2</v>
      </c>
      <c r="G84" s="35" t="str">
        <f>IFERROR(__xludf.DUMMYFUNCTION("""COMPUTED_VALUE"""),"CEMEI PROFESSORA LINDOMAR DOMINGOS DA SILVA ANJOS")</f>
        <v>CEMEI PROFESSORA LINDOMAR DOMINGOS DA SILVA ANJOS</v>
      </c>
      <c r="H84" s="35" t="str">
        <f>IFERROR(__xludf.DUMMYFUNCTION("""COMPUTED_VALUE"""),"REGIONAL 5")</f>
        <v>REGIONAL 5</v>
      </c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5.75" customHeight="1">
      <c r="A85" s="35" t="str">
        <f>IFERROR(__xludf.DUMMYFUNCTION("""COMPUTED_VALUE"""),"28/01/2026 08:25:56")</f>
        <v>28/01/2026 08:25:56</v>
      </c>
      <c r="B85" s="35" t="str">
        <f>IFERROR(__xludf.DUMMYFUNCTION("""COMPUTED_VALUE"""),"5")</f>
        <v>5</v>
      </c>
      <c r="C85" s="36" t="str">
        <f>IFERROR(__xludf.DUMMYFUNCTION("""COMPUTED_VALUE"""),"MARIA GABRIELA DA SILVA PORFIRIO ALVES")</f>
        <v>MARIA GABRIELA DA SILVA PORFIRIO ALVES</v>
      </c>
      <c r="D85" s="35" t="str">
        <f>IFERROR(__xludf.DUMMYFUNCTION("""COMPUTED_VALUE"""),"15/05/2023")</f>
        <v>15/05/2023</v>
      </c>
      <c r="E85" s="35" t="str">
        <f>IFERROR(__xludf.DUMMYFUNCTION("""COMPUTED_VALUE"""),"185.992.474-33")</f>
        <v>185.992.474-33</v>
      </c>
      <c r="F85" s="35" t="str">
        <f>IFERROR(__xludf.DUMMYFUNCTION("""COMPUTED_VALUE"""),"INFANTIL 2")</f>
        <v>INFANTIL 2</v>
      </c>
      <c r="G85" s="35" t="str">
        <f>IFERROR(__xludf.DUMMYFUNCTION("""COMPUTED_VALUE"""),"CEMEI PROFESSORA LINDOMAR DOMINGOS DA SILVA ANJOS")</f>
        <v>CEMEI PROFESSORA LINDOMAR DOMINGOS DA SILVA ANJOS</v>
      </c>
      <c r="H85" s="35" t="str">
        <f>IFERROR(__xludf.DUMMYFUNCTION("""COMPUTED_VALUE"""),"REGIONAL 5")</f>
        <v>REGIONAL 5</v>
      </c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5.75" customHeight="1">
      <c r="A86" s="35" t="str">
        <f>IFERROR(__xludf.DUMMYFUNCTION("""COMPUTED_VALUE"""),"28/01/2026 08:25:59")</f>
        <v>28/01/2026 08:25:59</v>
      </c>
      <c r="B86" s="35" t="str">
        <f>IFERROR(__xludf.DUMMYFUNCTION("""COMPUTED_VALUE"""),"6")</f>
        <v>6</v>
      </c>
      <c r="C86" s="36" t="str">
        <f>IFERROR(__xludf.DUMMYFUNCTION("""COMPUTED_VALUE"""),"EMILLY BEATRIZ SANTOS")</f>
        <v>EMILLY BEATRIZ SANTOS</v>
      </c>
      <c r="D86" s="35" t="str">
        <f>IFERROR(__xludf.DUMMYFUNCTION("""COMPUTED_VALUE"""),"12/12/2023")</f>
        <v>12/12/2023</v>
      </c>
      <c r="E86" s="35" t="str">
        <f>IFERROR(__xludf.DUMMYFUNCTION("""COMPUTED_VALUE"""),"002.613.284-25")</f>
        <v>002.613.284-25</v>
      </c>
      <c r="F86" s="35" t="str">
        <f>IFERROR(__xludf.DUMMYFUNCTION("""COMPUTED_VALUE"""),"INFANTIL 2")</f>
        <v>INFANTIL 2</v>
      </c>
      <c r="G86" s="35" t="str">
        <f>IFERROR(__xludf.DUMMYFUNCTION("""COMPUTED_VALUE"""),"CEMEI PROFESSORA LINDOMAR DOMINGOS DA SILVA ANJOS")</f>
        <v>CEMEI PROFESSORA LINDOMAR DOMINGOS DA SILVA ANJOS</v>
      </c>
      <c r="H86" s="35" t="str">
        <f>IFERROR(__xludf.DUMMYFUNCTION("""COMPUTED_VALUE"""),"REGIONAL 5")</f>
        <v>REGIONAL 5</v>
      </c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5.75" customHeight="1">
      <c r="A87" s="35" t="str">
        <f>IFERROR(__xludf.DUMMYFUNCTION("""COMPUTED_VALUE"""),"28/01/2026 08:31:41")</f>
        <v>28/01/2026 08:31:41</v>
      </c>
      <c r="B87" s="35" t="str">
        <f>IFERROR(__xludf.DUMMYFUNCTION("""COMPUTED_VALUE"""),"7")</f>
        <v>7</v>
      </c>
      <c r="C87" s="36" t="str">
        <f>IFERROR(__xludf.DUMMYFUNCTION("""COMPUTED_VALUE"""),"LEVY MATHEUS SANTOS LINS")</f>
        <v>LEVY MATHEUS SANTOS LINS</v>
      </c>
      <c r="D87" s="35" t="str">
        <f>IFERROR(__xludf.DUMMYFUNCTION("""COMPUTED_VALUE"""),"25/01/2024")</f>
        <v>25/01/2024</v>
      </c>
      <c r="E87" s="35" t="str">
        <f>IFERROR(__xludf.DUMMYFUNCTION("""COMPUTED_VALUE"""),"001.763.444-03")</f>
        <v>001.763.444-03</v>
      </c>
      <c r="F87" s="35" t="str">
        <f>IFERROR(__xludf.DUMMYFUNCTION("""COMPUTED_VALUE"""),"INFANTIL 2")</f>
        <v>INFANTIL 2</v>
      </c>
      <c r="G87" s="35" t="str">
        <f>IFERROR(__xludf.DUMMYFUNCTION("""COMPUTED_VALUE"""),"CEMEI PROFESSORA LINDOMAR DOMINGOS DA SILVA ANJOS")</f>
        <v>CEMEI PROFESSORA LINDOMAR DOMINGOS DA SILVA ANJOS</v>
      </c>
      <c r="H87" s="35" t="str">
        <f>IFERROR(__xludf.DUMMYFUNCTION("""COMPUTED_VALUE"""),"REGIONAL 5")</f>
        <v>REGIONAL 5</v>
      </c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5.75" customHeight="1">
      <c r="A88" s="35" t="str">
        <f>IFERROR(__xludf.DUMMYFUNCTION("""COMPUTED_VALUE"""),"28/01/2026 09:00:15")</f>
        <v>28/01/2026 09:00:15</v>
      </c>
      <c r="B88" s="35" t="str">
        <f>IFERROR(__xludf.DUMMYFUNCTION("""COMPUTED_VALUE"""),"8")</f>
        <v>8</v>
      </c>
      <c r="C88" s="36" t="str">
        <f>IFERROR(__xludf.DUMMYFUNCTION("""COMPUTED_VALUE"""),"HELLOYSA MARIA CAVALCANTE DE LEMOS")</f>
        <v>HELLOYSA MARIA CAVALCANTE DE LEMOS</v>
      </c>
      <c r="D88" s="35" t="str">
        <f>IFERROR(__xludf.DUMMYFUNCTION("""COMPUTED_VALUE"""),"21/12/2023")</f>
        <v>21/12/2023</v>
      </c>
      <c r="E88" s="35" t="str">
        <f>IFERROR(__xludf.DUMMYFUNCTION("""COMPUTED_VALUE"""),"001.593.854-90")</f>
        <v>001.593.854-90</v>
      </c>
      <c r="F88" s="35" t="str">
        <f>IFERROR(__xludf.DUMMYFUNCTION("""COMPUTED_VALUE"""),"INFANTIL 2")</f>
        <v>INFANTIL 2</v>
      </c>
      <c r="G88" s="35" t="str">
        <f>IFERROR(__xludf.DUMMYFUNCTION("""COMPUTED_VALUE"""),"CEMEI PROFESSORA LINDOMAR DOMINGOS DA SILVA ANJOS")</f>
        <v>CEMEI PROFESSORA LINDOMAR DOMINGOS DA SILVA ANJOS</v>
      </c>
      <c r="H88" s="35" t="str">
        <f>IFERROR(__xludf.DUMMYFUNCTION("""COMPUTED_VALUE"""),"REGIONAL 5")</f>
        <v>REGIONAL 5</v>
      </c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5.75" customHeight="1">
      <c r="A89" s="35" t="str">
        <f>IFERROR(__xludf.DUMMYFUNCTION("""COMPUTED_VALUE"""),"28/01/2026 09:08:41")</f>
        <v>28/01/2026 09:08:41</v>
      </c>
      <c r="B89" s="35" t="str">
        <f>IFERROR(__xludf.DUMMYFUNCTION("""COMPUTED_VALUE"""),"9")</f>
        <v>9</v>
      </c>
      <c r="C89" s="36" t="str">
        <f>IFERROR(__xludf.DUMMYFUNCTION("""COMPUTED_VALUE"""),"THÉO VINÍCIUS DA SILVA FERNANDES")</f>
        <v>THÉO VINÍCIUS DA SILVA FERNANDES</v>
      </c>
      <c r="D89" s="35" t="str">
        <f>IFERROR(__xludf.DUMMYFUNCTION("""COMPUTED_VALUE"""),"04/08/2023")</f>
        <v>04/08/2023</v>
      </c>
      <c r="E89" s="35" t="str">
        <f>IFERROR(__xludf.DUMMYFUNCTION("""COMPUTED_VALUE"""),"186.161.124-21")</f>
        <v>186.161.124-21</v>
      </c>
      <c r="F89" s="35" t="str">
        <f>IFERROR(__xludf.DUMMYFUNCTION("""COMPUTED_VALUE"""),"INFANTIL 2")</f>
        <v>INFANTIL 2</v>
      </c>
      <c r="G89" s="35" t="str">
        <f>IFERROR(__xludf.DUMMYFUNCTION("""COMPUTED_VALUE"""),"CEMEI PROFESSORA LINDOMAR DOMINGOS DA SILVA ANJOS")</f>
        <v>CEMEI PROFESSORA LINDOMAR DOMINGOS DA SILVA ANJOS</v>
      </c>
      <c r="H89" s="35" t="str">
        <f>IFERROR(__xludf.DUMMYFUNCTION("""COMPUTED_VALUE"""),"REGIONAL 5")</f>
        <v>REGIONAL 5</v>
      </c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5.75" customHeight="1">
      <c r="A90" s="35" t="str">
        <f>IFERROR(__xludf.DUMMYFUNCTION("""COMPUTED_VALUE"""),"28/01/2026 09:29:37")</f>
        <v>28/01/2026 09:29:37</v>
      </c>
      <c r="B90" s="35" t="str">
        <f>IFERROR(__xludf.DUMMYFUNCTION("""COMPUTED_VALUE"""),"10")</f>
        <v>10</v>
      </c>
      <c r="C90" s="36" t="str">
        <f>IFERROR(__xludf.DUMMYFUNCTION("""COMPUTED_VALUE"""),"MAITÊ FERNANDA DA SILVA")</f>
        <v>MAITÊ FERNANDA DA SILVA</v>
      </c>
      <c r="D90" s="35" t="str">
        <f>IFERROR(__xludf.DUMMYFUNCTION("""COMPUTED_VALUE"""),"30/12/2023")</f>
        <v>30/12/2023</v>
      </c>
      <c r="E90" s="35" t="str">
        <f>IFERROR(__xludf.DUMMYFUNCTION("""COMPUTED_VALUE"""),"001.588.084-28")</f>
        <v>001.588.084-28</v>
      </c>
      <c r="F90" s="35" t="str">
        <f>IFERROR(__xludf.DUMMYFUNCTION("""COMPUTED_VALUE"""),"INFANTIL 2")</f>
        <v>INFANTIL 2</v>
      </c>
      <c r="G90" s="35" t="str">
        <f>IFERROR(__xludf.DUMMYFUNCTION("""COMPUTED_VALUE"""),"CEMEI PROFESSORA LINDOMAR DOMINGOS DA SILVA ANJOS")</f>
        <v>CEMEI PROFESSORA LINDOMAR DOMINGOS DA SILVA ANJOS</v>
      </c>
      <c r="H90" s="35" t="str">
        <f>IFERROR(__xludf.DUMMYFUNCTION("""COMPUTED_VALUE"""),"REGIONAL 5")</f>
        <v>REGIONAL 5</v>
      </c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5.75" customHeight="1">
      <c r="A91" s="35" t="str">
        <f>IFERROR(__xludf.DUMMYFUNCTION("""COMPUTED_VALUE"""),"28/01/2026 10:56:41")</f>
        <v>28/01/2026 10:56:41</v>
      </c>
      <c r="B91" s="35" t="str">
        <f>IFERROR(__xludf.DUMMYFUNCTION("""COMPUTED_VALUE"""),"11")</f>
        <v>11</v>
      </c>
      <c r="C91" s="36" t="str">
        <f>IFERROR(__xludf.DUMMYFUNCTION("""COMPUTED_VALUE"""),"YSIS SILVA RAMOS")</f>
        <v>YSIS SILVA RAMOS</v>
      </c>
      <c r="D91" s="35" t="str">
        <f>IFERROR(__xludf.DUMMYFUNCTION("""COMPUTED_VALUE"""),"11/10/2023")</f>
        <v>11/10/2023</v>
      </c>
      <c r="E91" s="35" t="str">
        <f>IFERROR(__xludf.DUMMYFUNCTION("""COMPUTED_VALUE"""),"000.422.384-55")</f>
        <v>000.422.384-55</v>
      </c>
      <c r="F91" s="35" t="str">
        <f>IFERROR(__xludf.DUMMYFUNCTION("""COMPUTED_VALUE"""),"INFANTIL 2")</f>
        <v>INFANTIL 2</v>
      </c>
      <c r="G91" s="35" t="str">
        <f>IFERROR(__xludf.DUMMYFUNCTION("""COMPUTED_VALUE"""),"CEMEI PROFESSORA LINDOMAR DOMINGOS DA SILVA ANJOS")</f>
        <v>CEMEI PROFESSORA LINDOMAR DOMINGOS DA SILVA ANJOS</v>
      </c>
      <c r="H91" s="35" t="str">
        <f>IFERROR(__xludf.DUMMYFUNCTION("""COMPUTED_VALUE"""),"REGIONAL 5")</f>
        <v>REGIONAL 5</v>
      </c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5.75" customHeight="1">
      <c r="A92" s="35" t="str">
        <f>IFERROR(__xludf.DUMMYFUNCTION("""COMPUTED_VALUE"""),"28/01/2026 11:08:50")</f>
        <v>28/01/2026 11:08:50</v>
      </c>
      <c r="B92" s="35" t="str">
        <f>IFERROR(__xludf.DUMMYFUNCTION("""COMPUTED_VALUE"""),"12")</f>
        <v>12</v>
      </c>
      <c r="C92" s="36" t="str">
        <f>IFERROR(__xludf.DUMMYFUNCTION("""COMPUTED_VALUE"""),"AINOANA VITÓRIA")</f>
        <v>AINOANA VITÓRIA</v>
      </c>
      <c r="D92" s="35" t="str">
        <f>IFERROR(__xludf.DUMMYFUNCTION("""COMPUTED_VALUE"""),"28/07/2023")</f>
        <v>28/07/2023</v>
      </c>
      <c r="E92" s="35" t="str">
        <f>IFERROR(__xludf.DUMMYFUNCTION("""COMPUTED_VALUE"""),"157.026.924-62")</f>
        <v>157.026.924-62</v>
      </c>
      <c r="F92" s="35" t="str">
        <f>IFERROR(__xludf.DUMMYFUNCTION("""COMPUTED_VALUE"""),"INFANTIL 2")</f>
        <v>INFANTIL 2</v>
      </c>
      <c r="G92" s="35" t="str">
        <f>IFERROR(__xludf.DUMMYFUNCTION("""COMPUTED_VALUE"""),"CEMEI PROFESSORA LINDOMAR DOMINGOS DA SILVA ANJOS")</f>
        <v>CEMEI PROFESSORA LINDOMAR DOMINGOS DA SILVA ANJOS</v>
      </c>
      <c r="H92" s="35" t="str">
        <f>IFERROR(__xludf.DUMMYFUNCTION("""COMPUTED_VALUE"""),"REGIONAL 5")</f>
        <v>REGIONAL 5</v>
      </c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5.75" customHeight="1">
      <c r="A93" s="35" t="str">
        <f>IFERROR(__xludf.DUMMYFUNCTION("""COMPUTED_VALUE"""),"28/01/2026 12:27:56")</f>
        <v>28/01/2026 12:27:56</v>
      </c>
      <c r="B93" s="35" t="str">
        <f>IFERROR(__xludf.DUMMYFUNCTION("""COMPUTED_VALUE"""),"13")</f>
        <v>13</v>
      </c>
      <c r="C93" s="36" t="str">
        <f>IFERROR(__xludf.DUMMYFUNCTION("""COMPUTED_VALUE"""),"MANASSÉS MESSIAS DOS SANTOS COSTA")</f>
        <v>MANASSÉS MESSIAS DOS SANTOS COSTA</v>
      </c>
      <c r="D93" s="35" t="str">
        <f>IFERROR(__xludf.DUMMYFUNCTION("""COMPUTED_VALUE"""),"10/06/2023")</f>
        <v>10/06/2023</v>
      </c>
      <c r="E93" s="35" t="str">
        <f>IFERROR(__xludf.DUMMYFUNCTION("""COMPUTED_VALUE"""),"185.866.824-70")</f>
        <v>185.866.824-70</v>
      </c>
      <c r="F93" s="35" t="str">
        <f>IFERROR(__xludf.DUMMYFUNCTION("""COMPUTED_VALUE"""),"INFANTIL 2")</f>
        <v>INFANTIL 2</v>
      </c>
      <c r="G93" s="35" t="str">
        <f>IFERROR(__xludf.DUMMYFUNCTION("""COMPUTED_VALUE"""),"CEMEI PROFESSORA LINDOMAR DOMINGOS DA SILVA ANJOS")</f>
        <v>CEMEI PROFESSORA LINDOMAR DOMINGOS DA SILVA ANJOS</v>
      </c>
      <c r="H93" s="35" t="str">
        <f>IFERROR(__xludf.DUMMYFUNCTION("""COMPUTED_VALUE"""),"REGIONAL 5")</f>
        <v>REGIONAL 5</v>
      </c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5.75" customHeight="1">
      <c r="A94" s="35" t="str">
        <f>IFERROR(__xludf.DUMMYFUNCTION("""COMPUTED_VALUE"""),"29/01/2026 09:34:00")</f>
        <v>29/01/2026 09:34:00</v>
      </c>
      <c r="B94" s="35" t="str">
        <f>IFERROR(__xludf.DUMMYFUNCTION("""COMPUTED_VALUE"""),"14")</f>
        <v>14</v>
      </c>
      <c r="C94" s="36" t="str">
        <f>IFERROR(__xludf.DUMMYFUNCTION("""COMPUTED_VALUE"""),"LARA SOPHIA OLIVEIRA DE ALMEIDA")</f>
        <v>LARA SOPHIA OLIVEIRA DE ALMEIDA</v>
      </c>
      <c r="D94" s="35" t="str">
        <f>IFERROR(__xludf.DUMMYFUNCTION("""COMPUTED_VALUE"""),"13/12/2023")</f>
        <v>13/12/2023</v>
      </c>
      <c r="E94" s="35" t="str">
        <f>IFERROR(__xludf.DUMMYFUNCTION("""COMPUTED_VALUE"""),"002.991.064-11")</f>
        <v>002.991.064-11</v>
      </c>
      <c r="F94" s="35" t="str">
        <f>IFERROR(__xludf.DUMMYFUNCTION("""COMPUTED_VALUE"""),"INFANTIL 2")</f>
        <v>INFANTIL 2</v>
      </c>
      <c r="G94" s="35" t="str">
        <f>IFERROR(__xludf.DUMMYFUNCTION("""COMPUTED_VALUE"""),"CEMEI PROFESSORA LINDOMAR DOMINGOS DA SILVA ANJOS")</f>
        <v>CEMEI PROFESSORA LINDOMAR DOMINGOS DA SILVA ANJOS</v>
      </c>
      <c r="H94" s="35" t="str">
        <f>IFERROR(__xludf.DUMMYFUNCTION("""COMPUTED_VALUE"""),"REGIONAL 5")</f>
        <v>REGIONAL 5</v>
      </c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5.75" customHeight="1">
      <c r="A95" s="35" t="str">
        <f>IFERROR(__xludf.DUMMYFUNCTION("""COMPUTED_VALUE"""),"29/01/2026 19:07:33")</f>
        <v>29/01/2026 19:07:33</v>
      </c>
      <c r="B95" s="35" t="str">
        <f>IFERROR(__xludf.DUMMYFUNCTION("""COMPUTED_VALUE"""),"15")</f>
        <v>15</v>
      </c>
      <c r="C95" s="36" t="str">
        <f>IFERROR(__xludf.DUMMYFUNCTION("""COMPUTED_VALUE"""),"JOÃO PEDRO AIRES DE SOUZA")</f>
        <v>JOÃO PEDRO AIRES DE SOUZA</v>
      </c>
      <c r="D95" s="35" t="str">
        <f>IFERROR(__xludf.DUMMYFUNCTION("""COMPUTED_VALUE"""),"13/05/2023")</f>
        <v>13/05/2023</v>
      </c>
      <c r="E95" s="35" t="str">
        <f>IFERROR(__xludf.DUMMYFUNCTION("""COMPUTED_VALUE"""),"185.347.964-08")</f>
        <v>185.347.964-08</v>
      </c>
      <c r="F95" s="35" t="str">
        <f>IFERROR(__xludf.DUMMYFUNCTION("""COMPUTED_VALUE"""),"INFANTIL 2")</f>
        <v>INFANTIL 2</v>
      </c>
      <c r="G95" s="35" t="str">
        <f>IFERROR(__xludf.DUMMYFUNCTION("""COMPUTED_VALUE"""),"CEMEI PROFESSORA LINDOMAR DOMINGOS DA SILVA ANJOS")</f>
        <v>CEMEI PROFESSORA LINDOMAR DOMINGOS DA SILVA ANJOS</v>
      </c>
      <c r="H95" s="35" t="str">
        <f>IFERROR(__xludf.DUMMYFUNCTION("""COMPUTED_VALUE"""),"REGIONAL 5")</f>
        <v>REGIONAL 5</v>
      </c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5.75" customHeight="1">
      <c r="A96" s="35" t="str">
        <f>IFERROR(__xludf.DUMMYFUNCTION("""COMPUTED_VALUE"""),"03/02/2026 12:10:55")</f>
        <v>03/02/2026 12:10:55</v>
      </c>
      <c r="B96" s="35" t="str">
        <f>IFERROR(__xludf.DUMMYFUNCTION("""COMPUTED_VALUE"""),"16")</f>
        <v>16</v>
      </c>
      <c r="C96" s="36" t="str">
        <f>IFERROR(__xludf.DUMMYFUNCTION("""COMPUTED_VALUE"""),"ELIAS BENJAMIN MIGUEL FERREIRA NACIMENTO")</f>
        <v>ELIAS BENJAMIN MIGUEL FERREIRA NACIMENTO</v>
      </c>
      <c r="D96" s="35" t="str">
        <f>IFERROR(__xludf.DUMMYFUNCTION("""COMPUTED_VALUE"""),"11/11/2023")</f>
        <v>11/11/2023</v>
      </c>
      <c r="E96" s="35" t="str">
        <f>IFERROR(__xludf.DUMMYFUNCTION("""COMPUTED_VALUE"""),"001.108.114-70")</f>
        <v>001.108.114-70</v>
      </c>
      <c r="F96" s="35" t="str">
        <f>IFERROR(__xludf.DUMMYFUNCTION("""COMPUTED_VALUE"""),"INFANTIL 2")</f>
        <v>INFANTIL 2</v>
      </c>
      <c r="G96" s="35" t="str">
        <f>IFERROR(__xludf.DUMMYFUNCTION("""COMPUTED_VALUE"""),"CEMEI PROFESSORA LINDOMAR DOMINGOS DA SILVA ANJOS")</f>
        <v>CEMEI PROFESSORA LINDOMAR DOMINGOS DA SILVA ANJOS</v>
      </c>
      <c r="H96" s="35" t="str">
        <f>IFERROR(__xludf.DUMMYFUNCTION("""COMPUTED_VALUE"""),"REGIONAL 5")</f>
        <v>REGIONAL 5</v>
      </c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5.75" customHeight="1">
      <c r="A97" s="35" t="str">
        <f>IFERROR(__xludf.DUMMYFUNCTION("""COMPUTED_VALUE"""),"03/02/2026 19:19:03")</f>
        <v>03/02/2026 19:19:03</v>
      </c>
      <c r="B97" s="35" t="str">
        <f>IFERROR(__xludf.DUMMYFUNCTION("""COMPUTED_VALUE"""),"17")</f>
        <v>17</v>
      </c>
      <c r="C97" s="36" t="str">
        <f>IFERROR(__xludf.DUMMYFUNCTION("""COMPUTED_VALUE"""),"AYLLA ELOÁ VITÓRIA DA SILVA")</f>
        <v>AYLLA ELOÁ VITÓRIA DA SILVA</v>
      </c>
      <c r="D97" s="35" t="str">
        <f>IFERROR(__xludf.DUMMYFUNCTION("""COMPUTED_VALUE"""),"22/06/2023")</f>
        <v>22/06/2023</v>
      </c>
      <c r="E97" s="35" t="str">
        <f>IFERROR(__xludf.DUMMYFUNCTION("""COMPUTED_VALUE"""),"185.751.114-00")</f>
        <v>185.751.114-00</v>
      </c>
      <c r="F97" s="35" t="str">
        <f>IFERROR(__xludf.DUMMYFUNCTION("""COMPUTED_VALUE"""),"INFANTIL 2")</f>
        <v>INFANTIL 2</v>
      </c>
      <c r="G97" s="35" t="str">
        <f>IFERROR(__xludf.DUMMYFUNCTION("""COMPUTED_VALUE"""),"CEMEI PROFESSORA LINDOMAR DOMINGOS DA SILVA ANJOS")</f>
        <v>CEMEI PROFESSORA LINDOMAR DOMINGOS DA SILVA ANJOS</v>
      </c>
      <c r="H97" s="35" t="str">
        <f>IFERROR(__xludf.DUMMYFUNCTION("""COMPUTED_VALUE"""),"REGIONAL 5")</f>
        <v>REGIONAL 5</v>
      </c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5.75" customHeight="1">
      <c r="A98" s="35" t="str">
        <f>IFERROR(__xludf.DUMMYFUNCTION("""COMPUTED_VALUE"""),"04/02/2026 09:54:58")</f>
        <v>04/02/2026 09:54:58</v>
      </c>
      <c r="B98" s="35" t="str">
        <f>IFERROR(__xludf.DUMMYFUNCTION("""COMPUTED_VALUE"""),"18")</f>
        <v>18</v>
      </c>
      <c r="C98" s="36" t="str">
        <f>IFERROR(__xludf.DUMMYFUNCTION("""COMPUTED_VALUE"""),"ANTHONY MIGUEL MEDEIROS DE LIMA")</f>
        <v>ANTHONY MIGUEL MEDEIROS DE LIMA</v>
      </c>
      <c r="D98" s="35" t="str">
        <f>IFERROR(__xludf.DUMMYFUNCTION("""COMPUTED_VALUE"""),"11/07/2023")</f>
        <v>11/07/2023</v>
      </c>
      <c r="E98" s="35" t="str">
        <f>IFERROR(__xludf.DUMMYFUNCTION("""COMPUTED_VALUE"""),"186.252.964-75")</f>
        <v>186.252.964-75</v>
      </c>
      <c r="F98" s="35" t="str">
        <f>IFERROR(__xludf.DUMMYFUNCTION("""COMPUTED_VALUE"""),"INFANTIL 2")</f>
        <v>INFANTIL 2</v>
      </c>
      <c r="G98" s="35" t="str">
        <f>IFERROR(__xludf.DUMMYFUNCTION("""COMPUTED_VALUE"""),"CEMEI PROFESSORA LINDOMAR DOMINGOS DA SILVA ANJOS")</f>
        <v>CEMEI PROFESSORA LINDOMAR DOMINGOS DA SILVA ANJOS</v>
      </c>
      <c r="H98" s="35" t="str">
        <f>IFERROR(__xludf.DUMMYFUNCTION("""COMPUTED_VALUE"""),"REGIONAL 5")</f>
        <v>REGIONAL 5</v>
      </c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5.75" customHeight="1">
      <c r="A99" s="35" t="str">
        <f>IFERROR(__xludf.DUMMYFUNCTION("""COMPUTED_VALUE"""),"04/02/2026 12:41:36")</f>
        <v>04/02/2026 12:41:36</v>
      </c>
      <c r="B99" s="35" t="str">
        <f>IFERROR(__xludf.DUMMYFUNCTION("""COMPUTED_VALUE"""),"19")</f>
        <v>19</v>
      </c>
      <c r="C99" s="36" t="str">
        <f>IFERROR(__xludf.DUMMYFUNCTION("""COMPUTED_VALUE"""),"ISAAC RAFAEL DA SILVA")</f>
        <v>ISAAC RAFAEL DA SILVA</v>
      </c>
      <c r="D99" s="35" t="str">
        <f>IFERROR(__xludf.DUMMYFUNCTION("""COMPUTED_VALUE"""),"17/04/2023")</f>
        <v>17/04/2023</v>
      </c>
      <c r="E99" s="35" t="str">
        <f>IFERROR(__xludf.DUMMYFUNCTION("""COMPUTED_VALUE"""),"185.156.394-67")</f>
        <v>185.156.394-67</v>
      </c>
      <c r="F99" s="35" t="str">
        <f>IFERROR(__xludf.DUMMYFUNCTION("""COMPUTED_VALUE"""),"INFANTIL 2")</f>
        <v>INFANTIL 2</v>
      </c>
      <c r="G99" s="35" t="str">
        <f>IFERROR(__xludf.DUMMYFUNCTION("""COMPUTED_VALUE"""),"CEMEI PROFESSORA LINDOMAR DOMINGOS DA SILVA ANJOS")</f>
        <v>CEMEI PROFESSORA LINDOMAR DOMINGOS DA SILVA ANJOS</v>
      </c>
      <c r="H99" s="35" t="str">
        <f>IFERROR(__xludf.DUMMYFUNCTION("""COMPUTED_VALUE"""),"REGIONAL 5")</f>
        <v>REGIONAL 5</v>
      </c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5.75" customHeight="1">
      <c r="A100" s="35" t="str">
        <f>IFERROR(__xludf.DUMMYFUNCTION("""COMPUTED_VALUE"""),"04/02/2026 15:23:58")</f>
        <v>04/02/2026 15:23:58</v>
      </c>
      <c r="B100" s="35" t="str">
        <f>IFERROR(__xludf.DUMMYFUNCTION("""COMPUTED_VALUE"""),"20")</f>
        <v>20</v>
      </c>
      <c r="C100" s="36" t="str">
        <f>IFERROR(__xludf.DUMMYFUNCTION("""COMPUTED_VALUE"""),"CALEB RAFAEL LOPES DOS SANTOS")</f>
        <v>CALEB RAFAEL LOPES DOS SANTOS</v>
      </c>
      <c r="D100" s="35" t="str">
        <f>IFERROR(__xludf.DUMMYFUNCTION("""COMPUTED_VALUE"""),"05/06/2023")</f>
        <v>05/06/2023</v>
      </c>
      <c r="E100" s="35" t="str">
        <f>IFERROR(__xludf.DUMMYFUNCTION("""COMPUTED_VALUE"""),"185.570.964-37")</f>
        <v>185.570.964-37</v>
      </c>
      <c r="F100" s="35" t="str">
        <f>IFERROR(__xludf.DUMMYFUNCTION("""COMPUTED_VALUE"""),"INFANTIL 2")</f>
        <v>INFANTIL 2</v>
      </c>
      <c r="G100" s="35" t="str">
        <f>IFERROR(__xludf.DUMMYFUNCTION("""COMPUTED_VALUE"""),"CEMEI PROFESSORA LINDOMAR DOMINGOS DA SILVA ANJOS")</f>
        <v>CEMEI PROFESSORA LINDOMAR DOMINGOS DA SILVA ANJOS</v>
      </c>
      <c r="H100" s="35" t="str">
        <f>IFERROR(__xludf.DUMMYFUNCTION("""COMPUTED_VALUE"""),"REGIONAL 5")</f>
        <v>REGIONAL 5</v>
      </c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5.75" customHeight="1">
      <c r="A101" s="35" t="str">
        <f>IFERROR(__xludf.DUMMYFUNCTION("""COMPUTED_VALUE"""),"05/02/2026 16:07:06")</f>
        <v>05/02/2026 16:07:06</v>
      </c>
      <c r="B101" s="35" t="str">
        <f>IFERROR(__xludf.DUMMYFUNCTION("""COMPUTED_VALUE"""),"21")</f>
        <v>21</v>
      </c>
      <c r="C101" s="36" t="str">
        <f>IFERROR(__xludf.DUMMYFUNCTION("""COMPUTED_VALUE"""),"CLARISSE RENATA MIGUEL AZEVEDO DE ALMEIDA")</f>
        <v>CLARISSE RENATA MIGUEL AZEVEDO DE ALMEIDA</v>
      </c>
      <c r="D101" s="35" t="str">
        <f>IFERROR(__xludf.DUMMYFUNCTION("""COMPUTED_VALUE"""),"11/08/2023")</f>
        <v>11/08/2023</v>
      </c>
      <c r="E101" s="35" t="str">
        <f>IFERROR(__xludf.DUMMYFUNCTION("""COMPUTED_VALUE"""),"186.226.954-84")</f>
        <v>186.226.954-84</v>
      </c>
      <c r="F101" s="35" t="str">
        <f>IFERROR(__xludf.DUMMYFUNCTION("""COMPUTED_VALUE"""),"INFANTIL 2")</f>
        <v>INFANTIL 2</v>
      </c>
      <c r="G101" s="35" t="str">
        <f>IFERROR(__xludf.DUMMYFUNCTION("""COMPUTED_VALUE"""),"CEMEI PROFESSORA LINDOMAR DOMINGOS DA SILVA ANJOS")</f>
        <v>CEMEI PROFESSORA LINDOMAR DOMINGOS DA SILVA ANJOS</v>
      </c>
      <c r="H101" s="35" t="str">
        <f>IFERROR(__xludf.DUMMYFUNCTION("""COMPUTED_VALUE"""),"REGIONAL 5")</f>
        <v>REGIONAL 5</v>
      </c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5.75" customHeight="1">
      <c r="A102" s="35" t="str">
        <f>IFERROR(__xludf.DUMMYFUNCTION("""COMPUTED_VALUE"""),"09/02/2026 09:40:47")</f>
        <v>09/02/2026 09:40:47</v>
      </c>
      <c r="B102" s="35" t="str">
        <f>IFERROR(__xludf.DUMMYFUNCTION("""COMPUTED_VALUE"""),"22")</f>
        <v>22</v>
      </c>
      <c r="C102" s="36" t="str">
        <f>IFERROR(__xludf.DUMMYFUNCTION("""COMPUTED_VALUE"""),"MARIA CECÍLIA DA SILVA")</f>
        <v>MARIA CECÍLIA DA SILVA</v>
      </c>
      <c r="D102" s="35" t="str">
        <f>IFERROR(__xludf.DUMMYFUNCTION("""COMPUTED_VALUE"""),"26/01/2024")</f>
        <v>26/01/2024</v>
      </c>
      <c r="E102" s="35" t="str">
        <f>IFERROR(__xludf.DUMMYFUNCTION("""COMPUTED_VALUE"""),"001.740.454-17")</f>
        <v>001.740.454-17</v>
      </c>
      <c r="F102" s="35" t="str">
        <f>IFERROR(__xludf.DUMMYFUNCTION("""COMPUTED_VALUE"""),"INFANTIL 2")</f>
        <v>INFANTIL 2</v>
      </c>
      <c r="G102" s="35" t="str">
        <f>IFERROR(__xludf.DUMMYFUNCTION("""COMPUTED_VALUE"""),"CEMEI PROFESSORA LINDOMAR DOMINGOS DA SILVA ANJOS")</f>
        <v>CEMEI PROFESSORA LINDOMAR DOMINGOS DA SILVA ANJOS</v>
      </c>
      <c r="H102" s="35" t="str">
        <f>IFERROR(__xludf.DUMMYFUNCTION("""COMPUTED_VALUE"""),"REGIONAL 5")</f>
        <v>REGIONAL 5</v>
      </c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5.75" customHeight="1">
      <c r="A103" s="35" t="str">
        <f>IFERROR(__xludf.DUMMYFUNCTION("""COMPUTED_VALUE"""),"10/02/2026 07:55:39")</f>
        <v>10/02/2026 07:55:39</v>
      </c>
      <c r="B103" s="35" t="str">
        <f>IFERROR(__xludf.DUMMYFUNCTION("""COMPUTED_VALUE"""),"23")</f>
        <v>23</v>
      </c>
      <c r="C103" s="36" t="str">
        <f>IFERROR(__xludf.DUMMYFUNCTION("""COMPUTED_VALUE"""),"MIGUEL BARRETO GOMES")</f>
        <v>MIGUEL BARRETO GOMES</v>
      </c>
      <c r="D103" s="35" t="str">
        <f>IFERROR(__xludf.DUMMYFUNCTION("""COMPUTED_VALUE"""),"07/12/2023")</f>
        <v>07/12/2023</v>
      </c>
      <c r="E103" s="35" t="str">
        <f>IFERROR(__xludf.DUMMYFUNCTION("""COMPUTED_VALUE"""),"001.204.304-44")</f>
        <v>001.204.304-44</v>
      </c>
      <c r="F103" s="35" t="str">
        <f>IFERROR(__xludf.DUMMYFUNCTION("""COMPUTED_VALUE"""),"INFANTIL 2")</f>
        <v>INFANTIL 2</v>
      </c>
      <c r="G103" s="35" t="str">
        <f>IFERROR(__xludf.DUMMYFUNCTION("""COMPUTED_VALUE"""),"CEMEI PROFESSORA LINDOMAR DOMINGOS DA SILVA ANJOS")</f>
        <v>CEMEI PROFESSORA LINDOMAR DOMINGOS DA SILVA ANJOS</v>
      </c>
      <c r="H103" s="35" t="str">
        <f>IFERROR(__xludf.DUMMYFUNCTION("""COMPUTED_VALUE"""),"REGIONAL 5")</f>
        <v>REGIONAL 5</v>
      </c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5.75" customHeight="1">
      <c r="A104" s="35" t="str">
        <f>IFERROR(__xludf.DUMMYFUNCTION("""COMPUTED_VALUE"""),"10/02/2026 08:09:08")</f>
        <v>10/02/2026 08:09:08</v>
      </c>
      <c r="B104" s="35" t="str">
        <f>IFERROR(__xludf.DUMMYFUNCTION("""COMPUTED_VALUE"""),"24")</f>
        <v>24</v>
      </c>
      <c r="C104" s="36" t="str">
        <f>IFERROR(__xludf.DUMMYFUNCTION("""COMPUTED_VALUE"""),"GAEL LEVI MARQUES DE LIMA")</f>
        <v>GAEL LEVI MARQUES DE LIMA</v>
      </c>
      <c r="D104" s="35" t="str">
        <f>IFERROR(__xludf.DUMMYFUNCTION("""COMPUTED_VALUE"""),"08/06/2023")</f>
        <v>08/06/2023</v>
      </c>
      <c r="E104" s="35" t="str">
        <f>IFERROR(__xludf.DUMMYFUNCTION("""COMPUTED_VALUE"""),"185.616.944-83")</f>
        <v>185.616.944-83</v>
      </c>
      <c r="F104" s="35" t="str">
        <f>IFERROR(__xludf.DUMMYFUNCTION("""COMPUTED_VALUE"""),"INFANTIL 2")</f>
        <v>INFANTIL 2</v>
      </c>
      <c r="G104" s="35" t="str">
        <f>IFERROR(__xludf.DUMMYFUNCTION("""COMPUTED_VALUE"""),"CEMEI PROFESSORA LINDOMAR DOMINGOS DA SILVA ANJOS")</f>
        <v>CEMEI PROFESSORA LINDOMAR DOMINGOS DA SILVA ANJOS</v>
      </c>
      <c r="H104" s="35" t="str">
        <f>IFERROR(__xludf.DUMMYFUNCTION("""COMPUTED_VALUE"""),"REGIONAL 5")</f>
        <v>REGIONAL 5</v>
      </c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5.75" customHeight="1">
      <c r="A105" s="35" t="str">
        <f>IFERROR(__xludf.DUMMYFUNCTION("""COMPUTED_VALUE"""),"10/02/2026 11:18:19")</f>
        <v>10/02/2026 11:18:19</v>
      </c>
      <c r="B105" s="35" t="str">
        <f>IFERROR(__xludf.DUMMYFUNCTION("""COMPUTED_VALUE"""),"25")</f>
        <v>25</v>
      </c>
      <c r="C105" s="36" t="str">
        <f>IFERROR(__xludf.DUMMYFUNCTION("""COMPUTED_VALUE"""),"JAERLLYSON JOSUE ANDRADE DA SILVA")</f>
        <v>JAERLLYSON JOSUE ANDRADE DA SILVA</v>
      </c>
      <c r="D105" s="35" t="str">
        <f>IFERROR(__xludf.DUMMYFUNCTION("""COMPUTED_VALUE"""),"05/07/2023")</f>
        <v>05/07/2023</v>
      </c>
      <c r="E105" s="35" t="str">
        <f>IFERROR(__xludf.DUMMYFUNCTION("""COMPUTED_VALUE"""),"185.899.144-70")</f>
        <v>185.899.144-70</v>
      </c>
      <c r="F105" s="35" t="str">
        <f>IFERROR(__xludf.DUMMYFUNCTION("""COMPUTED_VALUE"""),"INFANTIL 2")</f>
        <v>INFANTIL 2</v>
      </c>
      <c r="G105" s="35" t="str">
        <f>IFERROR(__xludf.DUMMYFUNCTION("""COMPUTED_VALUE"""),"CEMEI PROFESSORA LINDOMAR DOMINGOS DA SILVA ANJOS")</f>
        <v>CEMEI PROFESSORA LINDOMAR DOMINGOS DA SILVA ANJOS</v>
      </c>
      <c r="H105" s="35" t="str">
        <f>IFERROR(__xludf.DUMMYFUNCTION("""COMPUTED_VALUE"""),"REGIONAL 5")</f>
        <v>REGIONAL 5</v>
      </c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5.75" customHeight="1">
      <c r="A106" s="35" t="str">
        <f>IFERROR(__xludf.DUMMYFUNCTION("""COMPUTED_VALUE"""),"11/02/2026 13:53:52")</f>
        <v>11/02/2026 13:53:52</v>
      </c>
      <c r="B106" s="35" t="str">
        <f>IFERROR(__xludf.DUMMYFUNCTION("""COMPUTED_VALUE"""),"26")</f>
        <v>26</v>
      </c>
      <c r="C106" s="36" t="str">
        <f>IFERROR(__xludf.DUMMYFUNCTION("""COMPUTED_VALUE"""),"YARA MELISSA VALENTINA DA SILVA NEVES")</f>
        <v>YARA MELISSA VALENTINA DA SILVA NEVES</v>
      </c>
      <c r="D106" s="35" t="str">
        <f>IFERROR(__xludf.DUMMYFUNCTION("""COMPUTED_VALUE"""),"10/11/2023")</f>
        <v>10/11/2023</v>
      </c>
      <c r="E106" s="35" t="str">
        <f>IFERROR(__xludf.DUMMYFUNCTION("""COMPUTED_VALUE"""),"000.986.854-22")</f>
        <v>000.986.854-22</v>
      </c>
      <c r="F106" s="35" t="str">
        <f>IFERROR(__xludf.DUMMYFUNCTION("""COMPUTED_VALUE"""),"INFANTIL 2")</f>
        <v>INFANTIL 2</v>
      </c>
      <c r="G106" s="35" t="str">
        <f>IFERROR(__xludf.DUMMYFUNCTION("""COMPUTED_VALUE"""),"CEMEI PROFESSORA LINDOMAR DOMINGOS DA SILVA ANJOS")</f>
        <v>CEMEI PROFESSORA LINDOMAR DOMINGOS DA SILVA ANJOS</v>
      </c>
      <c r="H106" s="35" t="str">
        <f>IFERROR(__xludf.DUMMYFUNCTION("""COMPUTED_VALUE"""),"REGIONAL 5")</f>
        <v>REGIONAL 5</v>
      </c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5.75" customHeight="1">
      <c r="A107" s="35" t="str">
        <f>IFERROR(__xludf.DUMMYFUNCTION("""COMPUTED_VALUE"""),"19/02/2026 09:30:52")</f>
        <v>19/02/2026 09:30:52</v>
      </c>
      <c r="B107" s="35" t="str">
        <f>IFERROR(__xludf.DUMMYFUNCTION("""COMPUTED_VALUE"""),"27")</f>
        <v>27</v>
      </c>
      <c r="C107" s="36" t="str">
        <f>IFERROR(__xludf.DUMMYFUNCTION("""COMPUTED_VALUE"""),"BEN DE SOUZA FRANCISCO")</f>
        <v>BEN DE SOUZA FRANCISCO</v>
      </c>
      <c r="D107" s="35" t="str">
        <f>IFERROR(__xludf.DUMMYFUNCTION("""COMPUTED_VALUE"""),"25/04/2023")</f>
        <v>25/04/2023</v>
      </c>
      <c r="E107" s="35" t="str">
        <f>IFERROR(__xludf.DUMMYFUNCTION("""COMPUTED_VALUE"""),"185.296.954-70")</f>
        <v>185.296.954-70</v>
      </c>
      <c r="F107" s="35" t="str">
        <f>IFERROR(__xludf.DUMMYFUNCTION("""COMPUTED_VALUE"""),"INFANTIL 2")</f>
        <v>INFANTIL 2</v>
      </c>
      <c r="G107" s="35" t="str">
        <f>IFERROR(__xludf.DUMMYFUNCTION("""COMPUTED_VALUE"""),"CEMEI PROFESSORA LINDOMAR DOMINGOS DA SILVA ANJOS")</f>
        <v>CEMEI PROFESSORA LINDOMAR DOMINGOS DA SILVA ANJOS</v>
      </c>
      <c r="H107" s="35" t="str">
        <f>IFERROR(__xludf.DUMMYFUNCTION("""COMPUTED_VALUE"""),"REGIONAL 5")</f>
        <v>REGIONAL 5</v>
      </c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5.75" customHeight="1">
      <c r="A108" s="35" t="str">
        <f>IFERROR(__xludf.DUMMYFUNCTION("""COMPUTED_VALUE"""),"03/03/2026 12:02:06")</f>
        <v>03/03/2026 12:02:06</v>
      </c>
      <c r="B108" s="35" t="str">
        <f>IFERROR(__xludf.DUMMYFUNCTION("""COMPUTED_VALUE"""),"28")</f>
        <v>28</v>
      </c>
      <c r="C108" s="36" t="str">
        <f>IFERROR(__xludf.DUMMYFUNCTION("""COMPUTED_VALUE"""),"HEITOR BEZERRA DA SILVA")</f>
        <v>HEITOR BEZERRA DA SILVA</v>
      </c>
      <c r="D108" s="35" t="str">
        <f>IFERROR(__xludf.DUMMYFUNCTION("""COMPUTED_VALUE"""),"27/06/2023")</f>
        <v>27/06/2023</v>
      </c>
      <c r="E108" s="35" t="str">
        <f>IFERROR(__xludf.DUMMYFUNCTION("""COMPUTED_VALUE"""),"185.815.174-04")</f>
        <v>185.815.174-04</v>
      </c>
      <c r="F108" s="35" t="str">
        <f>IFERROR(__xludf.DUMMYFUNCTION("""COMPUTED_VALUE"""),"INFANTIL 2")</f>
        <v>INFANTIL 2</v>
      </c>
      <c r="G108" s="35" t="str">
        <f>IFERROR(__xludf.DUMMYFUNCTION("""COMPUTED_VALUE"""),"CEMEI PROFESSORA LINDOMAR DOMINGOS DA SILVA ANJOS")</f>
        <v>CEMEI PROFESSORA LINDOMAR DOMINGOS DA SILVA ANJOS</v>
      </c>
      <c r="H108" s="35" t="str">
        <f>IFERROR(__xludf.DUMMYFUNCTION("""COMPUTED_VALUE"""),"REGIONAL 5")</f>
        <v>REGIONAL 5</v>
      </c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5.75" customHeight="1">
      <c r="A109" s="35" t="str">
        <f>IFERROR(__xludf.DUMMYFUNCTION("""COMPUTED_VALUE"""),"04/03/2026 07:55:35")</f>
        <v>04/03/2026 07:55:35</v>
      </c>
      <c r="B109" s="35" t="str">
        <f>IFERROR(__xludf.DUMMYFUNCTION("""COMPUTED_VALUE"""),"29")</f>
        <v>29</v>
      </c>
      <c r="C109" s="36" t="str">
        <f>IFERROR(__xludf.DUMMYFUNCTION("""COMPUTED_VALUE"""),"ANTHONY GABRIEL PEREIRA DA SILVA")</f>
        <v>ANTHONY GABRIEL PEREIRA DA SILVA</v>
      </c>
      <c r="D109" s="35" t="str">
        <f>IFERROR(__xludf.DUMMYFUNCTION("""COMPUTED_VALUE"""),"16/11/2023")</f>
        <v>16/11/2023</v>
      </c>
      <c r="E109" s="35" t="str">
        <f>IFERROR(__xludf.DUMMYFUNCTION("""COMPUTED_VALUE"""),"001.086.874-73")</f>
        <v>001.086.874-73</v>
      </c>
      <c r="F109" s="35" t="str">
        <f>IFERROR(__xludf.DUMMYFUNCTION("""COMPUTED_VALUE"""),"INFANTIL 2")</f>
        <v>INFANTIL 2</v>
      </c>
      <c r="G109" s="35" t="str">
        <f>IFERROR(__xludf.DUMMYFUNCTION("""COMPUTED_VALUE"""),"CEMEI PROFESSORA LINDOMAR DOMINGOS DA SILVA ANJOS")</f>
        <v>CEMEI PROFESSORA LINDOMAR DOMINGOS DA SILVA ANJOS</v>
      </c>
      <c r="H109" s="35" t="str">
        <f>IFERROR(__xludf.DUMMYFUNCTION("""COMPUTED_VALUE"""),"REGIONAL 5")</f>
        <v>REGIONAL 5</v>
      </c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5.75" customHeight="1">
      <c r="A110" s="35" t="str">
        <f>IFERROR(__xludf.DUMMYFUNCTION("""COMPUTED_VALUE"""),"12/03/2026 11:41:32")</f>
        <v>12/03/2026 11:41:32</v>
      </c>
      <c r="B110" s="35" t="str">
        <f>IFERROR(__xludf.DUMMYFUNCTION("""COMPUTED_VALUE"""),"30")</f>
        <v>30</v>
      </c>
      <c r="C110" s="36" t="str">
        <f>IFERROR(__xludf.DUMMYFUNCTION("""COMPUTED_VALUE"""),"ANTHONY HENRIQUE SANTOS DA SILVA")</f>
        <v>ANTHONY HENRIQUE SANTOS DA SILVA</v>
      </c>
      <c r="D110" s="35" t="str">
        <f>IFERROR(__xludf.DUMMYFUNCTION("""COMPUTED_VALUE"""),"21/09/2023")</f>
        <v>21/09/2023</v>
      </c>
      <c r="E110" s="35" t="str">
        <f>IFERROR(__xludf.DUMMYFUNCTION("""COMPUTED_VALUE"""),"186.598.194-03")</f>
        <v>186.598.194-03</v>
      </c>
      <c r="F110" s="35" t="str">
        <f>IFERROR(__xludf.DUMMYFUNCTION("""COMPUTED_VALUE"""),"INFANTIL 2")</f>
        <v>INFANTIL 2</v>
      </c>
      <c r="G110" s="35" t="str">
        <f>IFERROR(__xludf.DUMMYFUNCTION("""COMPUTED_VALUE"""),"CEMEI PROFESSORA LINDOMAR DOMINGOS DA SILVA ANJOS")</f>
        <v>CEMEI PROFESSORA LINDOMAR DOMINGOS DA SILVA ANJOS</v>
      </c>
      <c r="H110" s="35" t="str">
        <f>IFERROR(__xludf.DUMMYFUNCTION("""COMPUTED_VALUE"""),"REGIONAL 5")</f>
        <v>REGIONAL 5</v>
      </c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5.75" customHeight="1">
      <c r="A111" s="35" t="str">
        <f>IFERROR(__xludf.DUMMYFUNCTION("""COMPUTED_VALUE"""),"25/04/2026 06:48:05")</f>
        <v>25/04/2026 06:48:05</v>
      </c>
      <c r="B111" s="35" t="str">
        <f>IFERROR(__xludf.DUMMYFUNCTION("""COMPUTED_VALUE"""),"31")</f>
        <v>31</v>
      </c>
      <c r="C111" s="36" t="str">
        <f>IFERROR(__xludf.DUMMYFUNCTION("""COMPUTED_VALUE"""),"CECÍLIA MORAES DE ABREU")</f>
        <v>CECÍLIA MORAES DE ABREU</v>
      </c>
      <c r="D111" s="35" t="str">
        <f>IFERROR(__xludf.DUMMYFUNCTION("""COMPUTED_VALUE"""),"23/09/2023")</f>
        <v>23/09/2023</v>
      </c>
      <c r="E111" s="35" t="str">
        <f>IFERROR(__xludf.DUMMYFUNCTION("""COMPUTED_VALUE"""),"000.222.764-91")</f>
        <v>000.222.764-91</v>
      </c>
      <c r="F111" s="35" t="str">
        <f>IFERROR(__xludf.DUMMYFUNCTION("""COMPUTED_VALUE"""),"INFANTIL 2")</f>
        <v>INFANTIL 2</v>
      </c>
      <c r="G111" s="35" t="str">
        <f>IFERROR(__xludf.DUMMYFUNCTION("""COMPUTED_VALUE"""),"CEMEI PROFESSORA LINDOMAR DOMINGOS DA SILVA ANJOS")</f>
        <v>CEMEI PROFESSORA LINDOMAR DOMINGOS DA SILVA ANJOS</v>
      </c>
      <c r="H111" s="35" t="str">
        <f>IFERROR(__xludf.DUMMYFUNCTION("""COMPUTED_VALUE"""),"REGIONAL 5")</f>
        <v>REGIONAL 5</v>
      </c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5.75" customHeight="1">
      <c r="A112" s="35" t="str">
        <f>IFERROR(__xludf.DUMMYFUNCTION("""COMPUTED_VALUE"""),"29/06/2026 09:11:46")</f>
        <v>29/06/2026 09:11:46</v>
      </c>
      <c r="B112" s="35" t="str">
        <f>IFERROR(__xludf.DUMMYFUNCTION("""COMPUTED_VALUE"""),"32")</f>
        <v>32</v>
      </c>
      <c r="C112" s="36" t="str">
        <f>IFERROR(__xludf.DUMMYFUNCTION("""COMPUTED_VALUE"""),"KALEB RUAN BARBOZA DA SILVA")</f>
        <v>KALEB RUAN BARBOZA DA SILVA</v>
      </c>
      <c r="D112" s="35" t="str">
        <f>IFERROR(__xludf.DUMMYFUNCTION("""COMPUTED_VALUE"""),"16/02/2024")</f>
        <v>16/02/2024</v>
      </c>
      <c r="E112" s="35" t="str">
        <f>IFERROR(__xludf.DUMMYFUNCTION("""COMPUTED_VALUE"""),"001.982.434-30")</f>
        <v>001.982.434-30</v>
      </c>
      <c r="F112" s="35" t="str">
        <f>IFERROR(__xludf.DUMMYFUNCTION("""COMPUTED_VALUE"""),"INFANTIL 2")</f>
        <v>INFANTIL 2</v>
      </c>
      <c r="G112" s="35" t="str">
        <f>IFERROR(__xludf.DUMMYFUNCTION("""COMPUTED_VALUE"""),"CEMEI PROFESSORA LINDOMAR DOMINGOS DA SILVA ANJOS")</f>
        <v>CEMEI PROFESSORA LINDOMAR DOMINGOS DA SILVA ANJOS</v>
      </c>
      <c r="H112" s="35" t="str">
        <f>IFERROR(__xludf.DUMMYFUNCTION("""COMPUTED_VALUE"""),"REGIONAL 5")</f>
        <v>REGIONAL 5</v>
      </c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5.75" customHeight="1">
      <c r="A113" s="35" t="str">
        <f>IFERROR(__xludf.DUMMYFUNCTION("""COMPUTED_VALUE"""),"28/01/2026 08:09:51")</f>
        <v>28/01/2026 08:09:51</v>
      </c>
      <c r="B113" s="35" t="str">
        <f>IFERROR(__xludf.DUMMYFUNCTION("""COMPUTED_VALUE"""),"1")</f>
        <v>1</v>
      </c>
      <c r="C113" s="36" t="str">
        <f>IFERROR(__xludf.DUMMYFUNCTION("""COMPUTED_VALUE"""),"JÚLIA VITÓRIA MARTINS DA SILVA SANTOS")</f>
        <v>JÚLIA VITÓRIA MARTINS DA SILVA SANTOS</v>
      </c>
      <c r="D113" s="35" t="str">
        <f>IFERROR(__xludf.DUMMYFUNCTION("""COMPUTED_VALUE"""),"11/08/2022")</f>
        <v>11/08/2022</v>
      </c>
      <c r="E113" s="35" t="str">
        <f>IFERROR(__xludf.DUMMYFUNCTION("""COMPUTED_VALUE"""),"182.893.304-05")</f>
        <v>182.893.304-05</v>
      </c>
      <c r="F113" s="35" t="str">
        <f>IFERROR(__xludf.DUMMYFUNCTION("""COMPUTED_VALUE"""),"INFANTIL 3")</f>
        <v>INFANTIL 3</v>
      </c>
      <c r="G113" s="35" t="str">
        <f>IFERROR(__xludf.DUMMYFUNCTION("""COMPUTED_VALUE"""),"CEMEI PROFESSORA LINDOMAR DOMINGOS DA SILVA ANJOS")</f>
        <v>CEMEI PROFESSORA LINDOMAR DOMINGOS DA SILVA ANJOS</v>
      </c>
      <c r="H113" s="35" t="str">
        <f>IFERROR(__xludf.DUMMYFUNCTION("""COMPUTED_VALUE"""),"REGIONAL 5")</f>
        <v>REGIONAL 5</v>
      </c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5.75" customHeight="1">
      <c r="A114" s="35" t="str">
        <f>IFERROR(__xludf.DUMMYFUNCTION("""COMPUTED_VALUE"""),"28/01/2026 08:18:50")</f>
        <v>28/01/2026 08:18:50</v>
      </c>
      <c r="B114" s="35" t="str">
        <f>IFERROR(__xludf.DUMMYFUNCTION("""COMPUTED_VALUE"""),"2")</f>
        <v>2</v>
      </c>
      <c r="C114" s="36" t="str">
        <f>IFERROR(__xludf.DUMMYFUNCTION("""COMPUTED_VALUE"""),"THOMAS SHELBY ALMEIDA SANTOS")</f>
        <v>THOMAS SHELBY ALMEIDA SANTOS</v>
      </c>
      <c r="D114" s="35" t="str">
        <f>IFERROR(__xludf.DUMMYFUNCTION("""COMPUTED_VALUE"""),"25/06/2022")</f>
        <v>25/06/2022</v>
      </c>
      <c r="E114" s="35" t="str">
        <f>IFERROR(__xludf.DUMMYFUNCTION("""COMPUTED_VALUE"""),"182.095.624-52")</f>
        <v>182.095.624-52</v>
      </c>
      <c r="F114" s="35" t="str">
        <f>IFERROR(__xludf.DUMMYFUNCTION("""COMPUTED_VALUE"""),"INFANTIL 3")</f>
        <v>INFANTIL 3</v>
      </c>
      <c r="G114" s="35" t="str">
        <f>IFERROR(__xludf.DUMMYFUNCTION("""COMPUTED_VALUE"""),"CEMEI PROFESSORA LINDOMAR DOMINGOS DA SILVA ANJOS")</f>
        <v>CEMEI PROFESSORA LINDOMAR DOMINGOS DA SILVA ANJOS</v>
      </c>
      <c r="H114" s="35" t="str">
        <f>IFERROR(__xludf.DUMMYFUNCTION("""COMPUTED_VALUE"""),"REGIONAL 5")</f>
        <v>REGIONAL 5</v>
      </c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5.75" customHeight="1">
      <c r="A115" s="35" t="str">
        <f>IFERROR(__xludf.DUMMYFUNCTION("""COMPUTED_VALUE"""),"28/01/2026 08:24:51")</f>
        <v>28/01/2026 08:24:51</v>
      </c>
      <c r="B115" s="35" t="str">
        <f>IFERROR(__xludf.DUMMYFUNCTION("""COMPUTED_VALUE"""),"3")</f>
        <v>3</v>
      </c>
      <c r="C115" s="36" t="str">
        <f>IFERROR(__xludf.DUMMYFUNCTION("""COMPUTED_VALUE"""),"KEVIN LUCAS VITORINO DA SILVA")</f>
        <v>KEVIN LUCAS VITORINO DA SILVA</v>
      </c>
      <c r="D115" s="35" t="str">
        <f>IFERROR(__xludf.DUMMYFUNCTION("""COMPUTED_VALUE"""),"14/01/2023")</f>
        <v>14/01/2023</v>
      </c>
      <c r="E115" s="35" t="str">
        <f>IFERROR(__xludf.DUMMYFUNCTION("""COMPUTED_VALUE"""),"184.272.764-86")</f>
        <v>184.272.764-86</v>
      </c>
      <c r="F115" s="35" t="str">
        <f>IFERROR(__xludf.DUMMYFUNCTION("""COMPUTED_VALUE"""),"INFANTIL 3")</f>
        <v>INFANTIL 3</v>
      </c>
      <c r="G115" s="35" t="str">
        <f>IFERROR(__xludf.DUMMYFUNCTION("""COMPUTED_VALUE"""),"CEMEI PROFESSORA LINDOMAR DOMINGOS DA SILVA ANJOS")</f>
        <v>CEMEI PROFESSORA LINDOMAR DOMINGOS DA SILVA ANJOS</v>
      </c>
      <c r="H115" s="35" t="str">
        <f>IFERROR(__xludf.DUMMYFUNCTION("""COMPUTED_VALUE"""),"REGIONAL 5")</f>
        <v>REGIONAL 5</v>
      </c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5.75" customHeight="1">
      <c r="A116" s="35" t="str">
        <f>IFERROR(__xludf.DUMMYFUNCTION("""COMPUTED_VALUE"""),"28/01/2026 08:40:24")</f>
        <v>28/01/2026 08:40:24</v>
      </c>
      <c r="B116" s="35" t="str">
        <f>IFERROR(__xludf.DUMMYFUNCTION("""COMPUTED_VALUE"""),"4")</f>
        <v>4</v>
      </c>
      <c r="C116" s="36" t="str">
        <f>IFERROR(__xludf.DUMMYFUNCTION("""COMPUTED_VALUE"""),"ARTHUR HENRIQUE DE OLIVEIRA SOUZA")</f>
        <v>ARTHUR HENRIQUE DE OLIVEIRA SOUZA</v>
      </c>
      <c r="D116" s="35" t="str">
        <f>IFERROR(__xludf.DUMMYFUNCTION("""COMPUTED_VALUE"""),"16/05/2022")</f>
        <v>16/05/2022</v>
      </c>
      <c r="E116" s="35" t="str">
        <f>IFERROR(__xludf.DUMMYFUNCTION("""COMPUTED_VALUE"""),"181.683.934-57")</f>
        <v>181.683.934-57</v>
      </c>
      <c r="F116" s="35" t="str">
        <f>IFERROR(__xludf.DUMMYFUNCTION("""COMPUTED_VALUE"""),"INFANTIL 3")</f>
        <v>INFANTIL 3</v>
      </c>
      <c r="G116" s="35" t="str">
        <f>IFERROR(__xludf.DUMMYFUNCTION("""COMPUTED_VALUE"""),"CEMEI PROFESSORA LINDOMAR DOMINGOS DA SILVA ANJOS")</f>
        <v>CEMEI PROFESSORA LINDOMAR DOMINGOS DA SILVA ANJOS</v>
      </c>
      <c r="H116" s="35" t="str">
        <f>IFERROR(__xludf.DUMMYFUNCTION("""COMPUTED_VALUE"""),"REGIONAL 5")</f>
        <v>REGIONAL 5</v>
      </c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5.75" customHeight="1">
      <c r="A117" s="35" t="str">
        <f>IFERROR(__xludf.DUMMYFUNCTION("""COMPUTED_VALUE"""),"28/01/2026 08:49:30")</f>
        <v>28/01/2026 08:49:30</v>
      </c>
      <c r="B117" s="35" t="str">
        <f>IFERROR(__xludf.DUMMYFUNCTION("""COMPUTED_VALUE"""),"5")</f>
        <v>5</v>
      </c>
      <c r="C117" s="36" t="str">
        <f>IFERROR(__xludf.DUMMYFUNCTION("""COMPUTED_VALUE"""),"JOAQUIM BRAZ SOARES DA SILVA")</f>
        <v>JOAQUIM BRAZ SOARES DA SILVA</v>
      </c>
      <c r="D117" s="35" t="str">
        <f>IFERROR(__xludf.DUMMYFUNCTION("""COMPUTED_VALUE"""),"06/03/2023")</f>
        <v>06/03/2023</v>
      </c>
      <c r="E117" s="35" t="str">
        <f>IFERROR(__xludf.DUMMYFUNCTION("""COMPUTED_VALUE"""),"184.957.744-70")</f>
        <v>184.957.744-70</v>
      </c>
      <c r="F117" s="35" t="str">
        <f>IFERROR(__xludf.DUMMYFUNCTION("""COMPUTED_VALUE"""),"INFANTIL 3")</f>
        <v>INFANTIL 3</v>
      </c>
      <c r="G117" s="35" t="str">
        <f>IFERROR(__xludf.DUMMYFUNCTION("""COMPUTED_VALUE"""),"CEMEI PROFESSORA LINDOMAR DOMINGOS DA SILVA ANJOS")</f>
        <v>CEMEI PROFESSORA LINDOMAR DOMINGOS DA SILVA ANJOS</v>
      </c>
      <c r="H117" s="35" t="str">
        <f>IFERROR(__xludf.DUMMYFUNCTION("""COMPUTED_VALUE"""),"REGIONAL 5")</f>
        <v>REGIONAL 5</v>
      </c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5.75" customHeight="1">
      <c r="A118" s="35" t="str">
        <f>IFERROR(__xludf.DUMMYFUNCTION("""COMPUTED_VALUE"""),"28/01/2026 10:50:39")</f>
        <v>28/01/2026 10:50:39</v>
      </c>
      <c r="B118" s="35" t="str">
        <f>IFERROR(__xludf.DUMMYFUNCTION("""COMPUTED_VALUE"""),"6")</f>
        <v>6</v>
      </c>
      <c r="C118" s="36" t="str">
        <f>IFERROR(__xludf.DUMMYFUNCTION("""COMPUTED_VALUE"""),"GAELL SILVA RAMOS")</f>
        <v>GAELL SILVA RAMOS</v>
      </c>
      <c r="D118" s="35" t="str">
        <f>IFERROR(__xludf.DUMMYFUNCTION("""COMPUTED_VALUE"""),"14/04/2022")</f>
        <v>14/04/2022</v>
      </c>
      <c r="E118" s="35" t="str">
        <f>IFERROR(__xludf.DUMMYFUNCTION("""COMPUTED_VALUE"""),"181.246.604-84")</f>
        <v>181.246.604-84</v>
      </c>
      <c r="F118" s="35" t="str">
        <f>IFERROR(__xludf.DUMMYFUNCTION("""COMPUTED_VALUE"""),"INFANTIL 3")</f>
        <v>INFANTIL 3</v>
      </c>
      <c r="G118" s="35" t="str">
        <f>IFERROR(__xludf.DUMMYFUNCTION("""COMPUTED_VALUE"""),"CEMEI PROFESSORA LINDOMAR DOMINGOS DA SILVA ANJOS")</f>
        <v>CEMEI PROFESSORA LINDOMAR DOMINGOS DA SILVA ANJOS</v>
      </c>
      <c r="H118" s="35" t="str">
        <f>IFERROR(__xludf.DUMMYFUNCTION("""COMPUTED_VALUE"""),"REGIONAL 5")</f>
        <v>REGIONAL 5</v>
      </c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5.75" customHeight="1">
      <c r="A119" s="35" t="str">
        <f>IFERROR(__xludf.DUMMYFUNCTION("""COMPUTED_VALUE"""),"28/01/2026 15:27:57")</f>
        <v>28/01/2026 15:27:57</v>
      </c>
      <c r="B119" s="35" t="str">
        <f>IFERROR(__xludf.DUMMYFUNCTION("""COMPUTED_VALUE"""),"7")</f>
        <v>7</v>
      </c>
      <c r="C119" s="36" t="str">
        <f>IFERROR(__xludf.DUMMYFUNCTION("""COMPUTED_VALUE"""),"ANTHONY BENJAMIM NASCIMENTO DA SILVA")</f>
        <v>ANTHONY BENJAMIM NASCIMENTO DA SILVA</v>
      </c>
      <c r="D119" s="35" t="str">
        <f>IFERROR(__xludf.DUMMYFUNCTION("""COMPUTED_VALUE"""),"19/04/2022")</f>
        <v>19/04/2022</v>
      </c>
      <c r="E119" s="35" t="str">
        <f>IFERROR(__xludf.DUMMYFUNCTION("""COMPUTED_VALUE"""),"181.296.554-03")</f>
        <v>181.296.554-03</v>
      </c>
      <c r="F119" s="35" t="str">
        <f>IFERROR(__xludf.DUMMYFUNCTION("""COMPUTED_VALUE"""),"INFANTIL 3")</f>
        <v>INFANTIL 3</v>
      </c>
      <c r="G119" s="35" t="str">
        <f>IFERROR(__xludf.DUMMYFUNCTION("""COMPUTED_VALUE"""),"CEMEI PROFESSORA LINDOMAR DOMINGOS DA SILVA ANJOS")</f>
        <v>CEMEI PROFESSORA LINDOMAR DOMINGOS DA SILVA ANJOS</v>
      </c>
      <c r="H119" s="35" t="str">
        <f>IFERROR(__xludf.DUMMYFUNCTION("""COMPUTED_VALUE"""),"REGIONAL 5")</f>
        <v>REGIONAL 5</v>
      </c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5.75" customHeight="1">
      <c r="A120" s="35" t="str">
        <f>IFERROR(__xludf.DUMMYFUNCTION("""COMPUTED_VALUE"""),"28/01/2026 16:26:14")</f>
        <v>28/01/2026 16:26:14</v>
      </c>
      <c r="B120" s="35" t="str">
        <f>IFERROR(__xludf.DUMMYFUNCTION("""COMPUTED_VALUE"""),"8")</f>
        <v>8</v>
      </c>
      <c r="C120" s="36" t="str">
        <f>IFERROR(__xludf.DUMMYFUNCTION("""COMPUTED_VALUE"""),"ANTHONY TALISSON SANTOS DA SILVA")</f>
        <v>ANTHONY TALISSON SANTOS DA SILVA</v>
      </c>
      <c r="D120" s="35" t="str">
        <f>IFERROR(__xludf.DUMMYFUNCTION("""COMPUTED_VALUE"""),"13/12/2022")</f>
        <v>13/12/2022</v>
      </c>
      <c r="E120" s="35" t="str">
        <f>IFERROR(__xludf.DUMMYFUNCTION("""COMPUTED_VALUE"""),"184.039.494-30")</f>
        <v>184.039.494-30</v>
      </c>
      <c r="F120" s="35" t="str">
        <f>IFERROR(__xludf.DUMMYFUNCTION("""COMPUTED_VALUE"""),"INFANTIL 3")</f>
        <v>INFANTIL 3</v>
      </c>
      <c r="G120" s="35" t="str">
        <f>IFERROR(__xludf.DUMMYFUNCTION("""COMPUTED_VALUE"""),"CEMEI PROFESSORA LINDOMAR DOMINGOS DA SILVA ANJOS")</f>
        <v>CEMEI PROFESSORA LINDOMAR DOMINGOS DA SILVA ANJOS</v>
      </c>
      <c r="H120" s="35" t="str">
        <f>IFERROR(__xludf.DUMMYFUNCTION("""COMPUTED_VALUE"""),"REGIONAL 5")</f>
        <v>REGIONAL 5</v>
      </c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5.75" customHeight="1">
      <c r="A121" s="35" t="str">
        <f>IFERROR(__xludf.DUMMYFUNCTION("""COMPUTED_VALUE"""),"28/01/2026 22:31:23")</f>
        <v>28/01/2026 22:31:23</v>
      </c>
      <c r="B121" s="35" t="str">
        <f>IFERROR(__xludf.DUMMYFUNCTION("""COMPUTED_VALUE"""),"9")</f>
        <v>9</v>
      </c>
      <c r="C121" s="36" t="str">
        <f>IFERROR(__xludf.DUMMYFUNCTION("""COMPUTED_VALUE"""),"LUCAS MIGUEL DA HORA SILVA")</f>
        <v>LUCAS MIGUEL DA HORA SILVA</v>
      </c>
      <c r="D121" s="35" t="str">
        <f>IFERROR(__xludf.DUMMYFUNCTION("""COMPUTED_VALUE"""),"26/12/2022")</f>
        <v>26/12/2022</v>
      </c>
      <c r="E121" s="35" t="str">
        <f>IFERROR(__xludf.DUMMYFUNCTION("""COMPUTED_VALUE"""),"184.174.244-90")</f>
        <v>184.174.244-90</v>
      </c>
      <c r="F121" s="35" t="str">
        <f>IFERROR(__xludf.DUMMYFUNCTION("""COMPUTED_VALUE"""),"INFANTIL 3")</f>
        <v>INFANTIL 3</v>
      </c>
      <c r="G121" s="35" t="str">
        <f>IFERROR(__xludf.DUMMYFUNCTION("""COMPUTED_VALUE"""),"CEMEI PROFESSORA LINDOMAR DOMINGOS DA SILVA ANJOS")</f>
        <v>CEMEI PROFESSORA LINDOMAR DOMINGOS DA SILVA ANJOS</v>
      </c>
      <c r="H121" s="35" t="str">
        <f>IFERROR(__xludf.DUMMYFUNCTION("""COMPUTED_VALUE"""),"REGIONAL 5")</f>
        <v>REGIONAL 5</v>
      </c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5.75" customHeight="1">
      <c r="A122" s="35" t="str">
        <f>IFERROR(__xludf.DUMMYFUNCTION("""COMPUTED_VALUE"""),"29/01/2026 13:04:58")</f>
        <v>29/01/2026 13:04:58</v>
      </c>
      <c r="B122" s="35" t="str">
        <f>IFERROR(__xludf.DUMMYFUNCTION("""COMPUTED_VALUE"""),"10")</f>
        <v>10</v>
      </c>
      <c r="C122" s="36" t="str">
        <f>IFERROR(__xludf.DUMMYFUNCTION("""COMPUTED_VALUE"""),"GAEL ALVES GONÇALO DA SILVA")</f>
        <v>GAEL ALVES GONÇALO DA SILVA</v>
      </c>
      <c r="D122" s="35" t="str">
        <f>IFERROR(__xludf.DUMMYFUNCTION("""COMPUTED_VALUE"""),"19/02/2023")</f>
        <v>19/02/2023</v>
      </c>
      <c r="E122" s="35" t="str">
        <f>IFERROR(__xludf.DUMMYFUNCTION("""COMPUTED_VALUE"""),"184.739.754-99")</f>
        <v>184.739.754-99</v>
      </c>
      <c r="F122" s="35" t="str">
        <f>IFERROR(__xludf.DUMMYFUNCTION("""COMPUTED_VALUE"""),"INFANTIL 3")</f>
        <v>INFANTIL 3</v>
      </c>
      <c r="G122" s="35" t="str">
        <f>IFERROR(__xludf.DUMMYFUNCTION("""COMPUTED_VALUE"""),"CEMEI PROFESSORA LINDOMAR DOMINGOS DA SILVA ANJOS")</f>
        <v>CEMEI PROFESSORA LINDOMAR DOMINGOS DA SILVA ANJOS</v>
      </c>
      <c r="H122" s="35" t="str">
        <f>IFERROR(__xludf.DUMMYFUNCTION("""COMPUTED_VALUE"""),"REGIONAL 5")</f>
        <v>REGIONAL 5</v>
      </c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5.75" customHeight="1">
      <c r="A123" s="35" t="str">
        <f>IFERROR(__xludf.DUMMYFUNCTION("""COMPUTED_VALUE"""),"29/01/2026 14:26:01")</f>
        <v>29/01/2026 14:26:01</v>
      </c>
      <c r="B123" s="35" t="str">
        <f>IFERROR(__xludf.DUMMYFUNCTION("""COMPUTED_VALUE"""),"11")</f>
        <v>11</v>
      </c>
      <c r="C123" s="36" t="str">
        <f>IFERROR(__xludf.DUMMYFUNCTION("""COMPUTED_VALUE"""),"ISAAC MIGUEL COUTINHO GENESE")</f>
        <v>ISAAC MIGUEL COUTINHO GENESE</v>
      </c>
      <c r="D123" s="35" t="str">
        <f>IFERROR(__xludf.DUMMYFUNCTION("""COMPUTED_VALUE"""),"18/02/2023")</f>
        <v>18/02/2023</v>
      </c>
      <c r="E123" s="35" t="str">
        <f>IFERROR(__xludf.DUMMYFUNCTION("""COMPUTED_VALUE"""),"185.887.974-45")</f>
        <v>185.887.974-45</v>
      </c>
      <c r="F123" s="35" t="str">
        <f>IFERROR(__xludf.DUMMYFUNCTION("""COMPUTED_VALUE"""),"INFANTIL 3")</f>
        <v>INFANTIL 3</v>
      </c>
      <c r="G123" s="35" t="str">
        <f>IFERROR(__xludf.DUMMYFUNCTION("""COMPUTED_VALUE"""),"CEMEI PROFESSORA LINDOMAR DOMINGOS DA SILVA ANJOS")</f>
        <v>CEMEI PROFESSORA LINDOMAR DOMINGOS DA SILVA ANJOS</v>
      </c>
      <c r="H123" s="35" t="str">
        <f>IFERROR(__xludf.DUMMYFUNCTION("""COMPUTED_VALUE"""),"REGIONAL 5")</f>
        <v>REGIONAL 5</v>
      </c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5.75" customHeight="1">
      <c r="A124" s="35" t="str">
        <f>IFERROR(__xludf.DUMMYFUNCTION("""COMPUTED_VALUE"""),"01/02/2026 17:23:13")</f>
        <v>01/02/2026 17:23:13</v>
      </c>
      <c r="B124" s="35" t="str">
        <f>IFERROR(__xludf.DUMMYFUNCTION("""COMPUTED_VALUE"""),"12")</f>
        <v>12</v>
      </c>
      <c r="C124" s="36" t="str">
        <f>IFERROR(__xludf.DUMMYFUNCTION("""COMPUTED_VALUE"""),"TAYARA HELENA GOMES DA SILVA")</f>
        <v>TAYARA HELENA GOMES DA SILVA</v>
      </c>
      <c r="D124" s="35" t="str">
        <f>IFERROR(__xludf.DUMMYFUNCTION("""COMPUTED_VALUE"""),"18/07/2022")</f>
        <v>18/07/2022</v>
      </c>
      <c r="E124" s="35" t="str">
        <f>IFERROR(__xludf.DUMMYFUNCTION("""COMPUTED_VALUE"""),"182.480.944-13")</f>
        <v>182.480.944-13</v>
      </c>
      <c r="F124" s="35" t="str">
        <f>IFERROR(__xludf.DUMMYFUNCTION("""COMPUTED_VALUE"""),"INFANTIL 3")</f>
        <v>INFANTIL 3</v>
      </c>
      <c r="G124" s="35" t="str">
        <f>IFERROR(__xludf.DUMMYFUNCTION("""COMPUTED_VALUE"""),"CEMEI PROFESSORA LINDOMAR DOMINGOS DA SILVA ANJOS")</f>
        <v>CEMEI PROFESSORA LINDOMAR DOMINGOS DA SILVA ANJOS</v>
      </c>
      <c r="H124" s="35" t="str">
        <f>IFERROR(__xludf.DUMMYFUNCTION("""COMPUTED_VALUE"""),"REGIONAL 5")</f>
        <v>REGIONAL 5</v>
      </c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5.75" customHeight="1">
      <c r="A125" s="35" t="str">
        <f>IFERROR(__xludf.DUMMYFUNCTION("""COMPUTED_VALUE"""),"02/02/2026 08:52:36")</f>
        <v>02/02/2026 08:52:36</v>
      </c>
      <c r="B125" s="35" t="str">
        <f>IFERROR(__xludf.DUMMYFUNCTION("""COMPUTED_VALUE"""),"13")</f>
        <v>13</v>
      </c>
      <c r="C125" s="36" t="str">
        <f>IFERROR(__xludf.DUMMYFUNCTION("""COMPUTED_VALUE"""),"NICOLAS SALAZAR NARANJO")</f>
        <v>NICOLAS SALAZAR NARANJO</v>
      </c>
      <c r="D125" s="35" t="str">
        <f>IFERROR(__xludf.DUMMYFUNCTION("""COMPUTED_VALUE"""),"20/09/2022")</f>
        <v>20/09/2022</v>
      </c>
      <c r="E125" s="35" t="str">
        <f>IFERROR(__xludf.DUMMYFUNCTION("""COMPUTED_VALUE"""),"231.291.997-48")</f>
        <v>231.291.997-48</v>
      </c>
      <c r="F125" s="35" t="str">
        <f>IFERROR(__xludf.DUMMYFUNCTION("""COMPUTED_VALUE"""),"INFANTIL 3")</f>
        <v>INFANTIL 3</v>
      </c>
      <c r="G125" s="35" t="str">
        <f>IFERROR(__xludf.DUMMYFUNCTION("""COMPUTED_VALUE"""),"CEMEI PROFESSORA LINDOMAR DOMINGOS DA SILVA ANJOS")</f>
        <v>CEMEI PROFESSORA LINDOMAR DOMINGOS DA SILVA ANJOS</v>
      </c>
      <c r="H125" s="35" t="str">
        <f>IFERROR(__xludf.DUMMYFUNCTION("""COMPUTED_VALUE"""),"REGIONAL 5")</f>
        <v>REGIONAL 5</v>
      </c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5.75" customHeight="1">
      <c r="A126" s="35" t="str">
        <f>IFERROR(__xludf.DUMMYFUNCTION("""COMPUTED_VALUE"""),"04/02/2026 14:48:24")</f>
        <v>04/02/2026 14:48:24</v>
      </c>
      <c r="B126" s="35" t="str">
        <f>IFERROR(__xludf.DUMMYFUNCTION("""COMPUTED_VALUE"""),"14")</f>
        <v>14</v>
      </c>
      <c r="C126" s="36" t="str">
        <f>IFERROR(__xludf.DUMMYFUNCTION("""COMPUTED_VALUE"""),"RAKELLY LÍVIA AVELINA DA SILVA")</f>
        <v>RAKELLY LÍVIA AVELINA DA SILVA</v>
      </c>
      <c r="D126" s="35" t="str">
        <f>IFERROR(__xludf.DUMMYFUNCTION("""COMPUTED_VALUE"""),"06/03/2023")</f>
        <v>06/03/2023</v>
      </c>
      <c r="E126" s="35" t="str">
        <f>IFERROR(__xludf.DUMMYFUNCTION("""COMPUTED_VALUE"""),"184.728.154-04")</f>
        <v>184.728.154-04</v>
      </c>
      <c r="F126" s="35" t="str">
        <f>IFERROR(__xludf.DUMMYFUNCTION("""COMPUTED_VALUE"""),"INFANTIL 3")</f>
        <v>INFANTIL 3</v>
      </c>
      <c r="G126" s="35" t="str">
        <f>IFERROR(__xludf.DUMMYFUNCTION("""COMPUTED_VALUE"""),"CEMEI PROFESSORA LINDOMAR DOMINGOS DA SILVA ANJOS")</f>
        <v>CEMEI PROFESSORA LINDOMAR DOMINGOS DA SILVA ANJOS</v>
      </c>
      <c r="H126" s="35" t="str">
        <f>IFERROR(__xludf.DUMMYFUNCTION("""COMPUTED_VALUE"""),"REGIONAL 5")</f>
        <v>REGIONAL 5</v>
      </c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5.75" customHeight="1">
      <c r="A127" s="35" t="str">
        <f>IFERROR(__xludf.DUMMYFUNCTION("""COMPUTED_VALUE"""),"05/02/2026 15:38:25")</f>
        <v>05/02/2026 15:38:25</v>
      </c>
      <c r="B127" s="35" t="str">
        <f>IFERROR(__xludf.DUMMYFUNCTION("""COMPUTED_VALUE"""),"15")</f>
        <v>15</v>
      </c>
      <c r="C127" s="36" t="str">
        <f>IFERROR(__xludf.DUMMYFUNCTION("""COMPUTED_VALUE"""),"ANA LAURA MEDEIROS SOUZA DOS SANTOS")</f>
        <v>ANA LAURA MEDEIROS SOUZA DOS SANTOS</v>
      </c>
      <c r="D127" s="35" t="str">
        <f>IFERROR(__xludf.DUMMYFUNCTION("""COMPUTED_VALUE"""),"13/06/2022")</f>
        <v>13/06/2022</v>
      </c>
      <c r="E127" s="35" t="str">
        <f>IFERROR(__xludf.DUMMYFUNCTION("""COMPUTED_VALUE"""),"181.899.694-47")</f>
        <v>181.899.694-47</v>
      </c>
      <c r="F127" s="35" t="str">
        <f>IFERROR(__xludf.DUMMYFUNCTION("""COMPUTED_VALUE"""),"INFANTIL 3")</f>
        <v>INFANTIL 3</v>
      </c>
      <c r="G127" s="35" t="str">
        <f>IFERROR(__xludf.DUMMYFUNCTION("""COMPUTED_VALUE"""),"CEMEI PROFESSORA LINDOMAR DOMINGOS DA SILVA ANJOS")</f>
        <v>CEMEI PROFESSORA LINDOMAR DOMINGOS DA SILVA ANJOS</v>
      </c>
      <c r="H127" s="35" t="str">
        <f>IFERROR(__xludf.DUMMYFUNCTION("""COMPUTED_VALUE"""),"REGIONAL 5")</f>
        <v>REGIONAL 5</v>
      </c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5.75" customHeight="1">
      <c r="A128" s="35" t="str">
        <f>IFERROR(__xludf.DUMMYFUNCTION("""COMPUTED_VALUE"""),"06/02/2026 15:36:56")</f>
        <v>06/02/2026 15:36:56</v>
      </c>
      <c r="B128" s="35" t="str">
        <f>IFERROR(__xludf.DUMMYFUNCTION("""COMPUTED_VALUE"""),"16")</f>
        <v>16</v>
      </c>
      <c r="C128" s="36" t="str">
        <f>IFERROR(__xludf.DUMMYFUNCTION("""COMPUTED_VALUE"""),"MARIA BEATRIZ DA SILVA")</f>
        <v>MARIA BEATRIZ DA SILVA</v>
      </c>
      <c r="D128" s="35" t="str">
        <f>IFERROR(__xludf.DUMMYFUNCTION("""COMPUTED_VALUE"""),"13/11/2022")</f>
        <v>13/11/2022</v>
      </c>
      <c r="E128" s="35" t="str">
        <f>IFERROR(__xludf.DUMMYFUNCTION("""COMPUTED_VALUE"""),"183.426.674-21")</f>
        <v>183.426.674-21</v>
      </c>
      <c r="F128" s="35" t="str">
        <f>IFERROR(__xludf.DUMMYFUNCTION("""COMPUTED_VALUE"""),"INFANTIL 3")</f>
        <v>INFANTIL 3</v>
      </c>
      <c r="G128" s="35" t="str">
        <f>IFERROR(__xludf.DUMMYFUNCTION("""COMPUTED_VALUE"""),"CEMEI PROFESSORA LINDOMAR DOMINGOS DA SILVA ANJOS")</f>
        <v>CEMEI PROFESSORA LINDOMAR DOMINGOS DA SILVA ANJOS</v>
      </c>
      <c r="H128" s="35" t="str">
        <f>IFERROR(__xludf.DUMMYFUNCTION("""COMPUTED_VALUE"""),"REGIONAL 5")</f>
        <v>REGIONAL 5</v>
      </c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5.75" customHeight="1">
      <c r="A129" s="35" t="str">
        <f>IFERROR(__xludf.DUMMYFUNCTION("""COMPUTED_VALUE"""),"10/02/2026 09:04:52")</f>
        <v>10/02/2026 09:04:52</v>
      </c>
      <c r="B129" s="35" t="str">
        <f>IFERROR(__xludf.DUMMYFUNCTION("""COMPUTED_VALUE"""),"17")</f>
        <v>17</v>
      </c>
      <c r="C129" s="36" t="str">
        <f>IFERROR(__xludf.DUMMYFUNCTION("""COMPUTED_VALUE"""),"ANA CLARA MEDEIROS SOUZA DOS SANTOS")</f>
        <v>ANA CLARA MEDEIROS SOUZA DOS SANTOS</v>
      </c>
      <c r="D129" s="35" t="str">
        <f>IFERROR(__xludf.DUMMYFUNCTION("""COMPUTED_VALUE"""),"13/06/2022")</f>
        <v>13/06/2022</v>
      </c>
      <c r="E129" s="35" t="str">
        <f>IFERROR(__xludf.DUMMYFUNCTION("""COMPUTED_VALUE"""),"181.899.534-43")</f>
        <v>181.899.534-43</v>
      </c>
      <c r="F129" s="35" t="str">
        <f>IFERROR(__xludf.DUMMYFUNCTION("""COMPUTED_VALUE"""),"INFANTIL 3")</f>
        <v>INFANTIL 3</v>
      </c>
      <c r="G129" s="35" t="str">
        <f>IFERROR(__xludf.DUMMYFUNCTION("""COMPUTED_VALUE"""),"CEMEI PROFESSORA LINDOMAR DOMINGOS DA SILVA ANJOS")</f>
        <v>CEMEI PROFESSORA LINDOMAR DOMINGOS DA SILVA ANJOS</v>
      </c>
      <c r="H129" s="35" t="str">
        <f>IFERROR(__xludf.DUMMYFUNCTION("""COMPUTED_VALUE"""),"REGIONAL 5")</f>
        <v>REGIONAL 5</v>
      </c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5.75" customHeight="1">
      <c r="A130" s="35" t="str">
        <f>IFERROR(__xludf.DUMMYFUNCTION("""COMPUTED_VALUE"""),"10/02/2026 10:01:04")</f>
        <v>10/02/2026 10:01:04</v>
      </c>
      <c r="B130" s="35" t="str">
        <f>IFERROR(__xludf.DUMMYFUNCTION("""COMPUTED_VALUE"""),"18")</f>
        <v>18</v>
      </c>
      <c r="C130" s="36" t="str">
        <f>IFERROR(__xludf.DUMMYFUNCTION("""COMPUTED_VALUE"""),"RAYANE VITÓRIA DA SILVA MARAVILHA")</f>
        <v>RAYANE VITÓRIA DA SILVA MARAVILHA</v>
      </c>
      <c r="D130" s="35" t="str">
        <f>IFERROR(__xludf.DUMMYFUNCTION("""COMPUTED_VALUE"""),"22/08/2022")</f>
        <v>22/08/2022</v>
      </c>
      <c r="E130" s="35" t="str">
        <f>IFERROR(__xludf.DUMMYFUNCTION("""COMPUTED_VALUE"""),"182.666.294-47")</f>
        <v>182.666.294-47</v>
      </c>
      <c r="F130" s="35" t="str">
        <f>IFERROR(__xludf.DUMMYFUNCTION("""COMPUTED_VALUE"""),"INFANTIL 3")</f>
        <v>INFANTIL 3</v>
      </c>
      <c r="G130" s="35" t="str">
        <f>IFERROR(__xludf.DUMMYFUNCTION("""COMPUTED_VALUE"""),"CEMEI PROFESSORA LINDOMAR DOMINGOS DA SILVA ANJOS")</f>
        <v>CEMEI PROFESSORA LINDOMAR DOMINGOS DA SILVA ANJOS</v>
      </c>
      <c r="H130" s="35" t="str">
        <f>IFERROR(__xludf.DUMMYFUNCTION("""COMPUTED_VALUE"""),"REGIONAL 5")</f>
        <v>REGIONAL 5</v>
      </c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5.75" customHeight="1">
      <c r="A131" s="35" t="str">
        <f>IFERROR(__xludf.DUMMYFUNCTION("""COMPUTED_VALUE"""),"19/02/2026 09:51:04")</f>
        <v>19/02/2026 09:51:04</v>
      </c>
      <c r="B131" s="35" t="str">
        <f>IFERROR(__xludf.DUMMYFUNCTION("""COMPUTED_VALUE"""),"19")</f>
        <v>19</v>
      </c>
      <c r="C131" s="36" t="str">
        <f>IFERROR(__xludf.DUMMYFUNCTION("""COMPUTED_VALUE"""),"ANNA LAURA BATISTA SILVA")</f>
        <v>ANNA LAURA BATISTA SILVA</v>
      </c>
      <c r="D131" s="35" t="str">
        <f>IFERROR(__xludf.DUMMYFUNCTION("""COMPUTED_VALUE"""),"28/08/2022")</f>
        <v>28/08/2022</v>
      </c>
      <c r="E131" s="35" t="str">
        <f>IFERROR(__xludf.DUMMYFUNCTION("""COMPUTED_VALUE"""),"183.545.274-41")</f>
        <v>183.545.274-41</v>
      </c>
      <c r="F131" s="35" t="str">
        <f>IFERROR(__xludf.DUMMYFUNCTION("""COMPUTED_VALUE"""),"INFANTIL 3")</f>
        <v>INFANTIL 3</v>
      </c>
      <c r="G131" s="35" t="str">
        <f>IFERROR(__xludf.DUMMYFUNCTION("""COMPUTED_VALUE"""),"CEMEI PROFESSORA LINDOMAR DOMINGOS DA SILVA ANJOS")</f>
        <v>CEMEI PROFESSORA LINDOMAR DOMINGOS DA SILVA ANJOS</v>
      </c>
      <c r="H131" s="35" t="str">
        <f>IFERROR(__xludf.DUMMYFUNCTION("""COMPUTED_VALUE"""),"REGIONAL 5")</f>
        <v>REGIONAL 5</v>
      </c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5.75" customHeight="1">
      <c r="A132" s="35" t="str">
        <f>IFERROR(__xludf.DUMMYFUNCTION("""COMPUTED_VALUE"""),"19/02/2026 16:10:29")</f>
        <v>19/02/2026 16:10:29</v>
      </c>
      <c r="B132" s="35" t="str">
        <f>IFERROR(__xludf.DUMMYFUNCTION("""COMPUTED_VALUE"""),"20")</f>
        <v>20</v>
      </c>
      <c r="C132" s="36" t="str">
        <f>IFERROR(__xludf.DUMMYFUNCTION("""COMPUTED_VALUE"""),"LIZ FERREIRA LEODORO")</f>
        <v>LIZ FERREIRA LEODORO</v>
      </c>
      <c r="D132" s="35" t="str">
        <f>IFERROR(__xludf.DUMMYFUNCTION("""COMPUTED_VALUE"""),"19/07/2022")</f>
        <v>19/07/2022</v>
      </c>
      <c r="E132" s="35" t="str">
        <f>IFERROR(__xludf.DUMMYFUNCTION("""COMPUTED_VALUE"""),"182.291.174-54")</f>
        <v>182.291.174-54</v>
      </c>
      <c r="F132" s="35" t="str">
        <f>IFERROR(__xludf.DUMMYFUNCTION("""COMPUTED_VALUE"""),"INFANTIL 3")</f>
        <v>INFANTIL 3</v>
      </c>
      <c r="G132" s="35" t="str">
        <f>IFERROR(__xludf.DUMMYFUNCTION("""COMPUTED_VALUE"""),"CEMEI PROFESSORA LINDOMAR DOMINGOS DA SILVA ANJOS")</f>
        <v>CEMEI PROFESSORA LINDOMAR DOMINGOS DA SILVA ANJOS</v>
      </c>
      <c r="H132" s="35" t="str">
        <f>IFERROR(__xludf.DUMMYFUNCTION("""COMPUTED_VALUE"""),"REGIONAL 5")</f>
        <v>REGIONAL 5</v>
      </c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5.75" customHeight="1">
      <c r="A133" s="35" t="str">
        <f>IFERROR(__xludf.DUMMYFUNCTION("""COMPUTED_VALUE"""),"03/03/2026 13:51:57")</f>
        <v>03/03/2026 13:51:57</v>
      </c>
      <c r="B133" s="35" t="str">
        <f>IFERROR(__xludf.DUMMYFUNCTION("""COMPUTED_VALUE"""),"21")</f>
        <v>21</v>
      </c>
      <c r="C133" s="36" t="str">
        <f>IFERROR(__xludf.DUMMYFUNCTION("""COMPUTED_VALUE"""),"THEO RAFAEL DEODATO DE MEDEIROS")</f>
        <v>THEO RAFAEL DEODATO DE MEDEIROS</v>
      </c>
      <c r="D133" s="35" t="str">
        <f>IFERROR(__xludf.DUMMYFUNCTION("""COMPUTED_VALUE"""),"15/03/2023")</f>
        <v>15/03/2023</v>
      </c>
      <c r="E133" s="35" t="str">
        <f>IFERROR(__xludf.DUMMYFUNCTION("""COMPUTED_VALUE"""),"184.730.544-07")</f>
        <v>184.730.544-07</v>
      </c>
      <c r="F133" s="35" t="str">
        <f>IFERROR(__xludf.DUMMYFUNCTION("""COMPUTED_VALUE"""),"INFANTIL 3")</f>
        <v>INFANTIL 3</v>
      </c>
      <c r="G133" s="35" t="str">
        <f>IFERROR(__xludf.DUMMYFUNCTION("""COMPUTED_VALUE"""),"CEMEI PROFESSORA LINDOMAR DOMINGOS DA SILVA ANJOS")</f>
        <v>CEMEI PROFESSORA LINDOMAR DOMINGOS DA SILVA ANJOS</v>
      </c>
      <c r="H133" s="35" t="str">
        <f>IFERROR(__xludf.DUMMYFUNCTION("""COMPUTED_VALUE"""),"REGIONAL 5")</f>
        <v>REGIONAL 5</v>
      </c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5.75" customHeight="1">
      <c r="A134" s="35" t="str">
        <f>IFERROR(__xludf.DUMMYFUNCTION("""COMPUTED_VALUE"""),"24/03/2026 15:33:58")</f>
        <v>24/03/2026 15:33:58</v>
      </c>
      <c r="B134" s="35" t="str">
        <f>IFERROR(__xludf.DUMMYFUNCTION("""COMPUTED_VALUE"""),"22")</f>
        <v>22</v>
      </c>
      <c r="C134" s="36" t="str">
        <f>IFERROR(__xludf.DUMMYFUNCTION("""COMPUTED_VALUE"""),"AYLLA VITÓRIA CAETANO DOS SANTOS")</f>
        <v>AYLLA VITÓRIA CAETANO DOS SANTOS</v>
      </c>
      <c r="D134" s="35" t="str">
        <f>IFERROR(__xludf.DUMMYFUNCTION("""COMPUTED_VALUE"""),"06/10/2022")</f>
        <v>06/10/2022</v>
      </c>
      <c r="E134" s="35" t="str">
        <f>IFERROR(__xludf.DUMMYFUNCTION("""COMPUTED_VALUE"""),"093.237.424-73")</f>
        <v>093.237.424-73</v>
      </c>
      <c r="F134" s="35" t="str">
        <f>IFERROR(__xludf.DUMMYFUNCTION("""COMPUTED_VALUE"""),"INFANTIL 3")</f>
        <v>INFANTIL 3</v>
      </c>
      <c r="G134" s="35" t="str">
        <f>IFERROR(__xludf.DUMMYFUNCTION("""COMPUTED_VALUE"""),"CEMEI PROFESSORA LINDOMAR DOMINGOS DA SILVA ANJOS")</f>
        <v>CEMEI PROFESSORA LINDOMAR DOMINGOS DA SILVA ANJOS</v>
      </c>
      <c r="H134" s="35" t="str">
        <f>IFERROR(__xludf.DUMMYFUNCTION("""COMPUTED_VALUE"""),"REGIONAL 5")</f>
        <v>REGIONAL 5</v>
      </c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5.75" customHeight="1">
      <c r="A135" s="35" t="str">
        <f>IFERROR(__xludf.DUMMYFUNCTION("""COMPUTED_VALUE"""),"09/04/2026 12:42:59")</f>
        <v>09/04/2026 12:42:59</v>
      </c>
      <c r="B135" s="35" t="str">
        <f>IFERROR(__xludf.DUMMYFUNCTION("""COMPUTED_VALUE"""),"23")</f>
        <v>23</v>
      </c>
      <c r="C135" s="36" t="str">
        <f>IFERROR(__xludf.DUMMYFUNCTION("""COMPUTED_VALUE"""),"TAWANE EMANUELLEY DA SILVA")</f>
        <v>TAWANE EMANUELLEY DA SILVA</v>
      </c>
      <c r="D135" s="35" t="str">
        <f>IFERROR(__xludf.DUMMYFUNCTION("""COMPUTED_VALUE"""),"28/09/2022")</f>
        <v>28/09/2022</v>
      </c>
      <c r="E135" s="35" t="str">
        <f>IFERROR(__xludf.DUMMYFUNCTION("""COMPUTED_VALUE"""),"183.002.884-73")</f>
        <v>183.002.884-73</v>
      </c>
      <c r="F135" s="35" t="str">
        <f>IFERROR(__xludf.DUMMYFUNCTION("""COMPUTED_VALUE"""),"INFANTIL 3")</f>
        <v>INFANTIL 3</v>
      </c>
      <c r="G135" s="35" t="str">
        <f>IFERROR(__xludf.DUMMYFUNCTION("""COMPUTED_VALUE"""),"CEMEI PROFESSORA LINDOMAR DOMINGOS DA SILVA ANJOS")</f>
        <v>CEMEI PROFESSORA LINDOMAR DOMINGOS DA SILVA ANJOS</v>
      </c>
      <c r="H135" s="35" t="str">
        <f>IFERROR(__xludf.DUMMYFUNCTION("""COMPUTED_VALUE"""),"REGIONAL 5")</f>
        <v>REGIONAL 5</v>
      </c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5.75" customHeight="1">
      <c r="A136" s="35" t="str">
        <f>IFERROR(__xludf.DUMMYFUNCTION("""COMPUTED_VALUE"""),"15/04/2026 12:12:34")</f>
        <v>15/04/2026 12:12:34</v>
      </c>
      <c r="B136" s="35" t="str">
        <f>IFERROR(__xludf.DUMMYFUNCTION("""COMPUTED_VALUE"""),"24")</f>
        <v>24</v>
      </c>
      <c r="C136" s="36" t="str">
        <f>IFERROR(__xludf.DUMMYFUNCTION("""COMPUTED_VALUE"""),"LARA MARIA MARTINS DO CARMO")</f>
        <v>LARA MARIA MARTINS DO CARMO</v>
      </c>
      <c r="D136" s="35" t="str">
        <f>IFERROR(__xludf.DUMMYFUNCTION("""COMPUTED_VALUE"""),"15/05/2022")</f>
        <v>15/05/2022</v>
      </c>
      <c r="E136" s="35" t="str">
        <f>IFERROR(__xludf.DUMMYFUNCTION("""COMPUTED_VALUE"""),"181.852.304-39")</f>
        <v>181.852.304-39</v>
      </c>
      <c r="F136" s="35" t="str">
        <f>IFERROR(__xludf.DUMMYFUNCTION("""COMPUTED_VALUE"""),"INFANTIL 3")</f>
        <v>INFANTIL 3</v>
      </c>
      <c r="G136" s="35" t="str">
        <f>IFERROR(__xludf.DUMMYFUNCTION("""COMPUTED_VALUE"""),"CEMEI PROFESSORA LINDOMAR DOMINGOS DA SILVA ANJOS")</f>
        <v>CEMEI PROFESSORA LINDOMAR DOMINGOS DA SILVA ANJOS</v>
      </c>
      <c r="H136" s="35" t="str">
        <f>IFERROR(__xludf.DUMMYFUNCTION("""COMPUTED_VALUE"""),"REGIONAL 5")</f>
        <v>REGIONAL 5</v>
      </c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5.75" customHeight="1">
      <c r="A137" s="35" t="str">
        <f>IFERROR(__xludf.DUMMYFUNCTION("""COMPUTED_VALUE"""),"15/04/2026 20:08:01")</f>
        <v>15/04/2026 20:08:01</v>
      </c>
      <c r="B137" s="35" t="str">
        <f>IFERROR(__xludf.DUMMYFUNCTION("""COMPUTED_VALUE"""),"25")</f>
        <v>25</v>
      </c>
      <c r="C137" s="36" t="str">
        <f>IFERROR(__xludf.DUMMYFUNCTION("""COMPUTED_VALUE"""),"MARIA LIZ VIEIRA DA SILVA")</f>
        <v>MARIA LIZ VIEIRA DA SILVA</v>
      </c>
      <c r="D137" s="35" t="str">
        <f>IFERROR(__xludf.DUMMYFUNCTION("""COMPUTED_VALUE"""),"06/03/2023")</f>
        <v>06/03/2023</v>
      </c>
      <c r="E137" s="35" t="str">
        <f>IFERROR(__xludf.DUMMYFUNCTION("""COMPUTED_VALUE"""),"184.686.634-09")</f>
        <v>184.686.634-09</v>
      </c>
      <c r="F137" s="35" t="str">
        <f>IFERROR(__xludf.DUMMYFUNCTION("""COMPUTED_VALUE"""),"INFANTIL 3")</f>
        <v>INFANTIL 3</v>
      </c>
      <c r="G137" s="35" t="str">
        <f>IFERROR(__xludf.DUMMYFUNCTION("""COMPUTED_VALUE"""),"CEMEI PROFESSORA LINDOMAR DOMINGOS DA SILVA ANJOS")</f>
        <v>CEMEI PROFESSORA LINDOMAR DOMINGOS DA SILVA ANJOS</v>
      </c>
      <c r="H137" s="35" t="str">
        <f>IFERROR(__xludf.DUMMYFUNCTION("""COMPUTED_VALUE"""),"REGIONAL 5")</f>
        <v>REGIONAL 5</v>
      </c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5.75" customHeight="1">
      <c r="A138" s="35" t="str">
        <f>IFERROR(__xludf.DUMMYFUNCTION("""COMPUTED_VALUE"""),"24/04/2026 15:30:49")</f>
        <v>24/04/2026 15:30:49</v>
      </c>
      <c r="B138" s="35" t="str">
        <f>IFERROR(__xludf.DUMMYFUNCTION("""COMPUTED_VALUE"""),"26")</f>
        <v>26</v>
      </c>
      <c r="C138" s="36" t="str">
        <f>IFERROR(__xludf.DUMMYFUNCTION("""COMPUTED_VALUE"""),"LAURA GABRIELY DA SILVA MELO")</f>
        <v>LAURA GABRIELY DA SILVA MELO</v>
      </c>
      <c r="D138" s="35" t="str">
        <f>IFERROR(__xludf.DUMMYFUNCTION("""COMPUTED_VALUE"""),"27/07/2022")</f>
        <v>27/07/2022</v>
      </c>
      <c r="E138" s="35" t="str">
        <f>IFERROR(__xludf.DUMMYFUNCTION("""COMPUTED_VALUE"""),"182.841.544-80")</f>
        <v>182.841.544-80</v>
      </c>
      <c r="F138" s="35" t="str">
        <f>IFERROR(__xludf.DUMMYFUNCTION("""COMPUTED_VALUE"""),"INFANTIL 3")</f>
        <v>INFANTIL 3</v>
      </c>
      <c r="G138" s="35" t="str">
        <f>IFERROR(__xludf.DUMMYFUNCTION("""COMPUTED_VALUE"""),"CEMEI PROFESSORA LINDOMAR DOMINGOS DA SILVA ANJOS")</f>
        <v>CEMEI PROFESSORA LINDOMAR DOMINGOS DA SILVA ANJOS</v>
      </c>
      <c r="H138" s="35" t="str">
        <f>IFERROR(__xludf.DUMMYFUNCTION("""COMPUTED_VALUE"""),"REGIONAL 5")</f>
        <v>REGIONAL 5</v>
      </c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5.75" customHeight="1">
      <c r="A139" s="35" t="str">
        <f>IFERROR(__xludf.DUMMYFUNCTION("""COMPUTED_VALUE"""),"13/05/2026 09:51:31")</f>
        <v>13/05/2026 09:51:31</v>
      </c>
      <c r="B139" s="35" t="str">
        <f>IFERROR(__xludf.DUMMYFUNCTION("""COMPUTED_VALUE"""),"27")</f>
        <v>27</v>
      </c>
      <c r="C139" s="36" t="str">
        <f>IFERROR(__xludf.DUMMYFUNCTION("""COMPUTED_VALUE"""),"ANTHONY TAYLOR MARTINS DO NASCIMENTO")</f>
        <v>ANTHONY TAYLOR MARTINS DO NASCIMENTO</v>
      </c>
      <c r="D139" s="35" t="str">
        <f>IFERROR(__xludf.DUMMYFUNCTION("""COMPUTED_VALUE"""),"23/02/2023")</f>
        <v>23/02/2023</v>
      </c>
      <c r="E139" s="35" t="str">
        <f>IFERROR(__xludf.DUMMYFUNCTION("""COMPUTED_VALUE"""),"608.940.818-29")</f>
        <v>608.940.818-29</v>
      </c>
      <c r="F139" s="35" t="str">
        <f>IFERROR(__xludf.DUMMYFUNCTION("""COMPUTED_VALUE"""),"INFANTIL 3")</f>
        <v>INFANTIL 3</v>
      </c>
      <c r="G139" s="35" t="str">
        <f>IFERROR(__xludf.DUMMYFUNCTION("""COMPUTED_VALUE"""),"CEMEI PROFESSORA LINDOMAR DOMINGOS DA SILVA ANJOS")</f>
        <v>CEMEI PROFESSORA LINDOMAR DOMINGOS DA SILVA ANJOS</v>
      </c>
      <c r="H139" s="35" t="str">
        <f>IFERROR(__xludf.DUMMYFUNCTION("""COMPUTED_VALUE"""),"REGIONAL 5")</f>
        <v>REGIONAL 5</v>
      </c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5.75" customHeight="1">
      <c r="A140" s="35" t="str">
        <f>IFERROR(__xludf.DUMMYFUNCTION("""COMPUTED_VALUE"""),"23/05/2026 20:29:57")</f>
        <v>23/05/2026 20:29:57</v>
      </c>
      <c r="B140" s="35" t="str">
        <f>IFERROR(__xludf.DUMMYFUNCTION("""COMPUTED_VALUE"""),"28")</f>
        <v>28</v>
      </c>
      <c r="C140" s="36" t="str">
        <f>IFERROR(__xludf.DUMMYFUNCTION("""COMPUTED_VALUE"""),"Hiago Mario Alves Tavares Mendes")</f>
        <v>Hiago Mario Alves Tavares Mendes</v>
      </c>
      <c r="D140" s="35" t="str">
        <f>IFERROR(__xludf.DUMMYFUNCTION("""COMPUTED_VALUE"""),"03/11/2022")</f>
        <v>03/11/2022</v>
      </c>
      <c r="E140" s="35" t="str">
        <f>IFERROR(__xludf.DUMMYFUNCTION("""COMPUTED_VALUE"""),"183.316.044-40")</f>
        <v>183.316.044-40</v>
      </c>
      <c r="F140" s="35" t="str">
        <f>IFERROR(__xludf.DUMMYFUNCTION("""COMPUTED_VALUE"""),"INFANTIL 3")</f>
        <v>INFANTIL 3</v>
      </c>
      <c r="G140" s="35" t="str">
        <f>IFERROR(__xludf.DUMMYFUNCTION("""COMPUTED_VALUE"""),"CEMEI PROFESSORA LINDOMAR DOMINGOS DA SILVA ANJOS")</f>
        <v>CEMEI PROFESSORA LINDOMAR DOMINGOS DA SILVA ANJOS</v>
      </c>
      <c r="H140" s="35" t="str">
        <f>IFERROR(__xludf.DUMMYFUNCTION("""COMPUTED_VALUE"""),"REGIONAL 5")</f>
        <v>REGIONAL 5</v>
      </c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5.75" customHeight="1">
      <c r="A141" s="35" t="str">
        <f>IFERROR(__xludf.DUMMYFUNCTION("""COMPUTED_VALUE"""),"01/06/2026 08:29:45")</f>
        <v>01/06/2026 08:29:45</v>
      </c>
      <c r="B141" s="35" t="str">
        <f>IFERROR(__xludf.DUMMYFUNCTION("""COMPUTED_VALUE"""),"29")</f>
        <v>29</v>
      </c>
      <c r="C141" s="36" t="str">
        <f>IFERROR(__xludf.DUMMYFUNCTION("""COMPUTED_VALUE"""),"BERNARDO DAVINO DE ARAÚJO")</f>
        <v>BERNARDO DAVINO DE ARAÚJO</v>
      </c>
      <c r="D141" s="35" t="str">
        <f>IFERROR(__xludf.DUMMYFUNCTION("""COMPUTED_VALUE"""),"29/07/2022")</f>
        <v>29/07/2022</v>
      </c>
      <c r="E141" s="35" t="str">
        <f>IFERROR(__xludf.DUMMYFUNCTION("""COMPUTED_VALUE"""),"182.453.294-60")</f>
        <v>182.453.294-60</v>
      </c>
      <c r="F141" s="35" t="str">
        <f>IFERROR(__xludf.DUMMYFUNCTION("""COMPUTED_VALUE"""),"INFANTIL 3")</f>
        <v>INFANTIL 3</v>
      </c>
      <c r="G141" s="35" t="str">
        <f>IFERROR(__xludf.DUMMYFUNCTION("""COMPUTED_VALUE"""),"CEMEI PROFESSORA LINDOMAR DOMINGOS DA SILVA ANJOS")</f>
        <v>CEMEI PROFESSORA LINDOMAR DOMINGOS DA SILVA ANJOS</v>
      </c>
      <c r="H141" s="35" t="str">
        <f>IFERROR(__xludf.DUMMYFUNCTION("""COMPUTED_VALUE"""),"REGIONAL 5")</f>
        <v>REGIONAL 5</v>
      </c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5.75" customHeight="1">
      <c r="A142" s="35" t="str">
        <f>IFERROR(__xludf.DUMMYFUNCTION("""COMPUTED_VALUE"""),"08/06/2026 14:32:49")</f>
        <v>08/06/2026 14:32:49</v>
      </c>
      <c r="B142" s="35" t="str">
        <f>IFERROR(__xludf.DUMMYFUNCTION("""COMPUTED_VALUE"""),"30")</f>
        <v>30</v>
      </c>
      <c r="C142" s="36" t="str">
        <f>IFERROR(__xludf.DUMMYFUNCTION("""COMPUTED_VALUE"""),"Eva Thais Silva de Melo")</f>
        <v>Eva Thais Silva de Melo</v>
      </c>
      <c r="D142" s="35" t="str">
        <f>IFERROR(__xludf.DUMMYFUNCTION("""COMPUTED_VALUE"""),"17/05/2022")</f>
        <v>17/05/2022</v>
      </c>
      <c r="E142" s="35" t="str">
        <f>IFERROR(__xludf.DUMMYFUNCTION("""COMPUTED_VALUE"""),"181.746.834-02")</f>
        <v>181.746.834-02</v>
      </c>
      <c r="F142" s="35" t="str">
        <f>IFERROR(__xludf.DUMMYFUNCTION("""COMPUTED_VALUE"""),"INFANTIL 3")</f>
        <v>INFANTIL 3</v>
      </c>
      <c r="G142" s="35" t="str">
        <f>IFERROR(__xludf.DUMMYFUNCTION("""COMPUTED_VALUE"""),"CEMEI PROFESSORA LINDOMAR DOMINGOS DA SILVA ANJOS")</f>
        <v>CEMEI PROFESSORA LINDOMAR DOMINGOS DA SILVA ANJOS</v>
      </c>
      <c r="H142" s="35" t="str">
        <f>IFERROR(__xludf.DUMMYFUNCTION("""COMPUTED_VALUE"""),"REGIONAL 5")</f>
        <v>REGIONAL 5</v>
      </c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5.75" customHeight="1">
      <c r="A143" s="35" t="str">
        <f>IFERROR(__xludf.DUMMYFUNCTION("""COMPUTED_VALUE"""),"11/06/2026 11:18:56")</f>
        <v>11/06/2026 11:18:56</v>
      </c>
      <c r="B143" s="35" t="str">
        <f>IFERROR(__xludf.DUMMYFUNCTION("""COMPUTED_VALUE"""),"31")</f>
        <v>31</v>
      </c>
      <c r="C143" s="36" t="str">
        <f>IFERROR(__xludf.DUMMYFUNCTION("""COMPUTED_VALUE"""),"ANDREW CAETANO DOS SANTOS")</f>
        <v>ANDREW CAETANO DOS SANTOS</v>
      </c>
      <c r="D143" s="35" t="str">
        <f>IFERROR(__xludf.DUMMYFUNCTION("""COMPUTED_VALUE"""),"12/01/2023")</f>
        <v>12/01/2023</v>
      </c>
      <c r="E143" s="35" t="str">
        <f>IFERROR(__xludf.DUMMYFUNCTION("""COMPUTED_VALUE"""),"184.039.284-32")</f>
        <v>184.039.284-32</v>
      </c>
      <c r="F143" s="35" t="str">
        <f>IFERROR(__xludf.DUMMYFUNCTION("""COMPUTED_VALUE"""),"INFANTIL 3")</f>
        <v>INFANTIL 3</v>
      </c>
      <c r="G143" s="35" t="str">
        <f>IFERROR(__xludf.DUMMYFUNCTION("""COMPUTED_VALUE"""),"CEMEI PROFESSORA LINDOMAR DOMINGOS DA SILVA ANJOS")</f>
        <v>CEMEI PROFESSORA LINDOMAR DOMINGOS DA SILVA ANJOS</v>
      </c>
      <c r="H143" s="35" t="str">
        <f>IFERROR(__xludf.DUMMYFUNCTION("""COMPUTED_VALUE"""),"REGIONAL 5")</f>
        <v>REGIONAL 5</v>
      </c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5.75" customHeight="1">
      <c r="A144" s="35" t="str">
        <f>IFERROR(__xludf.DUMMYFUNCTION("""COMPUTED_VALUE"""),"24/02/2026 14:04:38")</f>
        <v>24/02/2026 14:04:38</v>
      </c>
      <c r="B144" s="35" t="str">
        <f>IFERROR(__xludf.DUMMYFUNCTION("""COMPUTED_VALUE"""),"1")</f>
        <v>1</v>
      </c>
      <c r="C144" s="36" t="str">
        <f>IFERROR(__xludf.DUMMYFUNCTION("""COMPUTED_VALUE"""),"JOAO MIGUEL FRAZAO DA SILVA")</f>
        <v>JOAO MIGUEL FRAZAO DA SILVA</v>
      </c>
      <c r="D144" s="35" t="str">
        <f>IFERROR(__xludf.DUMMYFUNCTION("""COMPUTED_VALUE"""),"01/11/2022")</f>
        <v>01/11/2022</v>
      </c>
      <c r="E144" s="35" t="str">
        <f>IFERROR(__xludf.DUMMYFUNCTION("""COMPUTED_VALUE"""),"185.844.714-30")</f>
        <v>185.844.714-30</v>
      </c>
      <c r="F144" s="35" t="str">
        <f>IFERROR(__xludf.DUMMYFUNCTION("""COMPUTED_VALUE"""),"INFANTIL 3")</f>
        <v>INFANTIL 3</v>
      </c>
      <c r="G144" s="35" t="str">
        <f>IFERROR(__xludf.DUMMYFUNCTION("""COMPUTED_VALUE"""),"CEMEI PROFESSORA MARLUCIA EVANGELISTA DE SOUZA")</f>
        <v>CEMEI PROFESSORA MARLUCIA EVANGELISTA DE SOUZA</v>
      </c>
      <c r="H144" s="35" t="str">
        <f>IFERROR(__xludf.DUMMYFUNCTION("""COMPUTED_VALUE"""),"REGIONAL 6")</f>
        <v>REGIONAL 6</v>
      </c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5.75" customHeight="1">
      <c r="A145" s="35" t="str">
        <f>IFERROR(__xludf.DUMMYFUNCTION("""COMPUTED_VALUE"""),"26/03/2026 11:14:13")</f>
        <v>26/03/2026 11:14:13</v>
      </c>
      <c r="B145" s="35" t="str">
        <f>IFERROR(__xludf.DUMMYFUNCTION("""COMPUTED_VALUE"""),"2")</f>
        <v>2</v>
      </c>
      <c r="C145" s="36" t="str">
        <f>IFERROR(__xludf.DUMMYFUNCTION("""COMPUTED_VALUE"""),"ENZO GABRIEL MENDONÇA DO NASCIMENTO")</f>
        <v>ENZO GABRIEL MENDONÇA DO NASCIMENTO</v>
      </c>
      <c r="D145" s="35" t="str">
        <f>IFERROR(__xludf.DUMMYFUNCTION("""COMPUTED_VALUE"""),"19/11/2022")</f>
        <v>19/11/2022</v>
      </c>
      <c r="E145" s="35" t="str">
        <f>IFERROR(__xludf.DUMMYFUNCTION("""COMPUTED_VALUE"""),"183.493.574-10")</f>
        <v>183.493.574-10</v>
      </c>
      <c r="F145" s="35" t="str">
        <f>IFERROR(__xludf.DUMMYFUNCTION("""COMPUTED_VALUE"""),"INFANTIL 3")</f>
        <v>INFANTIL 3</v>
      </c>
      <c r="G145" s="35" t="str">
        <f>IFERROR(__xludf.DUMMYFUNCTION("""COMPUTED_VALUE"""),"CEMEI PROFESSORA MARLUCIA EVANGELISTA DE SOUZA")</f>
        <v>CEMEI PROFESSORA MARLUCIA EVANGELISTA DE SOUZA</v>
      </c>
      <c r="H145" s="35" t="str">
        <f>IFERROR(__xludf.DUMMYFUNCTION("""COMPUTED_VALUE"""),"REGIONAL 6")</f>
        <v>REGIONAL 6</v>
      </c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5.75" customHeight="1">
      <c r="A146" s="35" t="str">
        <f>IFERROR(__xludf.DUMMYFUNCTION("""COMPUTED_VALUE"""),"27/03/2026 08:54:52")</f>
        <v>27/03/2026 08:54:52</v>
      </c>
      <c r="B146" s="35" t="str">
        <f>IFERROR(__xludf.DUMMYFUNCTION("""COMPUTED_VALUE"""),"3")</f>
        <v>3</v>
      </c>
      <c r="C146" s="36" t="str">
        <f>IFERROR(__xludf.DUMMYFUNCTION("""COMPUTED_VALUE"""),"MARIA HELLENA DA SILVA LIMA")</f>
        <v>MARIA HELLENA DA SILVA LIMA</v>
      </c>
      <c r="D146" s="35" t="str">
        <f>IFERROR(__xludf.DUMMYFUNCTION("""COMPUTED_VALUE"""),"11/05/2022")</f>
        <v>11/05/2022</v>
      </c>
      <c r="E146" s="35" t="str">
        <f>IFERROR(__xludf.DUMMYFUNCTION("""COMPUTED_VALUE"""),"183.573.784-63")</f>
        <v>183.573.784-63</v>
      </c>
      <c r="F146" s="35" t="str">
        <f>IFERROR(__xludf.DUMMYFUNCTION("""COMPUTED_VALUE"""),"INFANTIL 3")</f>
        <v>INFANTIL 3</v>
      </c>
      <c r="G146" s="35" t="str">
        <f>IFERROR(__xludf.DUMMYFUNCTION("""COMPUTED_VALUE"""),"CEMEI PROFESSORA MARLUCIA EVANGELISTA DE SOUZA")</f>
        <v>CEMEI PROFESSORA MARLUCIA EVANGELISTA DE SOUZA</v>
      </c>
      <c r="H146" s="35" t="str">
        <f>IFERROR(__xludf.DUMMYFUNCTION("""COMPUTED_VALUE"""),"REGIONAL 6")</f>
        <v>REGIONAL 6</v>
      </c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5.75" customHeight="1">
      <c r="A147" s="35" t="str">
        <f>IFERROR(__xludf.DUMMYFUNCTION("""COMPUTED_VALUE"""),"09/06/2026 13:23:26")</f>
        <v>09/06/2026 13:23:26</v>
      </c>
      <c r="B147" s="35" t="str">
        <f>IFERROR(__xludf.DUMMYFUNCTION("""COMPUTED_VALUE"""),"4")</f>
        <v>4</v>
      </c>
      <c r="C147" s="36" t="str">
        <f>IFERROR(__xludf.DUMMYFUNCTION("""COMPUTED_VALUE"""),"Maria Cecília Lima dos Santos")</f>
        <v>Maria Cecília Lima dos Santos</v>
      </c>
      <c r="D147" s="35" t="str">
        <f>IFERROR(__xludf.DUMMYFUNCTION("""COMPUTED_VALUE"""),"04/01/2023")</f>
        <v>04/01/2023</v>
      </c>
      <c r="E147" s="35" t="str">
        <f>IFERROR(__xludf.DUMMYFUNCTION("""COMPUTED_VALUE"""),"184.183.674-58")</f>
        <v>184.183.674-58</v>
      </c>
      <c r="F147" s="35" t="str">
        <f>IFERROR(__xludf.DUMMYFUNCTION("""COMPUTED_VALUE"""),"INFANTIL 3")</f>
        <v>INFANTIL 3</v>
      </c>
      <c r="G147" s="35" t="str">
        <f>IFERROR(__xludf.DUMMYFUNCTION("""COMPUTED_VALUE"""),"CEMEI PROFESSORA MARLUCIA EVANGELISTA DE SOUZA")</f>
        <v>CEMEI PROFESSORA MARLUCIA EVANGELISTA DE SOUZA</v>
      </c>
      <c r="H147" s="35" t="str">
        <f>IFERROR(__xludf.DUMMYFUNCTION("""COMPUTED_VALUE"""),"REGIONAL 6")</f>
        <v>REGIONAL 6</v>
      </c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5.75" customHeight="1">
      <c r="A148" s="35" t="str">
        <f>IFERROR(__xludf.DUMMYFUNCTION("""COMPUTED_VALUE"""),"31/03/2026 08:33:16")</f>
        <v>31/03/2026 08:33:16</v>
      </c>
      <c r="B148" s="35" t="str">
        <f>IFERROR(__xludf.DUMMYFUNCTION("""COMPUTED_VALUE"""),"1")</f>
        <v>1</v>
      </c>
      <c r="C148" s="36" t="str">
        <f>IFERROR(__xludf.DUMMYFUNCTION("""COMPUTED_VALUE"""),"APOLLO GABRIEL BRITO DO NASCIMENTO")</f>
        <v>APOLLO GABRIEL BRITO DO NASCIMENTO</v>
      </c>
      <c r="D148" s="35" t="str">
        <f>IFERROR(__xludf.DUMMYFUNCTION("""COMPUTED_VALUE"""),"03/02/2023")</f>
        <v>03/02/2023</v>
      </c>
      <c r="E148" s="35" t="str">
        <f>IFERROR(__xludf.DUMMYFUNCTION("""COMPUTED_VALUE"""),"184.343.404-02")</f>
        <v>184.343.404-02</v>
      </c>
      <c r="F148" s="35" t="str">
        <f>IFERROR(__xludf.DUMMYFUNCTION("""COMPUTED_VALUE"""),"INFANTIL 3")</f>
        <v>INFANTIL 3</v>
      </c>
      <c r="G148" s="35" t="str">
        <f>IFERROR(__xludf.DUMMYFUNCTION("""COMPUTED_VALUE"""),"CEMEI PROFESSORA MARLUCIA EVANGELISTA DE SOUZA")</f>
        <v>CEMEI PROFESSORA MARLUCIA EVANGELISTA DE SOUZA</v>
      </c>
      <c r="H148" s="35" t="str">
        <f>IFERROR(__xludf.DUMMYFUNCTION("""COMPUTED_VALUE"""),"REGIONAL 6")</f>
        <v>REGIONAL 6</v>
      </c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5.75" customHeight="1">
      <c r="A149" s="35" t="str">
        <f>IFERROR(__xludf.DUMMYFUNCTION("""COMPUTED_VALUE"""),"17/03/2026 11:53:45")</f>
        <v>17/03/2026 11:53:45</v>
      </c>
      <c r="B149" s="35" t="str">
        <f>IFERROR(__xludf.DUMMYFUNCTION("""COMPUTED_VALUE"""),"1")</f>
        <v>1</v>
      </c>
      <c r="C149" s="36" t="str">
        <f>IFERROR(__xludf.DUMMYFUNCTION("""COMPUTED_VALUE"""),"SARA BATISTA DE SOUZA")</f>
        <v>SARA BATISTA DE SOUZA</v>
      </c>
      <c r="D149" s="35" t="str">
        <f>IFERROR(__xludf.DUMMYFUNCTION("""COMPUTED_VALUE"""),"09/04/2025")</f>
        <v>09/04/2025</v>
      </c>
      <c r="E149" s="35" t="str">
        <f>IFERROR(__xludf.DUMMYFUNCTION("""COMPUTED_VALUE"""),"005.859.174-50")</f>
        <v>005.859.174-50</v>
      </c>
      <c r="F149" s="35" t="str">
        <f>IFERROR(__xludf.DUMMYFUNCTION("""COMPUTED_VALUE"""),"INFANTIL 1")</f>
        <v>INFANTIL 1</v>
      </c>
      <c r="G149" s="35" t="str">
        <f>IFERROR(__xludf.DUMMYFUNCTION("""COMPUTED_VALUE"""),"CEMEI PROFESSORA RAKELLY NOGUEIRA DO NASCIMENTO")</f>
        <v>CEMEI PROFESSORA RAKELLY NOGUEIRA DO NASCIMENTO</v>
      </c>
      <c r="H149" s="35" t="str">
        <f>IFERROR(__xludf.DUMMYFUNCTION("""COMPUTED_VALUE"""),"REGIONAL 6")</f>
        <v>REGIONAL 6</v>
      </c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5.75" customHeight="1">
      <c r="A150" s="35" t="str">
        <f>IFERROR(__xludf.DUMMYFUNCTION("""COMPUTED_VALUE"""),"22/05/2026 09:50:12")</f>
        <v>22/05/2026 09:50:12</v>
      </c>
      <c r="B150" s="35" t="str">
        <f>IFERROR(__xludf.DUMMYFUNCTION("""COMPUTED_VALUE"""),"2")</f>
        <v>2</v>
      </c>
      <c r="C150" s="36" t="str">
        <f>IFERROR(__xludf.DUMMYFUNCTION("""COMPUTED_VALUE"""),"Théo Vinícius Galdino dos Santos")</f>
        <v>Théo Vinícius Galdino dos Santos</v>
      </c>
      <c r="D150" s="35" t="str">
        <f>IFERROR(__xludf.DUMMYFUNCTION("""COMPUTED_VALUE"""),"28/06/2025")</f>
        <v>28/06/2025</v>
      </c>
      <c r="E150" s="35" t="str">
        <f>IFERROR(__xludf.DUMMYFUNCTION("""COMPUTED_VALUE"""),"006.594.094-61")</f>
        <v>006.594.094-61</v>
      </c>
      <c r="F150" s="35" t="str">
        <f>IFERROR(__xludf.DUMMYFUNCTION("""COMPUTED_VALUE"""),"INFANTIL 1")</f>
        <v>INFANTIL 1</v>
      </c>
      <c r="G150" s="35" t="str">
        <f>IFERROR(__xludf.DUMMYFUNCTION("""COMPUTED_VALUE"""),"CEMEI PROFESSORA RAKELLY NOGUEIRA DO NASCIMENTO")</f>
        <v>CEMEI PROFESSORA RAKELLY NOGUEIRA DO NASCIMENTO</v>
      </c>
      <c r="H150" s="35" t="str">
        <f>IFERROR(__xludf.DUMMYFUNCTION("""COMPUTED_VALUE"""),"REGIONAL 6")</f>
        <v>REGIONAL 6</v>
      </c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5.75" customHeight="1">
      <c r="A151" s="35" t="str">
        <f>IFERROR(__xludf.DUMMYFUNCTION("""COMPUTED_VALUE"""),"24/03/2026 08:53:08")</f>
        <v>24/03/2026 08:53:08</v>
      </c>
      <c r="B151" s="35" t="str">
        <f>IFERROR(__xludf.DUMMYFUNCTION("""COMPUTED_VALUE"""),"1")</f>
        <v>1</v>
      </c>
      <c r="C151" s="36" t="str">
        <f>IFERROR(__xludf.DUMMYFUNCTION("""COMPUTED_VALUE"""),"ANA RUANY SIDRONE VIEIRA DA SILVA")</f>
        <v>ANA RUANY SIDRONE VIEIRA DA SILVA</v>
      </c>
      <c r="D151" s="35" t="str">
        <f>IFERROR(__xludf.DUMMYFUNCTION("""COMPUTED_VALUE"""),"04/09/2023")</f>
        <v>04/09/2023</v>
      </c>
      <c r="E151" s="35" t="str">
        <f>IFERROR(__xludf.DUMMYFUNCTION("""COMPUTED_VALUE"""),"003.696.734-33")</f>
        <v>003.696.734-33</v>
      </c>
      <c r="F151" s="35" t="str">
        <f>IFERROR(__xludf.DUMMYFUNCTION("""COMPUTED_VALUE"""),"INFANTIL 2")</f>
        <v>INFANTIL 2</v>
      </c>
      <c r="G151" s="35" t="str">
        <f>IFERROR(__xludf.DUMMYFUNCTION("""COMPUTED_VALUE"""),"CEMEI PROFESSORA RAKELLY NOGUEIRA DO NASCIMENTO")</f>
        <v>CEMEI PROFESSORA RAKELLY NOGUEIRA DO NASCIMENTO</v>
      </c>
      <c r="H151" s="35" t="str">
        <f>IFERROR(__xludf.DUMMYFUNCTION("""COMPUTED_VALUE"""),"REGIONAL 6")</f>
        <v>REGIONAL 6</v>
      </c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5.75" customHeight="1">
      <c r="A152" s="35" t="str">
        <f>IFERROR(__xludf.DUMMYFUNCTION("""COMPUTED_VALUE"""),"13/05/2026 07:38:50")</f>
        <v>13/05/2026 07:38:50</v>
      </c>
      <c r="B152" s="35" t="str">
        <f>IFERROR(__xludf.DUMMYFUNCTION("""COMPUTED_VALUE"""),"2")</f>
        <v>2</v>
      </c>
      <c r="C152" s="36" t="str">
        <f>IFERROR(__xludf.DUMMYFUNCTION("""COMPUTED_VALUE"""),"ANTHONY GABRIEL ROLIM DE OLIVEIRA")</f>
        <v>ANTHONY GABRIEL ROLIM DE OLIVEIRA</v>
      </c>
      <c r="D152" s="35" t="str">
        <f>IFERROR(__xludf.DUMMYFUNCTION("""COMPUTED_VALUE"""),"07/07/2023")</f>
        <v>07/07/2023</v>
      </c>
      <c r="E152" s="35" t="str">
        <f>IFERROR(__xludf.DUMMYFUNCTION("""COMPUTED_VALUE"""),"185.879.424-25")</f>
        <v>185.879.424-25</v>
      </c>
      <c r="F152" s="35" t="str">
        <f>IFERROR(__xludf.DUMMYFUNCTION("""COMPUTED_VALUE"""),"INFANTIL 2")</f>
        <v>INFANTIL 2</v>
      </c>
      <c r="G152" s="35" t="str">
        <f>IFERROR(__xludf.DUMMYFUNCTION("""COMPUTED_VALUE"""),"CEMEI PROFESSORA RAKELLY NOGUEIRA DO NASCIMENTO")</f>
        <v>CEMEI PROFESSORA RAKELLY NOGUEIRA DO NASCIMENTO</v>
      </c>
      <c r="H152" s="35" t="str">
        <f>IFERROR(__xludf.DUMMYFUNCTION("""COMPUTED_VALUE"""),"REGIONAL 6")</f>
        <v>REGIONAL 6</v>
      </c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5.75" customHeight="1">
      <c r="A153" s="35" t="str">
        <f>IFERROR(__xludf.DUMMYFUNCTION("""COMPUTED_VALUE"""),"02/02/2026 15:26:58")</f>
        <v>02/02/2026 15:26:58</v>
      </c>
      <c r="B153" s="35" t="str">
        <f>IFERROR(__xludf.DUMMYFUNCTION("""COMPUTED_VALUE"""),"1")</f>
        <v>1</v>
      </c>
      <c r="C153" s="36" t="str">
        <f>IFERROR(__xludf.DUMMYFUNCTION("""COMPUTED_VALUE"""),"DANIEL LIMA DE ARAUJO")</f>
        <v>DANIEL LIMA DE ARAUJO</v>
      </c>
      <c r="D153" s="35" t="str">
        <f>IFERROR(__xludf.DUMMYFUNCTION("""COMPUTED_VALUE"""),"14/05/2022")</f>
        <v>14/05/2022</v>
      </c>
      <c r="E153" s="35" t="str">
        <f>IFERROR(__xludf.DUMMYFUNCTION("""COMPUTED_VALUE"""),"181.750.114-32")</f>
        <v>181.750.114-32</v>
      </c>
      <c r="F153" s="35" t="str">
        <f>IFERROR(__xludf.DUMMYFUNCTION("""COMPUTED_VALUE"""),"INFANTIL 3")</f>
        <v>INFANTIL 3</v>
      </c>
      <c r="G153" s="35" t="str">
        <f>IFERROR(__xludf.DUMMYFUNCTION("""COMPUTED_VALUE"""),"CEMEI SANTO AMARO")</f>
        <v>CEMEI SANTO AMARO</v>
      </c>
      <c r="H153" s="35" t="str">
        <f>IFERROR(__xludf.DUMMYFUNCTION("""COMPUTED_VALUE"""),"REGIONAL 1")</f>
        <v>REGIONAL 1</v>
      </c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5.75" customHeight="1">
      <c r="A154" s="35" t="str">
        <f>IFERROR(__xludf.DUMMYFUNCTION("""COMPUTED_VALUE"""),"10/02/2026 08:09:45")</f>
        <v>10/02/2026 08:09:45</v>
      </c>
      <c r="B154" s="35" t="str">
        <f>IFERROR(__xludf.DUMMYFUNCTION("""COMPUTED_VALUE"""),"2")</f>
        <v>2</v>
      </c>
      <c r="C154" s="36" t="str">
        <f>IFERROR(__xludf.DUMMYFUNCTION("""COMPUTED_VALUE"""),"ELIZABETH SAMARA FRANÇA DA SILVA")</f>
        <v>ELIZABETH SAMARA FRANÇA DA SILVA</v>
      </c>
      <c r="D154" s="35" t="str">
        <f>IFERROR(__xludf.DUMMYFUNCTION("""COMPUTED_VALUE"""),"16/05/2022")</f>
        <v>16/05/2022</v>
      </c>
      <c r="E154" s="35" t="str">
        <f>IFERROR(__xludf.DUMMYFUNCTION("""COMPUTED_VALUE"""),"181.606.774-13")</f>
        <v>181.606.774-13</v>
      </c>
      <c r="F154" s="35" t="str">
        <f>IFERROR(__xludf.DUMMYFUNCTION("""COMPUTED_VALUE"""),"INFANTIL 3")</f>
        <v>INFANTIL 3</v>
      </c>
      <c r="G154" s="35" t="str">
        <f>IFERROR(__xludf.DUMMYFUNCTION("""COMPUTED_VALUE"""),"CEMEI SANTO AMARO")</f>
        <v>CEMEI SANTO AMARO</v>
      </c>
      <c r="H154" s="35" t="str">
        <f>IFERROR(__xludf.DUMMYFUNCTION("""COMPUTED_VALUE"""),"REGIONAL 1")</f>
        <v>REGIONAL 1</v>
      </c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5.75" customHeight="1">
      <c r="A155" s="35" t="str">
        <f>IFERROR(__xludf.DUMMYFUNCTION("""COMPUTED_VALUE"""),"24/02/2026 18:34:28")</f>
        <v>24/02/2026 18:34:28</v>
      </c>
      <c r="B155" s="35" t="str">
        <f>IFERROR(__xludf.DUMMYFUNCTION("""COMPUTED_VALUE"""),"3")</f>
        <v>3</v>
      </c>
      <c r="C155" s="36" t="str">
        <f>IFERROR(__xludf.DUMMYFUNCTION("""COMPUTED_VALUE"""),"TAIANE FIGUEIRA LIMA DE SOUZA")</f>
        <v>TAIANE FIGUEIRA LIMA DE SOUZA</v>
      </c>
      <c r="D155" s="35" t="str">
        <f>IFERROR(__xludf.DUMMYFUNCTION("""COMPUTED_VALUE"""),"12/04/2022")</f>
        <v>12/04/2022</v>
      </c>
      <c r="E155" s="35" t="str">
        <f>IFERROR(__xludf.DUMMYFUNCTION("""COMPUTED_VALUE"""),"181.335.914-81")</f>
        <v>181.335.914-81</v>
      </c>
      <c r="F155" s="35" t="str">
        <f>IFERROR(__xludf.DUMMYFUNCTION("""COMPUTED_VALUE"""),"INFANTIL 3")</f>
        <v>INFANTIL 3</v>
      </c>
      <c r="G155" s="35" t="str">
        <f>IFERROR(__xludf.DUMMYFUNCTION("""COMPUTED_VALUE"""),"CEMEI SANTO AMARO")</f>
        <v>CEMEI SANTO AMARO</v>
      </c>
      <c r="H155" s="35" t="str">
        <f>IFERROR(__xludf.DUMMYFUNCTION("""COMPUTED_VALUE"""),"REGIONAL 1")</f>
        <v>REGIONAL 1</v>
      </c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5.75" customHeight="1">
      <c r="A156" s="35" t="str">
        <f>IFERROR(__xludf.DUMMYFUNCTION("""COMPUTED_VALUE"""),"28/01/2026 10:34:12")</f>
        <v>28/01/2026 10:34:12</v>
      </c>
      <c r="B156" s="35" t="str">
        <f>IFERROR(__xludf.DUMMYFUNCTION("""COMPUTED_VALUE"""),"1")</f>
        <v>1</v>
      </c>
      <c r="C156" s="36" t="str">
        <f>IFERROR(__xludf.DUMMYFUNCTION("""COMPUTED_VALUE"""),"SAMUEL LIMA")</f>
        <v>SAMUEL LIMA</v>
      </c>
      <c r="D156" s="35" t="str">
        <f>IFERROR(__xludf.DUMMYFUNCTION("""COMPUTED_VALUE"""),"30/08/2022")</f>
        <v>30/08/2022</v>
      </c>
      <c r="E156" s="35" t="str">
        <f>IFERROR(__xludf.DUMMYFUNCTION("""COMPUTED_VALUE"""),"183.346.314-56")</f>
        <v>183.346.314-56</v>
      </c>
      <c r="F156" s="35" t="str">
        <f>IFERROR(__xludf.DUMMYFUNCTION("""COMPUTED_VALUE"""),"INFANTIL 3")</f>
        <v>INFANTIL 3</v>
      </c>
      <c r="G156" s="35" t="str">
        <f>IFERROR(__xludf.DUMMYFUNCTION("""COMPUTED_VALUE"""),"CEMEI SANTO AMARO")</f>
        <v>CEMEI SANTO AMARO</v>
      </c>
      <c r="H156" s="35" t="str">
        <f>IFERROR(__xludf.DUMMYFUNCTION("""COMPUTED_VALUE"""),"REGIONAL 1")</f>
        <v>REGIONAL 1</v>
      </c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5.75" customHeight="1">
      <c r="A157" s="35" t="str">
        <f>IFERROR(__xludf.DUMMYFUNCTION("""COMPUTED_VALUE"""),"24/02/2026 13:10:10")</f>
        <v>24/02/2026 13:10:10</v>
      </c>
      <c r="B157" s="35" t="str">
        <f>IFERROR(__xludf.DUMMYFUNCTION("""COMPUTED_VALUE"""),"2")</f>
        <v>2</v>
      </c>
      <c r="C157" s="36" t="str">
        <f>IFERROR(__xludf.DUMMYFUNCTION("""COMPUTED_VALUE"""),"GAEL GEOVANNE DE SOUZA RODRIGUES")</f>
        <v>GAEL GEOVANNE DE SOUZA RODRIGUES</v>
      </c>
      <c r="D157" s="35" t="str">
        <f>IFERROR(__xludf.DUMMYFUNCTION("""COMPUTED_VALUE"""),"12/12/2022")</f>
        <v>12/12/2022</v>
      </c>
      <c r="E157" s="35" t="str">
        <f>IFERROR(__xludf.DUMMYFUNCTION("""COMPUTED_VALUE"""),"607.094.828-92")</f>
        <v>607.094.828-92</v>
      </c>
      <c r="F157" s="35" t="str">
        <f>IFERROR(__xludf.DUMMYFUNCTION("""COMPUTED_VALUE"""),"INFANTIL 3")</f>
        <v>INFANTIL 3</v>
      </c>
      <c r="G157" s="35" t="str">
        <f>IFERROR(__xludf.DUMMYFUNCTION("""COMPUTED_VALUE"""),"CEMEI SANTO AMARO")</f>
        <v>CEMEI SANTO AMARO</v>
      </c>
      <c r="H157" s="35" t="str">
        <f>IFERROR(__xludf.DUMMYFUNCTION("""COMPUTED_VALUE"""),"REGIONAL 1")</f>
        <v>REGIONAL 1</v>
      </c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5.75" customHeight="1">
      <c r="A158" s="35" t="str">
        <f>IFERROR(__xludf.DUMMYFUNCTION("""COMPUTED_VALUE"""),"13/05/2026 19:48:23")</f>
        <v>13/05/2026 19:48:23</v>
      </c>
      <c r="B158" s="35" t="str">
        <f>IFERROR(__xludf.DUMMYFUNCTION("""COMPUTED_VALUE"""),"3")</f>
        <v>3</v>
      </c>
      <c r="C158" s="36" t="str">
        <f>IFERROR(__xludf.DUMMYFUNCTION("""COMPUTED_VALUE"""),"HELLEN VITÓRIA SILVA RODRIGUES")</f>
        <v>HELLEN VITÓRIA SILVA RODRIGUES</v>
      </c>
      <c r="D158" s="35" t="str">
        <f>IFERROR(__xludf.DUMMYFUNCTION("""COMPUTED_VALUE"""),"09/06/2022")</f>
        <v>09/06/2022</v>
      </c>
      <c r="E158" s="35" t="str">
        <f>IFERROR(__xludf.DUMMYFUNCTION("""COMPUTED_VALUE"""),"181.887.774-04")</f>
        <v>181.887.774-04</v>
      </c>
      <c r="F158" s="35" t="str">
        <f>IFERROR(__xludf.DUMMYFUNCTION("""COMPUTED_VALUE"""),"INFANTIL 3")</f>
        <v>INFANTIL 3</v>
      </c>
      <c r="G158" s="35" t="str">
        <f>IFERROR(__xludf.DUMMYFUNCTION("""COMPUTED_VALUE"""),"CEMEI SANTO AMARO")</f>
        <v>CEMEI SANTO AMARO</v>
      </c>
      <c r="H158" s="35" t="str">
        <f>IFERROR(__xludf.DUMMYFUNCTION("""COMPUTED_VALUE"""),"REGIONAL 1")</f>
        <v>REGIONAL 1</v>
      </c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5.75" customHeight="1">
      <c r="A159" s="35" t="str">
        <f>IFERROR(__xludf.DUMMYFUNCTION("""COMPUTED_VALUE"""),"20/05/2026 10:33:36")</f>
        <v>20/05/2026 10:33:36</v>
      </c>
      <c r="B159" s="35" t="str">
        <f>IFERROR(__xludf.DUMMYFUNCTION("""COMPUTED_VALUE"""),"4")</f>
        <v>4</v>
      </c>
      <c r="C159" s="36" t="str">
        <f>IFERROR(__xludf.DUMMYFUNCTION("""COMPUTED_VALUE"""),"BRUNA CECÍLIA DOS IMPOSSÍVEIS GOMES")</f>
        <v>BRUNA CECÍLIA DOS IMPOSSÍVEIS GOMES</v>
      </c>
      <c r="D159" s="35" t="str">
        <f>IFERROR(__xludf.DUMMYFUNCTION("""COMPUTED_VALUE"""),"02/11/2022")</f>
        <v>02/11/2022</v>
      </c>
      <c r="E159" s="35" t="str">
        <f>IFERROR(__xludf.DUMMYFUNCTION("""COMPUTED_VALUE"""),"183.419.034-74")</f>
        <v>183.419.034-74</v>
      </c>
      <c r="F159" s="35" t="str">
        <f>IFERROR(__xludf.DUMMYFUNCTION("""COMPUTED_VALUE"""),"INFANTIL 3")</f>
        <v>INFANTIL 3</v>
      </c>
      <c r="G159" s="35" t="str">
        <f>IFERROR(__xludf.DUMMYFUNCTION("""COMPUTED_VALUE"""),"CEMEI SANTO AMARO")</f>
        <v>CEMEI SANTO AMARO</v>
      </c>
      <c r="H159" s="35" t="str">
        <f>IFERROR(__xludf.DUMMYFUNCTION("""COMPUTED_VALUE"""),"REGIONAL 1")</f>
        <v>REGIONAL 1</v>
      </c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5.75" customHeight="1">
      <c r="A160" s="35" t="str">
        <f>IFERROR(__xludf.DUMMYFUNCTION("""COMPUTED_VALUE"""),"25/05/2026 08:40:05")</f>
        <v>25/05/2026 08:40:05</v>
      </c>
      <c r="B160" s="35" t="str">
        <f>IFERROR(__xludf.DUMMYFUNCTION("""COMPUTED_VALUE"""),"5")</f>
        <v>5</v>
      </c>
      <c r="C160" s="36" t="str">
        <f>IFERROR(__xludf.DUMMYFUNCTION("""COMPUTED_VALUE"""),"Eloá Maria de Moraes prazeres")</f>
        <v>Eloá Maria de Moraes prazeres</v>
      </c>
      <c r="D160" s="35" t="str">
        <f>IFERROR(__xludf.DUMMYFUNCTION("""COMPUTED_VALUE"""),"25/02/2023")</f>
        <v>25/02/2023</v>
      </c>
      <c r="E160" s="35" t="str">
        <f>IFERROR(__xludf.DUMMYFUNCTION("""COMPUTED_VALUE"""),"184.570.414-28")</f>
        <v>184.570.414-28</v>
      </c>
      <c r="F160" s="35" t="str">
        <f>IFERROR(__xludf.DUMMYFUNCTION("""COMPUTED_VALUE"""),"INFANTIL 3")</f>
        <v>INFANTIL 3</v>
      </c>
      <c r="G160" s="35" t="str">
        <f>IFERROR(__xludf.DUMMYFUNCTION("""COMPUTED_VALUE"""),"CEMEI SANTO AMARO")</f>
        <v>CEMEI SANTO AMARO</v>
      </c>
      <c r="H160" s="35" t="str">
        <f>IFERROR(__xludf.DUMMYFUNCTION("""COMPUTED_VALUE"""),"REGIONAL 1")</f>
        <v>REGIONAL 1</v>
      </c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5.75" customHeight="1">
      <c r="A161" s="35" t="str">
        <f>IFERROR(__xludf.DUMMYFUNCTION("""COMPUTED_VALUE"""),"10/06/2026 07:16:18")</f>
        <v>10/06/2026 07:16:18</v>
      </c>
      <c r="B161" s="35" t="str">
        <f>IFERROR(__xludf.DUMMYFUNCTION("""COMPUTED_VALUE"""),"6")</f>
        <v>6</v>
      </c>
      <c r="C161" s="36" t="str">
        <f>IFERROR(__xludf.DUMMYFUNCTION("""COMPUTED_VALUE"""),"APOLO FERRAZ BARBOSA RODRIGUES")</f>
        <v>APOLO FERRAZ BARBOSA RODRIGUES</v>
      </c>
      <c r="D161" s="35" t="str">
        <f>IFERROR(__xludf.DUMMYFUNCTION("""COMPUTED_VALUE"""),"17/02/2023")</f>
        <v>17/02/2023</v>
      </c>
      <c r="E161" s="35" t="str">
        <f>IFERROR(__xludf.DUMMYFUNCTION("""COMPUTED_VALUE"""),"184.564.184-12")</f>
        <v>184.564.184-12</v>
      </c>
      <c r="F161" s="35" t="str">
        <f>IFERROR(__xludf.DUMMYFUNCTION("""COMPUTED_VALUE"""),"INFANTIL 3")</f>
        <v>INFANTIL 3</v>
      </c>
      <c r="G161" s="35" t="str">
        <f>IFERROR(__xludf.DUMMYFUNCTION("""COMPUTED_VALUE"""),"CEMEI SANTO AMARO")</f>
        <v>CEMEI SANTO AMARO</v>
      </c>
      <c r="H161" s="35" t="str">
        <f>IFERROR(__xludf.DUMMYFUNCTION("""COMPUTED_VALUE"""),"REGIONAL 1")</f>
        <v>REGIONAL 1</v>
      </c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5.75" customHeight="1">
      <c r="A162" s="35" t="str">
        <f>IFERROR(__xludf.DUMMYFUNCTION("""COMPUTED_VALUE"""),"28/01/2026 21:43:18")</f>
        <v>28/01/2026 21:43:18</v>
      </c>
      <c r="B162" s="35" t="str">
        <f>IFERROR(__xludf.DUMMYFUNCTION("""COMPUTED_VALUE"""),"1")</f>
        <v>1</v>
      </c>
      <c r="C162" s="36" t="str">
        <f>IFERROR(__xludf.DUMMYFUNCTION("""COMPUTED_VALUE"""),"ALLEFF DAVI DE OLIVEIRA ALVES")</f>
        <v>ALLEFF DAVI DE OLIVEIRA ALVES</v>
      </c>
      <c r="D162" s="35" t="str">
        <f>IFERROR(__xludf.DUMMYFUNCTION("""COMPUTED_VALUE"""),"10/10/2024")</f>
        <v>10/10/2024</v>
      </c>
      <c r="E162" s="35" t="str">
        <f>IFERROR(__xludf.DUMMYFUNCTION("""COMPUTED_VALUE"""),"005.136.884-63")</f>
        <v>005.136.884-63</v>
      </c>
      <c r="F162" s="35" t="str">
        <f>IFERROR(__xludf.DUMMYFUNCTION("""COMPUTED_VALUE"""),"INFANTIL 1")</f>
        <v>INFANTIL 1</v>
      </c>
      <c r="G162" s="35" t="str">
        <f>IFERROR(__xludf.DUMMYFUNCTION("""COMPUTED_VALUE"""),"CEMEI SILVIA MARIA DE OLIVEIRA")</f>
        <v>CEMEI SILVIA MARIA DE OLIVEIRA</v>
      </c>
      <c r="H162" s="35" t="str">
        <f>IFERROR(__xludf.DUMMYFUNCTION("""COMPUTED_VALUE"""),"REGIONAL 5")</f>
        <v>REGIONAL 5</v>
      </c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5.75" customHeight="1">
      <c r="A163" s="35" t="str">
        <f>IFERROR(__xludf.DUMMYFUNCTION("""COMPUTED_VALUE"""),"08/05/2026 18:02:36")</f>
        <v>08/05/2026 18:02:36</v>
      </c>
      <c r="B163" s="35" t="str">
        <f>IFERROR(__xludf.DUMMYFUNCTION("""COMPUTED_VALUE"""),"1")</f>
        <v>1</v>
      </c>
      <c r="C163" s="36" t="str">
        <f>IFERROR(__xludf.DUMMYFUNCTION("""COMPUTED_VALUE"""),"ARTHUR GABRIEL LIMA DA SILVA")</f>
        <v>ARTHUR GABRIEL LIMA DA SILVA</v>
      </c>
      <c r="D163" s="35" t="str">
        <f>IFERROR(__xludf.DUMMYFUNCTION("""COMPUTED_VALUE"""),"14/03/2024")</f>
        <v>14/03/2024</v>
      </c>
      <c r="E163" s="35" t="str">
        <f>IFERROR(__xludf.DUMMYFUNCTION("""COMPUTED_VALUE"""),"002.280.454-44")</f>
        <v>002.280.454-44</v>
      </c>
      <c r="F163" s="35" t="str">
        <f>IFERROR(__xludf.DUMMYFUNCTION("""COMPUTED_VALUE"""),"INFANTIL 2")</f>
        <v>INFANTIL 2</v>
      </c>
      <c r="G163" s="35" t="str">
        <f>IFERROR(__xludf.DUMMYFUNCTION("""COMPUTED_VALUE"""),"CEMEI SILVIA MARIA DE OLIVEIRA")</f>
        <v>CEMEI SILVIA MARIA DE OLIVEIRA</v>
      </c>
      <c r="H163" s="35" t="str">
        <f>IFERROR(__xludf.DUMMYFUNCTION("""COMPUTED_VALUE"""),"REGIONAL 5")</f>
        <v>REGIONAL 5</v>
      </c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5.75" customHeight="1">
      <c r="A164" s="35" t="str">
        <f>IFERROR(__xludf.DUMMYFUNCTION("""COMPUTED_VALUE"""),"02/03/2026 13:05:13")</f>
        <v>02/03/2026 13:05:13</v>
      </c>
      <c r="B164" s="35" t="str">
        <f>IFERROR(__xludf.DUMMYFUNCTION("""COMPUTED_VALUE"""),"1")</f>
        <v>1</v>
      </c>
      <c r="C164" s="36" t="str">
        <f>IFERROR(__xludf.DUMMYFUNCTION("""COMPUTED_VALUE"""),"ARIELLY VICTORIA DA SILVA LEANDRO")</f>
        <v>ARIELLY VICTORIA DA SILVA LEANDRO</v>
      </c>
      <c r="D164" s="35" t="str">
        <f>IFERROR(__xludf.DUMMYFUNCTION("""COMPUTED_VALUE"""),"15/11/2025")</f>
        <v>15/11/2025</v>
      </c>
      <c r="E164" s="35" t="str">
        <f>IFERROR(__xludf.DUMMYFUNCTION("""COMPUTED_VALUE"""),"024.884.774-00")</f>
        <v>024.884.774-00</v>
      </c>
      <c r="F164" s="35" t="str">
        <f>IFERROR(__xludf.DUMMYFUNCTION("""COMPUTED_VALUE"""),"INFANTIL 1")</f>
        <v>INFANTIL 1</v>
      </c>
      <c r="G164" s="35" t="str">
        <f>IFERROR(__xludf.DUMMYFUNCTION("""COMPUTED_VALUE"""),"CENTRO MUNICIPAL DE EDUCAÇÃO INFANTIL MARCOS FREIRE")</f>
        <v>CENTRO MUNICIPAL DE EDUCAÇÃO INFANTIL MARCOS FREIRE</v>
      </c>
      <c r="H164" s="35" t="str">
        <f>IFERROR(__xludf.DUMMYFUNCTION("""COMPUTED_VALUE"""),"REGIONAL 4")</f>
        <v>REGIONAL 4</v>
      </c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5.75" customHeight="1">
      <c r="A165" s="35" t="str">
        <f>IFERROR(__xludf.DUMMYFUNCTION("""COMPUTED_VALUE"""),"03/03/2026 09:31:27")</f>
        <v>03/03/2026 09:31:27</v>
      </c>
      <c r="B165" s="35" t="str">
        <f>IFERROR(__xludf.DUMMYFUNCTION("""COMPUTED_VALUE"""),"2")</f>
        <v>2</v>
      </c>
      <c r="C165" s="36" t="str">
        <f>IFERROR(__xludf.DUMMYFUNCTION("""COMPUTED_VALUE"""),"JADE KLARISSE GOMES DO NASCIMENTO")</f>
        <v>JADE KLARISSE GOMES DO NASCIMENTO</v>
      </c>
      <c r="D165" s="35" t="str">
        <f>IFERROR(__xludf.DUMMYFUNCTION("""COMPUTED_VALUE"""),"25/07/2024")</f>
        <v>25/07/2024</v>
      </c>
      <c r="E165" s="35" t="str">
        <f>IFERROR(__xludf.DUMMYFUNCTION("""COMPUTED_VALUE"""),"003.669.294-88")</f>
        <v>003.669.294-88</v>
      </c>
      <c r="F165" s="35" t="str">
        <f>IFERROR(__xludf.DUMMYFUNCTION("""COMPUTED_VALUE"""),"INFANTIL 1")</f>
        <v>INFANTIL 1</v>
      </c>
      <c r="G165" s="35" t="str">
        <f>IFERROR(__xludf.DUMMYFUNCTION("""COMPUTED_VALUE"""),"CENTRO MUNICIPAL DE EDUCAÇÃO INFANTIL MARCOS FREIRE")</f>
        <v>CENTRO MUNICIPAL DE EDUCAÇÃO INFANTIL MARCOS FREIRE</v>
      </c>
      <c r="H165" s="35" t="str">
        <f>IFERROR(__xludf.DUMMYFUNCTION("""COMPUTED_VALUE"""),"REGIONAL 4")</f>
        <v>REGIONAL 4</v>
      </c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5.75" customHeight="1">
      <c r="A166" s="35" t="str">
        <f>IFERROR(__xludf.DUMMYFUNCTION("""COMPUTED_VALUE"""),"11/03/2026 16:45:43")</f>
        <v>11/03/2026 16:45:43</v>
      </c>
      <c r="B166" s="35" t="str">
        <f>IFERROR(__xludf.DUMMYFUNCTION("""COMPUTED_VALUE"""),"3")</f>
        <v>3</v>
      </c>
      <c r="C166" s="36" t="str">
        <f>IFERROR(__xludf.DUMMYFUNCTION("""COMPUTED_VALUE"""),"JOSE CALLEB DA SILVA")</f>
        <v>JOSE CALLEB DA SILVA</v>
      </c>
      <c r="D166" s="35" t="str">
        <f>IFERROR(__xludf.DUMMYFUNCTION("""COMPUTED_VALUE"""),"13/08/2025")</f>
        <v>13/08/2025</v>
      </c>
      <c r="E166" s="35" t="str">
        <f>IFERROR(__xludf.DUMMYFUNCTION("""COMPUTED_VALUE"""),"007.131.994-82")</f>
        <v>007.131.994-82</v>
      </c>
      <c r="F166" s="35" t="str">
        <f>IFERROR(__xludf.DUMMYFUNCTION("""COMPUTED_VALUE"""),"INFANTIL 1")</f>
        <v>INFANTIL 1</v>
      </c>
      <c r="G166" s="35" t="str">
        <f>IFERROR(__xludf.DUMMYFUNCTION("""COMPUTED_VALUE"""),"CENTRO MUNICIPAL DE EDUCAÇÃO INFANTIL MARCOS FREIRE")</f>
        <v>CENTRO MUNICIPAL DE EDUCAÇÃO INFANTIL MARCOS FREIRE</v>
      </c>
      <c r="H166" s="35" t="str">
        <f>IFERROR(__xludf.DUMMYFUNCTION("""COMPUTED_VALUE"""),"REGIONAL 4")</f>
        <v>REGIONAL 4</v>
      </c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5.75" customHeight="1">
      <c r="A167" s="35" t="str">
        <f>IFERROR(__xludf.DUMMYFUNCTION("""COMPUTED_VALUE"""),"12/03/2026 06:29:35")</f>
        <v>12/03/2026 06:29:35</v>
      </c>
      <c r="B167" s="35" t="str">
        <f>IFERROR(__xludf.DUMMYFUNCTION("""COMPUTED_VALUE"""),"4")</f>
        <v>4</v>
      </c>
      <c r="C167" s="36" t="str">
        <f>IFERROR(__xludf.DUMMYFUNCTION("""COMPUTED_VALUE"""),"MARIA ISADORA ALBUQUERQUE DE SANTANA")</f>
        <v>MARIA ISADORA ALBUQUERQUE DE SANTANA</v>
      </c>
      <c r="D167" s="35" t="str">
        <f>IFERROR(__xludf.DUMMYFUNCTION("""COMPUTED_VALUE"""),"13/02/2025")</f>
        <v>13/02/2025</v>
      </c>
      <c r="E167" s="35" t="str">
        <f>IFERROR(__xludf.DUMMYFUNCTION("""COMPUTED_VALUE"""),"005.362.524-24")</f>
        <v>005.362.524-24</v>
      </c>
      <c r="F167" s="35" t="str">
        <f>IFERROR(__xludf.DUMMYFUNCTION("""COMPUTED_VALUE"""),"INFANTIL 1")</f>
        <v>INFANTIL 1</v>
      </c>
      <c r="G167" s="35" t="str">
        <f>IFERROR(__xludf.DUMMYFUNCTION("""COMPUTED_VALUE"""),"CENTRO MUNICIPAL DE EDUCAÇÃO INFANTIL MARCOS FREIRE")</f>
        <v>CENTRO MUNICIPAL DE EDUCAÇÃO INFANTIL MARCOS FREIRE</v>
      </c>
      <c r="H167" s="35" t="str">
        <f>IFERROR(__xludf.DUMMYFUNCTION("""COMPUTED_VALUE"""),"REGIONAL 4")</f>
        <v>REGIONAL 4</v>
      </c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5.75" customHeight="1">
      <c r="A168" s="35" t="str">
        <f>IFERROR(__xludf.DUMMYFUNCTION("""COMPUTED_VALUE"""),"18/03/2026 11:00:34")</f>
        <v>18/03/2026 11:00:34</v>
      </c>
      <c r="B168" s="35" t="str">
        <f>IFERROR(__xludf.DUMMYFUNCTION("""COMPUTED_VALUE"""),"5")</f>
        <v>5</v>
      </c>
      <c r="C168" s="36" t="str">
        <f>IFERROR(__xludf.DUMMYFUNCTION("""COMPUTED_VALUE"""),"BRYAN CALEB DOS SANTOS CORREIA")</f>
        <v>BRYAN CALEB DOS SANTOS CORREIA</v>
      </c>
      <c r="D168" s="35" t="str">
        <f>IFERROR(__xludf.DUMMYFUNCTION("""COMPUTED_VALUE"""),"28/05/2025")</f>
        <v>28/05/2025</v>
      </c>
      <c r="E168" s="35" t="str">
        <f>IFERROR(__xludf.DUMMYFUNCTION("""COMPUTED_VALUE"""),"006.316.154-07")</f>
        <v>006.316.154-07</v>
      </c>
      <c r="F168" s="35" t="str">
        <f>IFERROR(__xludf.DUMMYFUNCTION("""COMPUTED_VALUE"""),"INFANTIL 1")</f>
        <v>INFANTIL 1</v>
      </c>
      <c r="G168" s="35" t="str">
        <f>IFERROR(__xludf.DUMMYFUNCTION("""COMPUTED_VALUE"""),"CENTRO MUNICIPAL DE EDUCAÇÃO INFANTIL MARCOS FREIRE")</f>
        <v>CENTRO MUNICIPAL DE EDUCAÇÃO INFANTIL MARCOS FREIRE</v>
      </c>
      <c r="H168" s="35" t="str">
        <f>IFERROR(__xludf.DUMMYFUNCTION("""COMPUTED_VALUE"""),"REGIONAL 4")</f>
        <v>REGIONAL 4</v>
      </c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5.75" customHeight="1">
      <c r="A169" s="35" t="str">
        <f>IFERROR(__xludf.DUMMYFUNCTION("""COMPUTED_VALUE"""),"23/03/2026 12:20:04")</f>
        <v>23/03/2026 12:20:04</v>
      </c>
      <c r="B169" s="35" t="str">
        <f>IFERROR(__xludf.DUMMYFUNCTION("""COMPUTED_VALUE"""),"6")</f>
        <v>6</v>
      </c>
      <c r="C169" s="36" t="str">
        <f>IFERROR(__xludf.DUMMYFUNCTION("""COMPUTED_VALUE"""),"DALILA DOS SANTOS")</f>
        <v>DALILA DOS SANTOS</v>
      </c>
      <c r="D169" s="35" t="str">
        <f>IFERROR(__xludf.DUMMYFUNCTION("""COMPUTED_VALUE"""),"09/04/2024")</f>
        <v>09/04/2024</v>
      </c>
      <c r="E169" s="35" t="str">
        <f>IFERROR(__xludf.DUMMYFUNCTION("""COMPUTED_VALUE"""),"002.673.744-29")</f>
        <v>002.673.744-29</v>
      </c>
      <c r="F169" s="35" t="str">
        <f>IFERROR(__xludf.DUMMYFUNCTION("""COMPUTED_VALUE"""),"INFANTIL 1")</f>
        <v>INFANTIL 1</v>
      </c>
      <c r="G169" s="35" t="str">
        <f>IFERROR(__xludf.DUMMYFUNCTION("""COMPUTED_VALUE"""),"CENTRO MUNICIPAL DE EDUCAÇÃO INFANTIL MARCOS FREIRE")</f>
        <v>CENTRO MUNICIPAL DE EDUCAÇÃO INFANTIL MARCOS FREIRE</v>
      </c>
      <c r="H169" s="35" t="str">
        <f>IFERROR(__xludf.DUMMYFUNCTION("""COMPUTED_VALUE"""),"REGIONAL 4")</f>
        <v>REGIONAL 4</v>
      </c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5.75" customHeight="1">
      <c r="A170" s="35" t="str">
        <f>IFERROR(__xludf.DUMMYFUNCTION("""COMPUTED_VALUE"""),"27/03/2026 14:19:05")</f>
        <v>27/03/2026 14:19:05</v>
      </c>
      <c r="B170" s="35" t="str">
        <f>IFERROR(__xludf.DUMMYFUNCTION("""COMPUTED_VALUE"""),"7")</f>
        <v>7</v>
      </c>
      <c r="C170" s="36" t="str">
        <f>IFERROR(__xludf.DUMMYFUNCTION("""COMPUTED_VALUE"""),"RAVILA LOUISE CUSTÓDIO ALVES DA SILVA")</f>
        <v>RAVILA LOUISE CUSTÓDIO ALVES DA SILVA</v>
      </c>
      <c r="D170" s="35" t="str">
        <f>IFERROR(__xludf.DUMMYFUNCTION("""COMPUTED_VALUE"""),"05/12/2024")</f>
        <v>05/12/2024</v>
      </c>
      <c r="E170" s="35" t="str">
        <f>IFERROR(__xludf.DUMMYFUNCTION("""COMPUTED_VALUE"""),"004.783.134-03")</f>
        <v>004.783.134-03</v>
      </c>
      <c r="F170" s="35" t="str">
        <f>IFERROR(__xludf.DUMMYFUNCTION("""COMPUTED_VALUE"""),"INFANTIL 1")</f>
        <v>INFANTIL 1</v>
      </c>
      <c r="G170" s="35" t="str">
        <f>IFERROR(__xludf.DUMMYFUNCTION("""COMPUTED_VALUE"""),"CENTRO MUNICIPAL DE EDUCAÇÃO INFANTIL MARCOS FREIRE")</f>
        <v>CENTRO MUNICIPAL DE EDUCAÇÃO INFANTIL MARCOS FREIRE</v>
      </c>
      <c r="H170" s="35" t="str">
        <f>IFERROR(__xludf.DUMMYFUNCTION("""COMPUTED_VALUE"""),"REGIONAL 4")</f>
        <v>REGIONAL 4</v>
      </c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5.75" customHeight="1">
      <c r="A171" s="35" t="str">
        <f>IFERROR(__xludf.DUMMYFUNCTION("""COMPUTED_VALUE"""),"08/04/2026 10:45:14")</f>
        <v>08/04/2026 10:45:14</v>
      </c>
      <c r="B171" s="35" t="str">
        <f>IFERROR(__xludf.DUMMYFUNCTION("""COMPUTED_VALUE"""),"8")</f>
        <v>8</v>
      </c>
      <c r="C171" s="36" t="str">
        <f>IFERROR(__xludf.DUMMYFUNCTION("""COMPUTED_VALUE"""),"THOMÁS SANTIAGO DE LIMA")</f>
        <v>THOMÁS SANTIAGO DE LIMA</v>
      </c>
      <c r="D171" s="35" t="str">
        <f>IFERROR(__xludf.DUMMYFUNCTION("""COMPUTED_VALUE"""),"28/10/2024")</f>
        <v>28/10/2024</v>
      </c>
      <c r="E171" s="35" t="str">
        <f>IFERROR(__xludf.DUMMYFUNCTION("""COMPUTED_VALUE"""),"004.437.094-67")</f>
        <v>004.437.094-67</v>
      </c>
      <c r="F171" s="35" t="str">
        <f>IFERROR(__xludf.DUMMYFUNCTION("""COMPUTED_VALUE"""),"INFANTIL 1")</f>
        <v>INFANTIL 1</v>
      </c>
      <c r="G171" s="35" t="str">
        <f>IFERROR(__xludf.DUMMYFUNCTION("""COMPUTED_VALUE"""),"CENTRO MUNICIPAL DE EDUCAÇÃO INFANTIL MARCOS FREIRE")</f>
        <v>CENTRO MUNICIPAL DE EDUCAÇÃO INFANTIL MARCOS FREIRE</v>
      </c>
      <c r="H171" s="35" t="str">
        <f>IFERROR(__xludf.DUMMYFUNCTION("""COMPUTED_VALUE"""),"REGIONAL 4")</f>
        <v>REGIONAL 4</v>
      </c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5.75" customHeight="1">
      <c r="A172" s="35" t="str">
        <f>IFERROR(__xludf.DUMMYFUNCTION("""COMPUTED_VALUE"""),"14/04/2026 09:51:21")</f>
        <v>14/04/2026 09:51:21</v>
      </c>
      <c r="B172" s="35" t="str">
        <f>IFERROR(__xludf.DUMMYFUNCTION("""COMPUTED_VALUE"""),"9")</f>
        <v>9</v>
      </c>
      <c r="C172" s="36" t="str">
        <f>IFERROR(__xludf.DUMMYFUNCTION("""COMPUTED_VALUE"""),"MAYAH GABRYELLY PATRIARCA DE LIMA")</f>
        <v>MAYAH GABRYELLY PATRIARCA DE LIMA</v>
      </c>
      <c r="D172" s="35" t="str">
        <f>IFERROR(__xludf.DUMMYFUNCTION("""COMPUTED_VALUE"""),"25/08/2025")</f>
        <v>25/08/2025</v>
      </c>
      <c r="E172" s="35" t="str">
        <f>IFERROR(__xludf.DUMMYFUNCTION("""COMPUTED_VALUE"""),"014.136.034-83")</f>
        <v>014.136.034-83</v>
      </c>
      <c r="F172" s="35" t="str">
        <f>IFERROR(__xludf.DUMMYFUNCTION("""COMPUTED_VALUE"""),"INFANTIL 1")</f>
        <v>INFANTIL 1</v>
      </c>
      <c r="G172" s="35" t="str">
        <f>IFERROR(__xludf.DUMMYFUNCTION("""COMPUTED_VALUE"""),"CENTRO MUNICIPAL DE EDUCAÇÃO INFANTIL MARCOS FREIRE")</f>
        <v>CENTRO MUNICIPAL DE EDUCAÇÃO INFANTIL MARCOS FREIRE</v>
      </c>
      <c r="H172" s="35" t="str">
        <f>IFERROR(__xludf.DUMMYFUNCTION("""COMPUTED_VALUE"""),"REGIONAL 4")</f>
        <v>REGIONAL 4</v>
      </c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5.75" customHeight="1">
      <c r="A173" s="35" t="str">
        <f>IFERROR(__xludf.DUMMYFUNCTION("""COMPUTED_VALUE"""),"15/04/2026 16:58:08")</f>
        <v>15/04/2026 16:58:08</v>
      </c>
      <c r="B173" s="35" t="str">
        <f>IFERROR(__xludf.DUMMYFUNCTION("""COMPUTED_VALUE"""),"10")</f>
        <v>10</v>
      </c>
      <c r="C173" s="36" t="str">
        <f>IFERROR(__xludf.DUMMYFUNCTION("""COMPUTED_VALUE"""),"EVANGELINE MENDES DA SILVA")</f>
        <v>EVANGELINE MENDES DA SILVA</v>
      </c>
      <c r="D173" s="35" t="str">
        <f>IFERROR(__xludf.DUMMYFUNCTION("""COMPUTED_VALUE"""),"12/02/2025")</f>
        <v>12/02/2025</v>
      </c>
      <c r="E173" s="35" t="str">
        <f>IFERROR(__xludf.DUMMYFUNCTION("""COMPUTED_VALUE"""),"050.824.554-00")</f>
        <v>050.824.554-00</v>
      </c>
      <c r="F173" s="35" t="str">
        <f>IFERROR(__xludf.DUMMYFUNCTION("""COMPUTED_VALUE"""),"INFANTIL 1")</f>
        <v>INFANTIL 1</v>
      </c>
      <c r="G173" s="35" t="str">
        <f>IFERROR(__xludf.DUMMYFUNCTION("""COMPUTED_VALUE"""),"CENTRO MUNICIPAL DE EDUCAÇÃO INFANTIL MARCOS FREIRE")</f>
        <v>CENTRO MUNICIPAL DE EDUCAÇÃO INFANTIL MARCOS FREIRE</v>
      </c>
      <c r="H173" s="35" t="str">
        <f>IFERROR(__xludf.DUMMYFUNCTION("""COMPUTED_VALUE"""),"REGIONAL 4")</f>
        <v>REGIONAL 4</v>
      </c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5.75" customHeight="1">
      <c r="A174" s="35" t="str">
        <f>IFERROR(__xludf.DUMMYFUNCTION("""COMPUTED_VALUE"""),"11/05/2026 14:39:32")</f>
        <v>11/05/2026 14:39:32</v>
      </c>
      <c r="B174" s="35" t="str">
        <f>IFERROR(__xludf.DUMMYFUNCTION("""COMPUTED_VALUE"""),"11")</f>
        <v>11</v>
      </c>
      <c r="C174" s="36" t="str">
        <f>IFERROR(__xludf.DUMMYFUNCTION("""COMPUTED_VALUE"""),"JADE HELENA PARAISO DE ASSIS")</f>
        <v>JADE HELENA PARAISO DE ASSIS</v>
      </c>
      <c r="D174" s="35" t="str">
        <f>IFERROR(__xludf.DUMMYFUNCTION("""COMPUTED_VALUE"""),"11/07/2024")</f>
        <v>11/07/2024</v>
      </c>
      <c r="E174" s="35" t="str">
        <f>IFERROR(__xludf.DUMMYFUNCTION("""COMPUTED_VALUE"""),"003.489.334-28")</f>
        <v>003.489.334-28</v>
      </c>
      <c r="F174" s="35" t="str">
        <f>IFERROR(__xludf.DUMMYFUNCTION("""COMPUTED_VALUE"""),"INFANTIL 1")</f>
        <v>INFANTIL 1</v>
      </c>
      <c r="G174" s="35" t="str">
        <f>IFERROR(__xludf.DUMMYFUNCTION("""COMPUTED_VALUE"""),"CENTRO MUNICIPAL DE EDUCAÇÃO INFANTIL MARCOS FREIRE")</f>
        <v>CENTRO MUNICIPAL DE EDUCAÇÃO INFANTIL MARCOS FREIRE</v>
      </c>
      <c r="H174" s="35" t="str">
        <f>IFERROR(__xludf.DUMMYFUNCTION("""COMPUTED_VALUE"""),"REGIONAL 4")</f>
        <v>REGIONAL 4</v>
      </c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5.75" customHeight="1">
      <c r="A175" s="35" t="str">
        <f>IFERROR(__xludf.DUMMYFUNCTION("""COMPUTED_VALUE"""),"26/05/2026 13:30:04")</f>
        <v>26/05/2026 13:30:04</v>
      </c>
      <c r="B175" s="35" t="str">
        <f>IFERROR(__xludf.DUMMYFUNCTION("""COMPUTED_VALUE"""),"12")</f>
        <v>12</v>
      </c>
      <c r="C175" s="36" t="str">
        <f>IFERROR(__xludf.DUMMYFUNCTION("""COMPUTED_VALUE"""),"MERLYA VITORIA DA SILVA FERNANDES")</f>
        <v>MERLYA VITORIA DA SILVA FERNANDES</v>
      </c>
      <c r="D175" s="35" t="str">
        <f>IFERROR(__xludf.DUMMYFUNCTION("""COMPUTED_VALUE"""),"14/05/2025")</f>
        <v>14/05/2025</v>
      </c>
      <c r="E175" s="35" t="str">
        <f>IFERROR(__xludf.DUMMYFUNCTION("""COMPUTED_VALUE"""),"006.677.104-85")</f>
        <v>006.677.104-85</v>
      </c>
      <c r="F175" s="35" t="str">
        <f>IFERROR(__xludf.DUMMYFUNCTION("""COMPUTED_VALUE"""),"INFANTIL 1")</f>
        <v>INFANTIL 1</v>
      </c>
      <c r="G175" s="35" t="str">
        <f>IFERROR(__xludf.DUMMYFUNCTION("""COMPUTED_VALUE"""),"CENTRO MUNICIPAL DE EDUCAÇÃO INFANTIL MARCOS FREIRE")</f>
        <v>CENTRO MUNICIPAL DE EDUCAÇÃO INFANTIL MARCOS FREIRE</v>
      </c>
      <c r="H175" s="35" t="str">
        <f>IFERROR(__xludf.DUMMYFUNCTION("""COMPUTED_VALUE"""),"REGIONAL 4")</f>
        <v>REGIONAL 4</v>
      </c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5.75" customHeight="1">
      <c r="A176" s="35" t="str">
        <f>IFERROR(__xludf.DUMMYFUNCTION("""COMPUTED_VALUE"""),"03/06/2026 08:39:17")</f>
        <v>03/06/2026 08:39:17</v>
      </c>
      <c r="B176" s="35" t="str">
        <f>IFERROR(__xludf.DUMMYFUNCTION("""COMPUTED_VALUE"""),"13")</f>
        <v>13</v>
      </c>
      <c r="C176" s="36" t="str">
        <f>IFERROR(__xludf.DUMMYFUNCTION("""COMPUTED_VALUE"""),"BRYAN GABRIEL CARNEIRO DE LIMA")</f>
        <v>BRYAN GABRIEL CARNEIRO DE LIMA</v>
      </c>
      <c r="D176" s="35" t="str">
        <f>IFERROR(__xludf.DUMMYFUNCTION("""COMPUTED_VALUE"""),"21/07/2024")</f>
        <v>21/07/2024</v>
      </c>
      <c r="E176" s="35" t="str">
        <f>IFERROR(__xludf.DUMMYFUNCTION("""COMPUTED_VALUE"""),"003.558.374-63")</f>
        <v>003.558.374-63</v>
      </c>
      <c r="F176" s="35" t="str">
        <f>IFERROR(__xludf.DUMMYFUNCTION("""COMPUTED_VALUE"""),"INFANTIL 1")</f>
        <v>INFANTIL 1</v>
      </c>
      <c r="G176" s="35" t="str">
        <f>IFERROR(__xludf.DUMMYFUNCTION("""COMPUTED_VALUE"""),"CENTRO MUNICIPAL DE EDUCAÇÃO INFANTIL MARCOS FREIRE")</f>
        <v>CENTRO MUNICIPAL DE EDUCAÇÃO INFANTIL MARCOS FREIRE</v>
      </c>
      <c r="H176" s="35" t="str">
        <f>IFERROR(__xludf.DUMMYFUNCTION("""COMPUTED_VALUE"""),"REGIONAL 4")</f>
        <v>REGIONAL 4</v>
      </c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5.75" customHeight="1">
      <c r="A177" s="35" t="str">
        <f>IFERROR(__xludf.DUMMYFUNCTION("""COMPUTED_VALUE"""),"13/06/2026 12:51:02")</f>
        <v>13/06/2026 12:51:02</v>
      </c>
      <c r="B177" s="35" t="str">
        <f>IFERROR(__xludf.DUMMYFUNCTION("""COMPUTED_VALUE"""),"14")</f>
        <v>14</v>
      </c>
      <c r="C177" s="36" t="str">
        <f>IFERROR(__xludf.DUMMYFUNCTION("""COMPUTED_VALUE"""),"Liz Helena de Lima Ferreira")</f>
        <v>Liz Helena de Lima Ferreira</v>
      </c>
      <c r="D177" s="35" t="str">
        <f>IFERROR(__xludf.DUMMYFUNCTION("""COMPUTED_VALUE"""),"29/05/2025")</f>
        <v>29/05/2025</v>
      </c>
      <c r="E177" s="35" t="str">
        <f>IFERROR(__xludf.DUMMYFUNCTION("""COMPUTED_VALUE"""),"006.363.494-54")</f>
        <v>006.363.494-54</v>
      </c>
      <c r="F177" s="35" t="str">
        <f>IFERROR(__xludf.DUMMYFUNCTION("""COMPUTED_VALUE"""),"INFANTIL 1")</f>
        <v>INFANTIL 1</v>
      </c>
      <c r="G177" s="35" t="str">
        <f>IFERROR(__xludf.DUMMYFUNCTION("""COMPUTED_VALUE"""),"CENTRO MUNICIPAL DE EDUCAÇÃO INFANTIL MARCOS FREIRE")</f>
        <v>CENTRO MUNICIPAL DE EDUCAÇÃO INFANTIL MARCOS FREIRE</v>
      </c>
      <c r="H177" s="35" t="str">
        <f>IFERROR(__xludf.DUMMYFUNCTION("""COMPUTED_VALUE"""),"REGIONAL 4")</f>
        <v>REGIONAL 4</v>
      </c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5.75" customHeight="1">
      <c r="A178" s="35" t="str">
        <f>IFERROR(__xludf.DUMMYFUNCTION("""COMPUTED_VALUE"""),"03/03/2026 12:34:10")</f>
        <v>03/03/2026 12:34:10</v>
      </c>
      <c r="B178" s="35" t="str">
        <f>IFERROR(__xludf.DUMMYFUNCTION("""COMPUTED_VALUE"""),"1")</f>
        <v>1</v>
      </c>
      <c r="C178" s="36" t="str">
        <f>IFERROR(__xludf.DUMMYFUNCTION("""COMPUTED_VALUE"""),"GAEL ALEXANDRE SOARES DE LUNA")</f>
        <v>GAEL ALEXANDRE SOARES DE LUNA</v>
      </c>
      <c r="D178" s="35" t="str">
        <f>IFERROR(__xludf.DUMMYFUNCTION("""COMPUTED_VALUE"""),"16/01/2024")</f>
        <v>16/01/2024</v>
      </c>
      <c r="E178" s="35" t="str">
        <f>IFERROR(__xludf.DUMMYFUNCTION("""COMPUTED_VALUE"""),"001.591.704-51")</f>
        <v>001.591.704-51</v>
      </c>
      <c r="F178" s="35" t="str">
        <f>IFERROR(__xludf.DUMMYFUNCTION("""COMPUTED_VALUE"""),"INFANTIL 2")</f>
        <v>INFANTIL 2</v>
      </c>
      <c r="G178" s="35" t="str">
        <f>IFERROR(__xludf.DUMMYFUNCTION("""COMPUTED_VALUE"""),"CENTRO MUNICIPAL DE EDUCAÇÃO INFANTIL MARCOS FREIRE")</f>
        <v>CENTRO MUNICIPAL DE EDUCAÇÃO INFANTIL MARCOS FREIRE</v>
      </c>
      <c r="H178" s="35" t="str">
        <f>IFERROR(__xludf.DUMMYFUNCTION("""COMPUTED_VALUE"""),"REGIONAL 4")</f>
        <v>REGIONAL 4</v>
      </c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5.75" customHeight="1">
      <c r="A179" s="35" t="str">
        <f>IFERROR(__xludf.DUMMYFUNCTION("""COMPUTED_VALUE"""),"04/03/2026 14:46:15")</f>
        <v>04/03/2026 14:46:15</v>
      </c>
      <c r="B179" s="35" t="str">
        <f>IFERROR(__xludf.DUMMYFUNCTION("""COMPUTED_VALUE"""),"2")</f>
        <v>2</v>
      </c>
      <c r="C179" s="36" t="str">
        <f>IFERROR(__xludf.DUMMYFUNCTION("""COMPUTED_VALUE"""),"JOÃO MIGUEL DE LIMA CAVALCANTI")</f>
        <v>JOÃO MIGUEL DE LIMA CAVALCANTI</v>
      </c>
      <c r="D179" s="35" t="str">
        <f>IFERROR(__xludf.DUMMYFUNCTION("""COMPUTED_VALUE"""),"22/07/2023")</f>
        <v>22/07/2023</v>
      </c>
      <c r="E179" s="35" t="str">
        <f>IFERROR(__xludf.DUMMYFUNCTION("""COMPUTED_VALUE"""),"234.344.727-62")</f>
        <v>234.344.727-62</v>
      </c>
      <c r="F179" s="35" t="str">
        <f>IFERROR(__xludf.DUMMYFUNCTION("""COMPUTED_VALUE"""),"INFANTIL 2")</f>
        <v>INFANTIL 2</v>
      </c>
      <c r="G179" s="35" t="str">
        <f>IFERROR(__xludf.DUMMYFUNCTION("""COMPUTED_VALUE"""),"CENTRO MUNICIPAL DE EDUCAÇÃO INFANTIL MARCOS FREIRE")</f>
        <v>CENTRO MUNICIPAL DE EDUCAÇÃO INFANTIL MARCOS FREIRE</v>
      </c>
      <c r="H179" s="35" t="str">
        <f>IFERROR(__xludf.DUMMYFUNCTION("""COMPUTED_VALUE"""),"REGIONAL 4")</f>
        <v>REGIONAL 4</v>
      </c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5.75" customHeight="1">
      <c r="A180" s="35" t="str">
        <f>IFERROR(__xludf.DUMMYFUNCTION("""COMPUTED_VALUE"""),"20/03/2026 08:02:42")</f>
        <v>20/03/2026 08:02:42</v>
      </c>
      <c r="B180" s="35" t="str">
        <f>IFERROR(__xludf.DUMMYFUNCTION("""COMPUTED_VALUE"""),"3")</f>
        <v>3</v>
      </c>
      <c r="C180" s="36" t="str">
        <f>IFERROR(__xludf.DUMMYFUNCTION("""COMPUTED_VALUE"""),"DAVI PIETRO DA SILVA BARBOSA")</f>
        <v>DAVI PIETRO DA SILVA BARBOSA</v>
      </c>
      <c r="D180" s="35" t="str">
        <f>IFERROR(__xludf.DUMMYFUNCTION("""COMPUTED_VALUE"""),"17/01/2024")</f>
        <v>17/01/2024</v>
      </c>
      <c r="E180" s="35" t="str">
        <f>IFERROR(__xludf.DUMMYFUNCTION("""COMPUTED_VALUE"""),"001.594.054-32")</f>
        <v>001.594.054-32</v>
      </c>
      <c r="F180" s="35" t="str">
        <f>IFERROR(__xludf.DUMMYFUNCTION("""COMPUTED_VALUE"""),"INFANTIL 2")</f>
        <v>INFANTIL 2</v>
      </c>
      <c r="G180" s="35" t="str">
        <f>IFERROR(__xludf.DUMMYFUNCTION("""COMPUTED_VALUE"""),"CENTRO MUNICIPAL DE EDUCAÇÃO INFANTIL MARCOS FREIRE")</f>
        <v>CENTRO MUNICIPAL DE EDUCAÇÃO INFANTIL MARCOS FREIRE</v>
      </c>
      <c r="H180" s="35" t="str">
        <f>IFERROR(__xludf.DUMMYFUNCTION("""COMPUTED_VALUE"""),"REGIONAL 4")</f>
        <v>REGIONAL 4</v>
      </c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5.75" customHeight="1">
      <c r="A181" s="35" t="str">
        <f>IFERROR(__xludf.DUMMYFUNCTION("""COMPUTED_VALUE"""),"20/03/2026 23:02:44")</f>
        <v>20/03/2026 23:02:44</v>
      </c>
      <c r="B181" s="35" t="str">
        <f>IFERROR(__xludf.DUMMYFUNCTION("""COMPUTED_VALUE"""),"4")</f>
        <v>4</v>
      </c>
      <c r="C181" s="36" t="str">
        <f>IFERROR(__xludf.DUMMYFUNCTION("""COMPUTED_VALUE"""),"LEVI BRYAN DE OLIVEIRA REIS")</f>
        <v>LEVI BRYAN DE OLIVEIRA REIS</v>
      </c>
      <c r="D181" s="35" t="str">
        <f>IFERROR(__xludf.DUMMYFUNCTION("""COMPUTED_VALUE"""),"22/02/2024")</f>
        <v>22/02/2024</v>
      </c>
      <c r="E181" s="35" t="str">
        <f>IFERROR(__xludf.DUMMYFUNCTION("""COMPUTED_VALUE"""),"002.077.824-40")</f>
        <v>002.077.824-40</v>
      </c>
      <c r="F181" s="35" t="str">
        <f>IFERROR(__xludf.DUMMYFUNCTION("""COMPUTED_VALUE"""),"INFANTIL 2")</f>
        <v>INFANTIL 2</v>
      </c>
      <c r="G181" s="35" t="str">
        <f>IFERROR(__xludf.DUMMYFUNCTION("""COMPUTED_VALUE"""),"CENTRO MUNICIPAL DE EDUCAÇÃO INFANTIL MARCOS FREIRE")</f>
        <v>CENTRO MUNICIPAL DE EDUCAÇÃO INFANTIL MARCOS FREIRE</v>
      </c>
      <c r="H181" s="35" t="str">
        <f>IFERROR(__xludf.DUMMYFUNCTION("""COMPUTED_VALUE"""),"REGIONAL 4")</f>
        <v>REGIONAL 4</v>
      </c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5.75" customHeight="1">
      <c r="A182" s="35" t="str">
        <f>IFERROR(__xludf.DUMMYFUNCTION("""COMPUTED_VALUE"""),"08/04/2026 13:49:21")</f>
        <v>08/04/2026 13:49:21</v>
      </c>
      <c r="B182" s="35" t="str">
        <f>IFERROR(__xludf.DUMMYFUNCTION("""COMPUTED_VALUE"""),"5")</f>
        <v>5</v>
      </c>
      <c r="C182" s="36" t="str">
        <f>IFERROR(__xludf.DUMMYFUNCTION("""COMPUTED_VALUE"""),"JORGE MIGUEL DA SILVA NASCIMENTO")</f>
        <v>JORGE MIGUEL DA SILVA NASCIMENTO</v>
      </c>
      <c r="D182" s="35" t="str">
        <f>IFERROR(__xludf.DUMMYFUNCTION("""COMPUTED_VALUE"""),"23/07/2023")</f>
        <v>23/07/2023</v>
      </c>
      <c r="E182" s="35" t="str">
        <f>IFERROR(__xludf.DUMMYFUNCTION("""COMPUTED_VALUE"""),"186.203.064-21")</f>
        <v>186.203.064-21</v>
      </c>
      <c r="F182" s="35" t="str">
        <f>IFERROR(__xludf.DUMMYFUNCTION("""COMPUTED_VALUE"""),"INFANTIL 2")</f>
        <v>INFANTIL 2</v>
      </c>
      <c r="G182" s="35" t="str">
        <f>IFERROR(__xludf.DUMMYFUNCTION("""COMPUTED_VALUE"""),"CENTRO MUNICIPAL DE EDUCAÇÃO INFANTIL MARCOS FREIRE")</f>
        <v>CENTRO MUNICIPAL DE EDUCAÇÃO INFANTIL MARCOS FREIRE</v>
      </c>
      <c r="H182" s="35" t="str">
        <f>IFERROR(__xludf.DUMMYFUNCTION("""COMPUTED_VALUE"""),"REGIONAL 4")</f>
        <v>REGIONAL 4</v>
      </c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5.75" customHeight="1">
      <c r="A183" s="35" t="str">
        <f>IFERROR(__xludf.DUMMYFUNCTION("""COMPUTED_VALUE"""),"17/03/2026 12:24:13")</f>
        <v>17/03/2026 12:24:13</v>
      </c>
      <c r="B183" s="35" t="str">
        <f>IFERROR(__xludf.DUMMYFUNCTION("""COMPUTED_VALUE"""),"1")</f>
        <v>1</v>
      </c>
      <c r="C183" s="36" t="str">
        <f>IFERROR(__xludf.DUMMYFUNCTION("""COMPUTED_VALUE"""),"HELOISA VITÓRIA DA SILVA NASCIMENTO")</f>
        <v>HELOISA VITÓRIA DA SILVA NASCIMENTO</v>
      </c>
      <c r="D183" s="35" t="str">
        <f>IFERROR(__xludf.DUMMYFUNCTION("""COMPUTED_VALUE"""),"30/03/2023")</f>
        <v>30/03/2023</v>
      </c>
      <c r="E183" s="35" t="str">
        <f>IFERROR(__xludf.DUMMYFUNCTION("""COMPUTED_VALUE"""),"185.357.664-64")</f>
        <v>185.357.664-64</v>
      </c>
      <c r="F183" s="35" t="str">
        <f>IFERROR(__xludf.DUMMYFUNCTION("""COMPUTED_VALUE"""),"INFANTIL 3")</f>
        <v>INFANTIL 3</v>
      </c>
      <c r="G183" s="35" t="str">
        <f>IFERROR(__xludf.DUMMYFUNCTION("""COMPUTED_VALUE"""),"CENTRO MUNICIPAL DE EDUCAÇÃO INFANTIL MARCOS FREIRE")</f>
        <v>CENTRO MUNICIPAL DE EDUCAÇÃO INFANTIL MARCOS FREIRE</v>
      </c>
      <c r="H183" s="35" t="str">
        <f>IFERROR(__xludf.DUMMYFUNCTION("""COMPUTED_VALUE"""),"REGIONAL 4")</f>
        <v>REGIONAL 4</v>
      </c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5.75" customHeight="1">
      <c r="A184" s="35" t="str">
        <f>IFERROR(__xludf.DUMMYFUNCTION("""COMPUTED_VALUE"""),"19/03/2026 09:22:32")</f>
        <v>19/03/2026 09:22:32</v>
      </c>
      <c r="B184" s="35" t="str">
        <f>IFERROR(__xludf.DUMMYFUNCTION("""COMPUTED_VALUE"""),"2")</f>
        <v>2</v>
      </c>
      <c r="C184" s="36" t="str">
        <f>IFERROR(__xludf.DUMMYFUNCTION("""COMPUTED_VALUE"""),"THÉO LACERDA ALVES")</f>
        <v>THÉO LACERDA ALVES</v>
      </c>
      <c r="D184" s="35" t="str">
        <f>IFERROR(__xludf.DUMMYFUNCTION("""COMPUTED_VALUE"""),"28/09/2022")</f>
        <v>28/09/2022</v>
      </c>
      <c r="E184" s="35" t="str">
        <f>IFERROR(__xludf.DUMMYFUNCTION("""COMPUTED_VALUE"""),"605.546.128-52")</f>
        <v>605.546.128-52</v>
      </c>
      <c r="F184" s="35" t="str">
        <f>IFERROR(__xludf.DUMMYFUNCTION("""COMPUTED_VALUE"""),"INFANTIL 3")</f>
        <v>INFANTIL 3</v>
      </c>
      <c r="G184" s="35" t="str">
        <f>IFERROR(__xludf.DUMMYFUNCTION("""COMPUTED_VALUE"""),"CENTRO MUNICIPAL DE EDUCAÇÃO INFANTIL MARCOS FREIRE")</f>
        <v>CENTRO MUNICIPAL DE EDUCAÇÃO INFANTIL MARCOS FREIRE</v>
      </c>
      <c r="H184" s="35" t="str">
        <f>IFERROR(__xludf.DUMMYFUNCTION("""COMPUTED_VALUE"""),"REGIONAL 4")</f>
        <v>REGIONAL 4</v>
      </c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5.75" customHeight="1">
      <c r="A185" s="35" t="str">
        <f>IFERROR(__xludf.DUMMYFUNCTION("""COMPUTED_VALUE"""),"06/04/2026 11:03:43")</f>
        <v>06/04/2026 11:03:43</v>
      </c>
      <c r="B185" s="35" t="str">
        <f>IFERROR(__xludf.DUMMYFUNCTION("""COMPUTED_VALUE"""),"3")</f>
        <v>3</v>
      </c>
      <c r="C185" s="36" t="str">
        <f>IFERROR(__xludf.DUMMYFUNCTION("""COMPUTED_VALUE"""),"SOPHIA CATARINA BARBOSA DOS SANTOS")</f>
        <v>SOPHIA CATARINA BARBOSA DOS SANTOS</v>
      </c>
      <c r="D185" s="35" t="str">
        <f>IFERROR(__xludf.DUMMYFUNCTION("""COMPUTED_VALUE"""),"13/06/2022")</f>
        <v>13/06/2022</v>
      </c>
      <c r="E185" s="35" t="str">
        <f>IFERROR(__xludf.DUMMYFUNCTION("""COMPUTED_VALUE"""),"181.986.654-80")</f>
        <v>181.986.654-80</v>
      </c>
      <c r="F185" s="35" t="str">
        <f>IFERROR(__xludf.DUMMYFUNCTION("""COMPUTED_VALUE"""),"INFANTIL 3")</f>
        <v>INFANTIL 3</v>
      </c>
      <c r="G185" s="35" t="str">
        <f>IFERROR(__xludf.DUMMYFUNCTION("""COMPUTED_VALUE"""),"CENTRO MUNICIPAL DE EDUCAÇÃO INFANTIL MARCOS FREIRE")</f>
        <v>CENTRO MUNICIPAL DE EDUCAÇÃO INFANTIL MARCOS FREIRE</v>
      </c>
      <c r="H185" s="35" t="str">
        <f>IFERROR(__xludf.DUMMYFUNCTION("""COMPUTED_VALUE"""),"REGIONAL 4")</f>
        <v>REGIONAL 4</v>
      </c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5.75" customHeight="1">
      <c r="A186" s="35" t="str">
        <f>IFERROR(__xludf.DUMMYFUNCTION("""COMPUTED_VALUE"""),"25/02/2026 12:49:56")</f>
        <v>25/02/2026 12:49:56</v>
      </c>
      <c r="B186" s="35" t="str">
        <f>IFERROR(__xludf.DUMMYFUNCTION("""COMPUTED_VALUE"""),"1")</f>
        <v>1</v>
      </c>
      <c r="C186" s="36" t="str">
        <f>IFERROR(__xludf.DUMMYFUNCTION("""COMPUTED_VALUE"""),"CR")</f>
        <v>CR</v>
      </c>
      <c r="D186" s="35" t="str">
        <f>IFERROR(__xludf.DUMMYFUNCTION("""COMPUTED_VALUE"""),"03/07/2025")</f>
        <v>03/07/2025</v>
      </c>
      <c r="E186" s="35" t="str">
        <f>IFERROR(__xludf.DUMMYFUNCTION("""COMPUTED_VALUE"""),"006.659.714-51")</f>
        <v>006.659.714-51</v>
      </c>
      <c r="F186" s="35" t="str">
        <f>IFERROR(__xludf.DUMMYFUNCTION("""COMPUTED_VALUE"""),"INFANTIL 1")</f>
        <v>INFANTIL 1</v>
      </c>
      <c r="G186" s="35" t="str">
        <f>IFERROR(__xludf.DUMMYFUNCTION("""COMPUTED_VALUE"""),"CRECHE ALAYDE MARIA DA CONCEICAO")</f>
        <v>CRECHE ALAYDE MARIA DA CONCEICAO</v>
      </c>
      <c r="H186" s="35" t="str">
        <f>IFERROR(__xludf.DUMMYFUNCTION("""COMPUTED_VALUE"""),"REGIONAL 2")</f>
        <v>REGIONAL 2</v>
      </c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5.75" customHeight="1">
      <c r="A187" s="35" t="str">
        <f>IFERROR(__xludf.DUMMYFUNCTION("""COMPUTED_VALUE"""),"25/03/2026 16:34:54")</f>
        <v>25/03/2026 16:34:54</v>
      </c>
      <c r="B187" s="35" t="str">
        <f>IFERROR(__xludf.DUMMYFUNCTION("""COMPUTED_VALUE"""),"2")</f>
        <v>2</v>
      </c>
      <c r="C187" s="36" t="str">
        <f>IFERROR(__xludf.DUMMYFUNCTION("""COMPUTED_VALUE"""),"DAVY ALVES DA SILVA")</f>
        <v>DAVY ALVES DA SILVA</v>
      </c>
      <c r="D187" s="35" t="str">
        <f>IFERROR(__xludf.DUMMYFUNCTION("""COMPUTED_VALUE"""),"27/05/2025")</f>
        <v>27/05/2025</v>
      </c>
      <c r="E187" s="35" t="str">
        <f>IFERROR(__xludf.DUMMYFUNCTION("""COMPUTED_VALUE"""),"003.543.594-10")</f>
        <v>003.543.594-10</v>
      </c>
      <c r="F187" s="35" t="str">
        <f>IFERROR(__xludf.DUMMYFUNCTION("""COMPUTED_VALUE"""),"INFANTIL 1")</f>
        <v>INFANTIL 1</v>
      </c>
      <c r="G187" s="35" t="str">
        <f>IFERROR(__xludf.DUMMYFUNCTION("""COMPUTED_VALUE"""),"CRECHE ALAYDE MARIA DA CONCEICAO")</f>
        <v>CRECHE ALAYDE MARIA DA CONCEICAO</v>
      </c>
      <c r="H187" s="35" t="str">
        <f>IFERROR(__xludf.DUMMYFUNCTION("""COMPUTED_VALUE"""),"REGIONAL 2")</f>
        <v>REGIONAL 2</v>
      </c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5.75" customHeight="1">
      <c r="A188" s="35" t="str">
        <f>IFERROR(__xludf.DUMMYFUNCTION("""COMPUTED_VALUE"""),"18/06/2026 11:42:52")</f>
        <v>18/06/2026 11:42:52</v>
      </c>
      <c r="B188" s="35" t="str">
        <f>IFERROR(__xludf.DUMMYFUNCTION("""COMPUTED_VALUE"""),"3")</f>
        <v>3</v>
      </c>
      <c r="C188" s="36" t="str">
        <f>IFERROR(__xludf.DUMMYFUNCTION("""COMPUTED_VALUE"""),"Hellena Sophia Souza da Silva")</f>
        <v>Hellena Sophia Souza da Silva</v>
      </c>
      <c r="D188" s="35" t="str">
        <f>IFERROR(__xludf.DUMMYFUNCTION("""COMPUTED_VALUE"""),"04/04/2025")</f>
        <v>04/04/2025</v>
      </c>
      <c r="E188" s="35" t="str">
        <f>IFERROR(__xludf.DUMMYFUNCTION("""COMPUTED_VALUE"""),"005.830.624-23")</f>
        <v>005.830.624-23</v>
      </c>
      <c r="F188" s="35" t="str">
        <f>IFERROR(__xludf.DUMMYFUNCTION("""COMPUTED_VALUE"""),"INFANTIL 1")</f>
        <v>INFANTIL 1</v>
      </c>
      <c r="G188" s="35" t="str">
        <f>IFERROR(__xludf.DUMMYFUNCTION("""COMPUTED_VALUE"""),"CRECHE ALAYDE MARIA DA CONCEICAO")</f>
        <v>CRECHE ALAYDE MARIA DA CONCEICAO</v>
      </c>
      <c r="H188" s="35" t="str">
        <f>IFERROR(__xludf.DUMMYFUNCTION("""COMPUTED_VALUE"""),"REGIONAL 2")</f>
        <v>REGIONAL 2</v>
      </c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5.75" customHeight="1">
      <c r="A189" s="35" t="str">
        <f>IFERROR(__xludf.DUMMYFUNCTION("""COMPUTED_VALUE"""),"23/06/2026 08:34:26")</f>
        <v>23/06/2026 08:34:26</v>
      </c>
      <c r="B189" s="35" t="str">
        <f>IFERROR(__xludf.DUMMYFUNCTION("""COMPUTED_VALUE"""),"4")</f>
        <v>4</v>
      </c>
      <c r="C189" s="36" t="str">
        <f>IFERROR(__xludf.DUMMYFUNCTION("""COMPUTED_VALUE"""),"Eloá Sofia pareia de Oliveira")</f>
        <v>Eloá Sofia pareia de Oliveira</v>
      </c>
      <c r="D189" s="35" t="str">
        <f>IFERROR(__xludf.DUMMYFUNCTION("""COMPUTED_VALUE"""),"08/07/2024")</f>
        <v>08/07/2024</v>
      </c>
      <c r="E189" s="35" t="str">
        <f>IFERROR(__xludf.DUMMYFUNCTION("""COMPUTED_VALUE"""),"003.450.224-67")</f>
        <v>003.450.224-67</v>
      </c>
      <c r="F189" s="35" t="str">
        <f>IFERROR(__xludf.DUMMYFUNCTION("""COMPUTED_VALUE"""),"INFANTIL 1")</f>
        <v>INFANTIL 1</v>
      </c>
      <c r="G189" s="35" t="str">
        <f>IFERROR(__xludf.DUMMYFUNCTION("""COMPUTED_VALUE"""),"CRECHE ALAYDE MARIA DA CONCEICAO")</f>
        <v>CRECHE ALAYDE MARIA DA CONCEICAO</v>
      </c>
      <c r="H189" s="35" t="str">
        <f>IFERROR(__xludf.DUMMYFUNCTION("""COMPUTED_VALUE"""),"REGIONAL 2")</f>
        <v>REGIONAL 2</v>
      </c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5.75" customHeight="1">
      <c r="A190" s="35" t="str">
        <f>IFERROR(__xludf.DUMMYFUNCTION("""COMPUTED_VALUE"""),"19/03/2026 10:36:55")</f>
        <v>19/03/2026 10:36:55</v>
      </c>
      <c r="B190" s="35" t="str">
        <f>IFERROR(__xludf.DUMMYFUNCTION("""COMPUTED_VALUE"""),"1")</f>
        <v>1</v>
      </c>
      <c r="C190" s="36" t="str">
        <f>IFERROR(__xludf.DUMMYFUNCTION("""COMPUTED_VALUE"""),"ELLIZA EMANUELLEY MONTE DE LIMA")</f>
        <v>ELLIZA EMANUELLEY MONTE DE LIMA</v>
      </c>
      <c r="D190" s="35" t="str">
        <f>IFERROR(__xludf.DUMMYFUNCTION("""COMPUTED_VALUE"""),"21/04/2023")</f>
        <v>21/04/2023</v>
      </c>
      <c r="E190" s="35" t="str">
        <f>IFERROR(__xludf.DUMMYFUNCTION("""COMPUTED_VALUE"""),"185.171.144-93")</f>
        <v>185.171.144-93</v>
      </c>
      <c r="F190" s="35" t="str">
        <f>IFERROR(__xludf.DUMMYFUNCTION("""COMPUTED_VALUE"""),"INFANTIL 2")</f>
        <v>INFANTIL 2</v>
      </c>
      <c r="G190" s="35" t="str">
        <f>IFERROR(__xludf.DUMMYFUNCTION("""COMPUTED_VALUE"""),"CRECHE ALAYDE MARIA DA CONCEICAO")</f>
        <v>CRECHE ALAYDE MARIA DA CONCEICAO</v>
      </c>
      <c r="H190" s="35" t="str">
        <f>IFERROR(__xludf.DUMMYFUNCTION("""COMPUTED_VALUE"""),"REGIONAL 2")</f>
        <v>REGIONAL 2</v>
      </c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5.75" customHeight="1">
      <c r="A191" s="35" t="str">
        <f>IFERROR(__xludf.DUMMYFUNCTION("""COMPUTED_VALUE"""),"31/03/2026 12:14:35")</f>
        <v>31/03/2026 12:14:35</v>
      </c>
      <c r="B191" s="35" t="str">
        <f>IFERROR(__xludf.DUMMYFUNCTION("""COMPUTED_VALUE"""),"2")</f>
        <v>2</v>
      </c>
      <c r="C191" s="36" t="str">
        <f>IFERROR(__xludf.DUMMYFUNCTION("""COMPUTED_VALUE"""),"HELLOÁ DANIELLY AMORIM FELIX")</f>
        <v>HELLOÁ DANIELLY AMORIM FELIX</v>
      </c>
      <c r="D191" s="35" t="str">
        <f>IFERROR(__xludf.DUMMYFUNCTION("""COMPUTED_VALUE"""),"04/03/2024")</f>
        <v>04/03/2024</v>
      </c>
      <c r="E191" s="35" t="str">
        <f>IFERROR(__xludf.DUMMYFUNCTION("""COMPUTED_VALUE"""),"002.685.434-10")</f>
        <v>002.685.434-10</v>
      </c>
      <c r="F191" s="35" t="str">
        <f>IFERROR(__xludf.DUMMYFUNCTION("""COMPUTED_VALUE"""),"INFANTIL 2")</f>
        <v>INFANTIL 2</v>
      </c>
      <c r="G191" s="35" t="str">
        <f>IFERROR(__xludf.DUMMYFUNCTION("""COMPUTED_VALUE"""),"CRECHE ALAYDE MARIA DA CONCEICAO")</f>
        <v>CRECHE ALAYDE MARIA DA CONCEICAO</v>
      </c>
      <c r="H191" s="35" t="str">
        <f>IFERROR(__xludf.DUMMYFUNCTION("""COMPUTED_VALUE"""),"REGIONAL 2")</f>
        <v>REGIONAL 2</v>
      </c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5.75" customHeight="1">
      <c r="A192" s="35" t="str">
        <f>IFERROR(__xludf.DUMMYFUNCTION("""COMPUTED_VALUE"""),"27/04/2026 15:51:32")</f>
        <v>27/04/2026 15:51:32</v>
      </c>
      <c r="B192" s="35" t="str">
        <f>IFERROR(__xludf.DUMMYFUNCTION("""COMPUTED_VALUE"""),"3")</f>
        <v>3</v>
      </c>
      <c r="C192" s="36" t="str">
        <f>IFERROR(__xludf.DUMMYFUNCTION("""COMPUTED_VALUE"""),"EDRICK FELIPE MELO DOS SANTOS RODRIGUES")</f>
        <v>EDRICK FELIPE MELO DOS SANTOS RODRIGUES</v>
      </c>
      <c r="D192" s="35" t="str">
        <f>IFERROR(__xludf.DUMMYFUNCTION("""COMPUTED_VALUE"""),"11/02/2024")</f>
        <v>11/02/2024</v>
      </c>
      <c r="E192" s="35" t="str">
        <f>IFERROR(__xludf.DUMMYFUNCTION("""COMPUTED_VALUE"""),"001.939.124-22")</f>
        <v>001.939.124-22</v>
      </c>
      <c r="F192" s="35" t="str">
        <f>IFERROR(__xludf.DUMMYFUNCTION("""COMPUTED_VALUE"""),"INFANTIL 2")</f>
        <v>INFANTIL 2</v>
      </c>
      <c r="G192" s="35" t="str">
        <f>IFERROR(__xludf.DUMMYFUNCTION("""COMPUTED_VALUE"""),"CRECHE ALAYDE MARIA DA CONCEICAO")</f>
        <v>CRECHE ALAYDE MARIA DA CONCEICAO</v>
      </c>
      <c r="H192" s="35" t="str">
        <f>IFERROR(__xludf.DUMMYFUNCTION("""COMPUTED_VALUE"""),"REGIONAL 2")</f>
        <v>REGIONAL 2</v>
      </c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5.75" customHeight="1">
      <c r="A193" s="35" t="str">
        <f>IFERROR(__xludf.DUMMYFUNCTION("""COMPUTED_VALUE"""),"19/02/2026 09:00:23")</f>
        <v>19/02/2026 09:00:23</v>
      </c>
      <c r="B193" s="35" t="str">
        <f>IFERROR(__xludf.DUMMYFUNCTION("""COMPUTED_VALUE"""),"1")</f>
        <v>1</v>
      </c>
      <c r="C193" s="36" t="str">
        <f>IFERROR(__xludf.DUMMYFUNCTION("""COMPUTED_VALUE"""),"RHAVI LUCAS DA SILVA SANTANA")</f>
        <v>RHAVI LUCAS DA SILVA SANTANA</v>
      </c>
      <c r="D193" s="35" t="str">
        <f>IFERROR(__xludf.DUMMYFUNCTION("""COMPUTED_VALUE"""),"12/05/2025")</f>
        <v>12/05/2025</v>
      </c>
      <c r="E193" s="35" t="str">
        <f>IFERROR(__xludf.DUMMYFUNCTION("""COMPUTED_VALUE"""),"006.630.604-35")</f>
        <v>006.630.604-35</v>
      </c>
      <c r="F193" s="35" t="str">
        <f>IFERROR(__xludf.DUMMYFUNCTION("""COMPUTED_VALUE"""),"INFANTIL 1")</f>
        <v>INFANTIL 1</v>
      </c>
      <c r="G193" s="35" t="str">
        <f>IFERROR(__xludf.DUMMYFUNCTION("""COMPUTED_VALUE"""),"CRECHE CIRANDA CIRANDINHA")</f>
        <v>CRECHE CIRANDA CIRANDINHA</v>
      </c>
      <c r="H193" s="35" t="str">
        <f>IFERROR(__xludf.DUMMYFUNCTION("""COMPUTED_VALUE"""),"REGIONAL 1")</f>
        <v>REGIONAL 1</v>
      </c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5.75" customHeight="1">
      <c r="A194" s="35" t="str">
        <f>IFERROR(__xludf.DUMMYFUNCTION("""COMPUTED_VALUE"""),"14/03/2026 10:04:37")</f>
        <v>14/03/2026 10:04:37</v>
      </c>
      <c r="B194" s="35" t="str">
        <f>IFERROR(__xludf.DUMMYFUNCTION("""COMPUTED_VALUE"""),"2")</f>
        <v>2</v>
      </c>
      <c r="C194" s="36" t="str">
        <f>IFERROR(__xludf.DUMMYFUNCTION("""COMPUTED_VALUE"""),"BERNARDO CARVALHO")</f>
        <v>BERNARDO CARVALHO</v>
      </c>
      <c r="D194" s="35" t="str">
        <f>IFERROR(__xludf.DUMMYFUNCTION("""COMPUTED_VALUE"""),"27/06/2024")</f>
        <v>27/06/2024</v>
      </c>
      <c r="E194" s="35" t="str">
        <f>IFERROR(__xludf.DUMMYFUNCTION("""COMPUTED_VALUE"""),"003.334.034-01")</f>
        <v>003.334.034-01</v>
      </c>
      <c r="F194" s="35" t="str">
        <f>IFERROR(__xludf.DUMMYFUNCTION("""COMPUTED_VALUE"""),"INFANTIL 1")</f>
        <v>INFANTIL 1</v>
      </c>
      <c r="G194" s="35" t="str">
        <f>IFERROR(__xludf.DUMMYFUNCTION("""COMPUTED_VALUE"""),"CRECHE CIRANDA CIRANDINHA")</f>
        <v>CRECHE CIRANDA CIRANDINHA</v>
      </c>
      <c r="H194" s="35" t="str">
        <f>IFERROR(__xludf.DUMMYFUNCTION("""COMPUTED_VALUE"""),"REGIONAL 1")</f>
        <v>REGIONAL 1</v>
      </c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5.75" customHeight="1">
      <c r="A195" s="35" t="str">
        <f>IFERROR(__xludf.DUMMYFUNCTION("""COMPUTED_VALUE"""),"30/03/2026 09:26:32")</f>
        <v>30/03/2026 09:26:32</v>
      </c>
      <c r="B195" s="35" t="str">
        <f>IFERROR(__xludf.DUMMYFUNCTION("""COMPUTED_VALUE"""),"3")</f>
        <v>3</v>
      </c>
      <c r="C195" s="36" t="str">
        <f>IFERROR(__xludf.DUMMYFUNCTION("""COMPUTED_VALUE"""),"BELLA MARIA DA SILVA ARAÚJO")</f>
        <v>BELLA MARIA DA SILVA ARAÚJO</v>
      </c>
      <c r="D195" s="35" t="str">
        <f>IFERROR(__xludf.DUMMYFUNCTION("""COMPUTED_VALUE"""),"03/04/2024")</f>
        <v>03/04/2024</v>
      </c>
      <c r="E195" s="35" t="str">
        <f>IFERROR(__xludf.DUMMYFUNCTION("""COMPUTED_VALUE"""),"002.551.834-88")</f>
        <v>002.551.834-88</v>
      </c>
      <c r="F195" s="35" t="str">
        <f>IFERROR(__xludf.DUMMYFUNCTION("""COMPUTED_VALUE"""),"INFANTIL 1")</f>
        <v>INFANTIL 1</v>
      </c>
      <c r="G195" s="35" t="str">
        <f>IFERROR(__xludf.DUMMYFUNCTION("""COMPUTED_VALUE"""),"CRECHE CIRANDA CIRANDINHA")</f>
        <v>CRECHE CIRANDA CIRANDINHA</v>
      </c>
      <c r="H195" s="35" t="str">
        <f>IFERROR(__xludf.DUMMYFUNCTION("""COMPUTED_VALUE"""),"REGIONAL 1")</f>
        <v>REGIONAL 1</v>
      </c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5.75" customHeight="1">
      <c r="A196" s="35" t="str">
        <f>IFERROR(__xludf.DUMMYFUNCTION("""COMPUTED_VALUE"""),"30/03/2026 09:26:32")</f>
        <v>30/03/2026 09:26:32</v>
      </c>
      <c r="B196" s="35" t="str">
        <f>IFERROR(__xludf.DUMMYFUNCTION("""COMPUTED_VALUE"""),"4")</f>
        <v>4</v>
      </c>
      <c r="C196" s="36" t="str">
        <f>IFERROR(__xludf.DUMMYFUNCTION("""COMPUTED_VALUE"""),"BERNARDO JOSÉ DA SILVA ARAÚJO")</f>
        <v>BERNARDO JOSÉ DA SILVA ARAÚJO</v>
      </c>
      <c r="D196" s="35" t="str">
        <f>IFERROR(__xludf.DUMMYFUNCTION("""COMPUTED_VALUE"""),"03/04/2024")</f>
        <v>03/04/2024</v>
      </c>
      <c r="E196" s="35" t="str">
        <f>IFERROR(__xludf.DUMMYFUNCTION("""COMPUTED_VALUE"""),"002.551.294-32")</f>
        <v>002.551.294-32</v>
      </c>
      <c r="F196" s="35" t="str">
        <f>IFERROR(__xludf.DUMMYFUNCTION("""COMPUTED_VALUE"""),"INFANTIL 1")</f>
        <v>INFANTIL 1</v>
      </c>
      <c r="G196" s="35" t="str">
        <f>IFERROR(__xludf.DUMMYFUNCTION("""COMPUTED_VALUE"""),"CRECHE CIRANDA CIRANDINHA")</f>
        <v>CRECHE CIRANDA CIRANDINHA</v>
      </c>
      <c r="H196" s="35" t="str">
        <f>IFERROR(__xludf.DUMMYFUNCTION("""COMPUTED_VALUE"""),"REGIONAL 1")</f>
        <v>REGIONAL 1</v>
      </c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5.75" customHeight="1">
      <c r="A197" s="35" t="str">
        <f>IFERROR(__xludf.DUMMYFUNCTION("""COMPUTED_VALUE"""),"29/04/2026 14:37:28")</f>
        <v>29/04/2026 14:37:28</v>
      </c>
      <c r="B197" s="35" t="str">
        <f>IFERROR(__xludf.DUMMYFUNCTION("""COMPUTED_VALUE"""),"5")</f>
        <v>5</v>
      </c>
      <c r="C197" s="36" t="str">
        <f>IFERROR(__xludf.DUMMYFUNCTION("""COMPUTED_VALUE"""),"KAUE RAVI BATISTA DO BOMFIM")</f>
        <v>KAUE RAVI BATISTA DO BOMFIM</v>
      </c>
      <c r="D197" s="35" t="str">
        <f>IFERROR(__xludf.DUMMYFUNCTION("""COMPUTED_VALUE"""),"14/01/2025")</f>
        <v>14/01/2025</v>
      </c>
      <c r="E197" s="35" t="str">
        <f>IFERROR(__xludf.DUMMYFUNCTION("""COMPUTED_VALUE"""),"006.037.364-40")</f>
        <v>006.037.364-40</v>
      </c>
      <c r="F197" s="35" t="str">
        <f>IFERROR(__xludf.DUMMYFUNCTION("""COMPUTED_VALUE"""),"INFANTIL 1")</f>
        <v>INFANTIL 1</v>
      </c>
      <c r="G197" s="35" t="str">
        <f>IFERROR(__xludf.DUMMYFUNCTION("""COMPUTED_VALUE"""),"CRECHE CIRANDA CIRANDINHA")</f>
        <v>CRECHE CIRANDA CIRANDINHA</v>
      </c>
      <c r="H197" s="35" t="str">
        <f>IFERROR(__xludf.DUMMYFUNCTION("""COMPUTED_VALUE"""),"REGIONAL 1")</f>
        <v>REGIONAL 1</v>
      </c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5.75" customHeight="1">
      <c r="A198" s="35" t="str">
        <f>IFERROR(__xludf.DUMMYFUNCTION("""COMPUTED_VALUE"""),"28/05/2026 16:17:10")</f>
        <v>28/05/2026 16:17:10</v>
      </c>
      <c r="B198" s="35" t="str">
        <f>IFERROR(__xludf.DUMMYFUNCTION("""COMPUTED_VALUE"""),"6")</f>
        <v>6</v>
      </c>
      <c r="C198" s="36" t="str">
        <f>IFERROR(__xludf.DUMMYFUNCTION("""COMPUTED_VALUE"""),"HELENA CECÍLIA RAIMUNDO GOMES")</f>
        <v>HELENA CECÍLIA RAIMUNDO GOMES</v>
      </c>
      <c r="D198" s="35" t="str">
        <f>IFERROR(__xludf.DUMMYFUNCTION("""COMPUTED_VALUE"""),"02/12/2024")</f>
        <v>02/12/2024</v>
      </c>
      <c r="E198" s="35" t="str">
        <f>IFERROR(__xludf.DUMMYFUNCTION("""COMPUTED_VALUE"""),"004.781.934-08")</f>
        <v>004.781.934-08</v>
      </c>
      <c r="F198" s="35" t="str">
        <f>IFERROR(__xludf.DUMMYFUNCTION("""COMPUTED_VALUE"""),"INFANTIL 1")</f>
        <v>INFANTIL 1</v>
      </c>
      <c r="G198" s="35" t="str">
        <f>IFERROR(__xludf.DUMMYFUNCTION("""COMPUTED_VALUE"""),"CRECHE CIRANDA CIRANDINHA")</f>
        <v>CRECHE CIRANDA CIRANDINHA</v>
      </c>
      <c r="H198" s="35" t="str">
        <f>IFERROR(__xludf.DUMMYFUNCTION("""COMPUTED_VALUE"""),"REGIONAL 1")</f>
        <v>REGIONAL 1</v>
      </c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5.75" customHeight="1">
      <c r="A199" s="35" t="str">
        <f>IFERROR(__xludf.DUMMYFUNCTION("""COMPUTED_VALUE"""),"01/06/2026 12:23:26")</f>
        <v>01/06/2026 12:23:26</v>
      </c>
      <c r="B199" s="35" t="str">
        <f>IFERROR(__xludf.DUMMYFUNCTION("""COMPUTED_VALUE"""),"7")</f>
        <v>7</v>
      </c>
      <c r="C199" s="36" t="str">
        <f>IFERROR(__xludf.DUMMYFUNCTION("""COMPUTED_VALUE"""),"Aurora Beatriz Freitas Rodrigues")</f>
        <v>Aurora Beatriz Freitas Rodrigues</v>
      </c>
      <c r="D199" s="35" t="str">
        <f>IFERROR(__xludf.DUMMYFUNCTION("""COMPUTED_VALUE"""),"27/06/2025")</f>
        <v>27/06/2025</v>
      </c>
      <c r="E199" s="35" t="str">
        <f>IFERROR(__xludf.DUMMYFUNCTION("""COMPUTED_VALUE"""),"006.752.714-01")</f>
        <v>006.752.714-01</v>
      </c>
      <c r="F199" s="35" t="str">
        <f>IFERROR(__xludf.DUMMYFUNCTION("""COMPUTED_VALUE"""),"INFANTIL 1")</f>
        <v>INFANTIL 1</v>
      </c>
      <c r="G199" s="35" t="str">
        <f>IFERROR(__xludf.DUMMYFUNCTION("""COMPUTED_VALUE"""),"CRECHE CIRANDA CIRANDINHA")</f>
        <v>CRECHE CIRANDA CIRANDINHA</v>
      </c>
      <c r="H199" s="35" t="str">
        <f>IFERROR(__xludf.DUMMYFUNCTION("""COMPUTED_VALUE"""),"REGIONAL 1")</f>
        <v>REGIONAL 1</v>
      </c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5.75" customHeight="1">
      <c r="A200" s="35" t="str">
        <f>IFERROR(__xludf.DUMMYFUNCTION("""COMPUTED_VALUE"""),"19/06/2026 10:54:15")</f>
        <v>19/06/2026 10:54:15</v>
      </c>
      <c r="B200" s="35" t="str">
        <f>IFERROR(__xludf.DUMMYFUNCTION("""COMPUTED_VALUE"""),"8")</f>
        <v>8</v>
      </c>
      <c r="C200" s="36" t="str">
        <f>IFERROR(__xludf.DUMMYFUNCTION("""COMPUTED_VALUE"""),"Micael Luiz caldas farias")</f>
        <v>Micael Luiz caldas farias</v>
      </c>
      <c r="D200" s="35" t="str">
        <f>IFERROR(__xludf.DUMMYFUNCTION("""COMPUTED_VALUE"""),"28/07/2025")</f>
        <v>28/07/2025</v>
      </c>
      <c r="E200" s="35" t="str">
        <f>IFERROR(__xludf.DUMMYFUNCTION("""COMPUTED_VALUE"""),"007.154.064-42")</f>
        <v>007.154.064-42</v>
      </c>
      <c r="F200" s="35" t="str">
        <f>IFERROR(__xludf.DUMMYFUNCTION("""COMPUTED_VALUE"""),"INFANTIL 1")</f>
        <v>INFANTIL 1</v>
      </c>
      <c r="G200" s="35" t="str">
        <f>IFERROR(__xludf.DUMMYFUNCTION("""COMPUTED_VALUE"""),"CRECHE CIRANDA CIRANDINHA")</f>
        <v>CRECHE CIRANDA CIRANDINHA</v>
      </c>
      <c r="H200" s="35" t="str">
        <f>IFERROR(__xludf.DUMMYFUNCTION("""COMPUTED_VALUE"""),"REGIONAL 1")</f>
        <v>REGIONAL 1</v>
      </c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5.75" customHeight="1">
      <c r="A201" s="35" t="str">
        <f>IFERROR(__xludf.DUMMYFUNCTION("""COMPUTED_VALUE"""),"02/02/2026 14:50:25")</f>
        <v>02/02/2026 14:50:25</v>
      </c>
      <c r="B201" s="35" t="str">
        <f>IFERROR(__xludf.DUMMYFUNCTION("""COMPUTED_VALUE"""),"1")</f>
        <v>1</v>
      </c>
      <c r="C201" s="36" t="str">
        <f>IFERROR(__xludf.DUMMYFUNCTION("""COMPUTED_VALUE"""),"ALYCIA THAUANA ALBUQUERQUE MOURA DE MELO")</f>
        <v>ALYCIA THAUANA ALBUQUERQUE MOURA DE MELO</v>
      </c>
      <c r="D201" s="35" t="str">
        <f>IFERROR(__xludf.DUMMYFUNCTION("""COMPUTED_VALUE"""),"04/10/2023")</f>
        <v>04/10/2023</v>
      </c>
      <c r="E201" s="35" t="str">
        <f>IFERROR(__xludf.DUMMYFUNCTION("""COMPUTED_VALUE"""),"000.874.154-96")</f>
        <v>000.874.154-96</v>
      </c>
      <c r="F201" s="35" t="str">
        <f>IFERROR(__xludf.DUMMYFUNCTION("""COMPUTED_VALUE"""),"INFANTIL 2")</f>
        <v>INFANTIL 2</v>
      </c>
      <c r="G201" s="35" t="str">
        <f>IFERROR(__xludf.DUMMYFUNCTION("""COMPUTED_VALUE"""),"CRECHE CIRANDA CIRANDINHA")</f>
        <v>CRECHE CIRANDA CIRANDINHA</v>
      </c>
      <c r="H201" s="35" t="str">
        <f>IFERROR(__xludf.DUMMYFUNCTION("""COMPUTED_VALUE"""),"REGIONAL 1")</f>
        <v>REGIONAL 1</v>
      </c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5.75" customHeight="1">
      <c r="A202" s="35" t="str">
        <f>IFERROR(__xludf.DUMMYFUNCTION("""COMPUTED_VALUE"""),"09/02/2026 08:21:00")</f>
        <v>09/02/2026 08:21:00</v>
      </c>
      <c r="B202" s="35" t="str">
        <f>IFERROR(__xludf.DUMMYFUNCTION("""COMPUTED_VALUE"""),"2")</f>
        <v>2</v>
      </c>
      <c r="C202" s="36" t="str">
        <f>IFERROR(__xludf.DUMMYFUNCTION("""COMPUTED_VALUE"""),"ELOÁH VITORIA GOMES VASCONCELOS")</f>
        <v>ELOÁH VITORIA GOMES VASCONCELOS</v>
      </c>
      <c r="D202" s="35" t="str">
        <f>IFERROR(__xludf.DUMMYFUNCTION("""COMPUTED_VALUE"""),"15/07/2023")</f>
        <v>15/07/2023</v>
      </c>
      <c r="E202" s="35" t="str">
        <f>IFERROR(__xludf.DUMMYFUNCTION("""COMPUTED_VALUE"""),"186.021.224-70")</f>
        <v>186.021.224-70</v>
      </c>
      <c r="F202" s="35" t="str">
        <f>IFERROR(__xludf.DUMMYFUNCTION("""COMPUTED_VALUE"""),"INFANTIL 2")</f>
        <v>INFANTIL 2</v>
      </c>
      <c r="G202" s="35" t="str">
        <f>IFERROR(__xludf.DUMMYFUNCTION("""COMPUTED_VALUE"""),"CRECHE CIRANDA CIRANDINHA")</f>
        <v>CRECHE CIRANDA CIRANDINHA</v>
      </c>
      <c r="H202" s="35" t="str">
        <f>IFERROR(__xludf.DUMMYFUNCTION("""COMPUTED_VALUE"""),"REGIONAL 1")</f>
        <v>REGIONAL 1</v>
      </c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5.75" customHeight="1">
      <c r="A203" s="35" t="str">
        <f>IFERROR(__xludf.DUMMYFUNCTION("""COMPUTED_VALUE"""),"15/05/2026 16:29:07")</f>
        <v>15/05/2026 16:29:07</v>
      </c>
      <c r="B203" s="35" t="str">
        <f>IFERROR(__xludf.DUMMYFUNCTION("""COMPUTED_VALUE"""),"3")</f>
        <v>3</v>
      </c>
      <c r="C203" s="36" t="str">
        <f>IFERROR(__xludf.DUMMYFUNCTION("""COMPUTED_VALUE"""),"ALANA MARIA LOPES DA SILVA")</f>
        <v>ALANA MARIA LOPES DA SILVA</v>
      </c>
      <c r="D203" s="35" t="str">
        <f>IFERROR(__xludf.DUMMYFUNCTION("""COMPUTED_VALUE"""),"18/02/2024")</f>
        <v>18/02/2024</v>
      </c>
      <c r="E203" s="35" t="str">
        <f>IFERROR(__xludf.DUMMYFUNCTION("""COMPUTED_VALUE"""),"002.579.874-01")</f>
        <v>002.579.874-01</v>
      </c>
      <c r="F203" s="35" t="str">
        <f>IFERROR(__xludf.DUMMYFUNCTION("""COMPUTED_VALUE"""),"INFANTIL 2")</f>
        <v>INFANTIL 2</v>
      </c>
      <c r="G203" s="35" t="str">
        <f>IFERROR(__xludf.DUMMYFUNCTION("""COMPUTED_VALUE"""),"CRECHE CIRANDA CIRANDINHA")</f>
        <v>CRECHE CIRANDA CIRANDINHA</v>
      </c>
      <c r="H203" s="35" t="str">
        <f>IFERROR(__xludf.DUMMYFUNCTION("""COMPUTED_VALUE"""),"REGIONAL 1")</f>
        <v>REGIONAL 1</v>
      </c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5.75" customHeight="1">
      <c r="A204" s="35" t="str">
        <f>IFERROR(__xludf.DUMMYFUNCTION("""COMPUTED_VALUE"""),"26/05/2026 14:30:52")</f>
        <v>26/05/2026 14:30:52</v>
      </c>
      <c r="B204" s="35" t="str">
        <f>IFERROR(__xludf.DUMMYFUNCTION("""COMPUTED_VALUE"""),"4")</f>
        <v>4</v>
      </c>
      <c r="C204" s="36" t="str">
        <f>IFERROR(__xludf.DUMMYFUNCTION("""COMPUTED_VALUE"""),"RHAVI VICTOR RIBEIRO DO NASCIMENTO")</f>
        <v>RHAVI VICTOR RIBEIRO DO NASCIMENTO</v>
      </c>
      <c r="D204" s="35" t="str">
        <f>IFERROR(__xludf.DUMMYFUNCTION("""COMPUTED_VALUE"""),"20/05/2023")</f>
        <v>20/05/2023</v>
      </c>
      <c r="E204" s="35" t="str">
        <f>IFERROR(__xludf.DUMMYFUNCTION("""COMPUTED_VALUE"""),"000.875.144-78")</f>
        <v>000.875.144-78</v>
      </c>
      <c r="F204" s="35" t="str">
        <f>IFERROR(__xludf.DUMMYFUNCTION("""COMPUTED_VALUE"""),"INFANTIL 2")</f>
        <v>INFANTIL 2</v>
      </c>
      <c r="G204" s="35" t="str">
        <f>IFERROR(__xludf.DUMMYFUNCTION("""COMPUTED_VALUE"""),"CRECHE CIRANDA CIRANDINHA")</f>
        <v>CRECHE CIRANDA CIRANDINHA</v>
      </c>
      <c r="H204" s="35" t="str">
        <f>IFERROR(__xludf.DUMMYFUNCTION("""COMPUTED_VALUE"""),"REGIONAL 1")</f>
        <v>REGIONAL 1</v>
      </c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5.75" customHeight="1">
      <c r="A205" s="35" t="str">
        <f>IFERROR(__xludf.DUMMYFUNCTION("""COMPUTED_VALUE"""),"28/01/2026 08:23:25")</f>
        <v>28/01/2026 08:23:25</v>
      </c>
      <c r="B205" s="35" t="str">
        <f>IFERROR(__xludf.DUMMYFUNCTION("""COMPUTED_VALUE"""),"1")</f>
        <v>1</v>
      </c>
      <c r="C205" s="36" t="str">
        <f>IFERROR(__xludf.DUMMYFUNCTION("""COMPUTED_VALUE"""),"LUCAS MIGUEL DA SILVA NOBRE")</f>
        <v>LUCAS MIGUEL DA SILVA NOBRE</v>
      </c>
      <c r="D205" s="35" t="str">
        <f>IFERROR(__xludf.DUMMYFUNCTION("""COMPUTED_VALUE"""),"18/02/2023")</f>
        <v>18/02/2023</v>
      </c>
      <c r="E205" s="35" t="str">
        <f>IFERROR(__xludf.DUMMYFUNCTION("""COMPUTED_VALUE"""),"184.637.614-96")</f>
        <v>184.637.614-96</v>
      </c>
      <c r="F205" s="35" t="str">
        <f>IFERROR(__xludf.DUMMYFUNCTION("""COMPUTED_VALUE"""),"INFANTIL 3")</f>
        <v>INFANTIL 3</v>
      </c>
      <c r="G205" s="35" t="str">
        <f>IFERROR(__xludf.DUMMYFUNCTION("""COMPUTED_VALUE"""),"CRECHE CIRANDA CIRANDINHA")</f>
        <v>CRECHE CIRANDA CIRANDINHA</v>
      </c>
      <c r="H205" s="35" t="str">
        <f>IFERROR(__xludf.DUMMYFUNCTION("""COMPUTED_VALUE"""),"REGIONAL 1")</f>
        <v>REGIONAL 1</v>
      </c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5.75" customHeight="1">
      <c r="A206" s="35" t="str">
        <f>IFERROR(__xludf.DUMMYFUNCTION("""COMPUTED_VALUE"""),"30/01/2026 09:24:54")</f>
        <v>30/01/2026 09:24:54</v>
      </c>
      <c r="B206" s="35" t="str">
        <f>IFERROR(__xludf.DUMMYFUNCTION("""COMPUTED_VALUE"""),"2")</f>
        <v>2</v>
      </c>
      <c r="C206" s="36" t="str">
        <f>IFERROR(__xludf.DUMMYFUNCTION("""COMPUTED_VALUE"""),"KAMYLY VALÉRIA MARTINS DOS SANTOS")</f>
        <v>KAMYLY VALÉRIA MARTINS DOS SANTOS</v>
      </c>
      <c r="D206" s="35" t="str">
        <f>IFERROR(__xludf.DUMMYFUNCTION("""COMPUTED_VALUE"""),"27/06/2022")</f>
        <v>27/06/2022</v>
      </c>
      <c r="E206" s="35" t="str">
        <f>IFERROR(__xludf.DUMMYFUNCTION("""COMPUTED_VALUE"""),"182.750.634-26")</f>
        <v>182.750.634-26</v>
      </c>
      <c r="F206" s="35" t="str">
        <f>IFERROR(__xludf.DUMMYFUNCTION("""COMPUTED_VALUE"""),"INFANTIL 3")</f>
        <v>INFANTIL 3</v>
      </c>
      <c r="G206" s="35" t="str">
        <f>IFERROR(__xludf.DUMMYFUNCTION("""COMPUTED_VALUE"""),"CRECHE CIRANDA CIRANDINHA")</f>
        <v>CRECHE CIRANDA CIRANDINHA</v>
      </c>
      <c r="H206" s="35" t="str">
        <f>IFERROR(__xludf.DUMMYFUNCTION("""COMPUTED_VALUE"""),"REGIONAL 1")</f>
        <v>REGIONAL 1</v>
      </c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5.75" customHeight="1">
      <c r="A207" s="35" t="str">
        <f>IFERROR(__xludf.DUMMYFUNCTION("""COMPUTED_VALUE"""),"02/02/2026 11:47:44")</f>
        <v>02/02/2026 11:47:44</v>
      </c>
      <c r="B207" s="35" t="str">
        <f>IFERROR(__xludf.DUMMYFUNCTION("""COMPUTED_VALUE"""),"3")</f>
        <v>3</v>
      </c>
      <c r="C207" s="36" t="str">
        <f>IFERROR(__xludf.DUMMYFUNCTION("""COMPUTED_VALUE"""),"CLARICE HELOISE ALVES FERREIRA")</f>
        <v>CLARICE HELOISE ALVES FERREIRA</v>
      </c>
      <c r="D207" s="35" t="str">
        <f>IFERROR(__xludf.DUMMYFUNCTION("""COMPUTED_VALUE"""),"29/01/2023")</f>
        <v>29/01/2023</v>
      </c>
      <c r="E207" s="35" t="str">
        <f>IFERROR(__xludf.DUMMYFUNCTION("""COMPUTED_VALUE"""),"185.926.924-90")</f>
        <v>185.926.924-90</v>
      </c>
      <c r="F207" s="35" t="str">
        <f>IFERROR(__xludf.DUMMYFUNCTION("""COMPUTED_VALUE"""),"INFANTIL 3")</f>
        <v>INFANTIL 3</v>
      </c>
      <c r="G207" s="35" t="str">
        <f>IFERROR(__xludf.DUMMYFUNCTION("""COMPUTED_VALUE"""),"CRECHE CIRANDA CIRANDINHA")</f>
        <v>CRECHE CIRANDA CIRANDINHA</v>
      </c>
      <c r="H207" s="35" t="str">
        <f>IFERROR(__xludf.DUMMYFUNCTION("""COMPUTED_VALUE"""),"REGIONAL 1")</f>
        <v>REGIONAL 1</v>
      </c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5.75" customHeight="1">
      <c r="A208" s="35" t="str">
        <f>IFERROR(__xludf.DUMMYFUNCTION("""COMPUTED_VALUE"""),"09/02/2026 19:24:03")</f>
        <v>09/02/2026 19:24:03</v>
      </c>
      <c r="B208" s="35" t="str">
        <f>IFERROR(__xludf.DUMMYFUNCTION("""COMPUTED_VALUE"""),"4")</f>
        <v>4</v>
      </c>
      <c r="C208" s="36" t="str">
        <f>IFERROR(__xludf.DUMMYFUNCTION("""COMPUTED_VALUE"""),"THAYLLANE ALLANA OLIVEIRA SILVA")</f>
        <v>THAYLLANE ALLANA OLIVEIRA SILVA</v>
      </c>
      <c r="D208" s="35" t="str">
        <f>IFERROR(__xludf.DUMMYFUNCTION("""COMPUTED_VALUE"""),"29/01/2023")</f>
        <v>29/01/2023</v>
      </c>
      <c r="E208" s="35" t="str">
        <f>IFERROR(__xludf.DUMMYFUNCTION("""COMPUTED_VALUE"""),"184.525.014-12")</f>
        <v>184.525.014-12</v>
      </c>
      <c r="F208" s="35" t="str">
        <f>IFERROR(__xludf.DUMMYFUNCTION("""COMPUTED_VALUE"""),"INFANTIL 3")</f>
        <v>INFANTIL 3</v>
      </c>
      <c r="G208" s="35" t="str">
        <f>IFERROR(__xludf.DUMMYFUNCTION("""COMPUTED_VALUE"""),"CRECHE CIRANDA CIRANDINHA")</f>
        <v>CRECHE CIRANDA CIRANDINHA</v>
      </c>
      <c r="H208" s="35" t="str">
        <f>IFERROR(__xludf.DUMMYFUNCTION("""COMPUTED_VALUE"""),"REGIONAL 1")</f>
        <v>REGIONAL 1</v>
      </c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5.75" customHeight="1">
      <c r="A209" s="35" t="str">
        <f>IFERROR(__xludf.DUMMYFUNCTION("""COMPUTED_VALUE"""),"26/02/2026 23:38:28")</f>
        <v>26/02/2026 23:38:28</v>
      </c>
      <c r="B209" s="35" t="str">
        <f>IFERROR(__xludf.DUMMYFUNCTION("""COMPUTED_VALUE"""),"5")</f>
        <v>5</v>
      </c>
      <c r="C209" s="36" t="str">
        <f>IFERROR(__xludf.DUMMYFUNCTION("""COMPUTED_VALUE"""),"CALEFFI EPITACIO DOS SANTOS ROCHA")</f>
        <v>CALEFFI EPITACIO DOS SANTOS ROCHA</v>
      </c>
      <c r="D209" s="35" t="str">
        <f>IFERROR(__xludf.DUMMYFUNCTION("""COMPUTED_VALUE"""),"04/06/2022")</f>
        <v>04/06/2022</v>
      </c>
      <c r="E209" s="35" t="str">
        <f>IFERROR(__xludf.DUMMYFUNCTION("""COMPUTED_VALUE"""),"181.851.404-48")</f>
        <v>181.851.404-48</v>
      </c>
      <c r="F209" s="35" t="str">
        <f>IFERROR(__xludf.DUMMYFUNCTION("""COMPUTED_VALUE"""),"INFANTIL 3")</f>
        <v>INFANTIL 3</v>
      </c>
      <c r="G209" s="35" t="str">
        <f>IFERROR(__xludf.DUMMYFUNCTION("""COMPUTED_VALUE"""),"CRECHE CIRANDA CIRANDINHA")</f>
        <v>CRECHE CIRANDA CIRANDINHA</v>
      </c>
      <c r="H209" s="35" t="str">
        <f>IFERROR(__xludf.DUMMYFUNCTION("""COMPUTED_VALUE"""),"REGIONAL 1")</f>
        <v>REGIONAL 1</v>
      </c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5.75" customHeight="1">
      <c r="A210" s="35" t="str">
        <f>IFERROR(__xludf.DUMMYFUNCTION("""COMPUTED_VALUE"""),"24/03/2026 10:37:29")</f>
        <v>24/03/2026 10:37:29</v>
      </c>
      <c r="B210" s="35" t="str">
        <f>IFERROR(__xludf.DUMMYFUNCTION("""COMPUTED_VALUE"""),"6")</f>
        <v>6</v>
      </c>
      <c r="C210" s="36" t="str">
        <f>IFERROR(__xludf.DUMMYFUNCTION("""COMPUTED_VALUE"""),"RICARDO MATEUS SILVA CAVALCANTE FELIX")</f>
        <v>RICARDO MATEUS SILVA CAVALCANTE FELIX</v>
      </c>
      <c r="D210" s="35" t="str">
        <f>IFERROR(__xludf.DUMMYFUNCTION("""COMPUTED_VALUE"""),"20/08/2022")</f>
        <v>20/08/2022</v>
      </c>
      <c r="E210" s="35" t="str">
        <f>IFERROR(__xludf.DUMMYFUNCTION("""COMPUTED_VALUE"""),"182.595.494-17")</f>
        <v>182.595.494-17</v>
      </c>
      <c r="F210" s="35" t="str">
        <f>IFERROR(__xludf.DUMMYFUNCTION("""COMPUTED_VALUE"""),"INFANTIL 3")</f>
        <v>INFANTIL 3</v>
      </c>
      <c r="G210" s="35" t="str">
        <f>IFERROR(__xludf.DUMMYFUNCTION("""COMPUTED_VALUE"""),"CRECHE CIRANDA CIRANDINHA")</f>
        <v>CRECHE CIRANDA CIRANDINHA</v>
      </c>
      <c r="H210" s="35" t="str">
        <f>IFERROR(__xludf.DUMMYFUNCTION("""COMPUTED_VALUE"""),"REGIONAL 1")</f>
        <v>REGIONAL 1</v>
      </c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5.75" customHeight="1">
      <c r="A211" s="35" t="str">
        <f>IFERROR(__xludf.DUMMYFUNCTION("""COMPUTED_VALUE"""),"23/04/2026 12:52:15")</f>
        <v>23/04/2026 12:52:15</v>
      </c>
      <c r="B211" s="35" t="str">
        <f>IFERROR(__xludf.DUMMYFUNCTION("""COMPUTED_VALUE"""),"7")</f>
        <v>7</v>
      </c>
      <c r="C211" s="36" t="str">
        <f>IFERROR(__xludf.DUMMYFUNCTION("""COMPUTED_VALUE"""),"YKARO MIGUEL DA SILVA GONÇALVES")</f>
        <v>YKARO MIGUEL DA SILVA GONÇALVES</v>
      </c>
      <c r="D211" s="35" t="str">
        <f>IFERROR(__xludf.DUMMYFUNCTION("""COMPUTED_VALUE"""),"20/05/2022")</f>
        <v>20/05/2022</v>
      </c>
      <c r="E211" s="35" t="str">
        <f>IFERROR(__xludf.DUMMYFUNCTION("""COMPUTED_VALUE"""),"181.678.504-04")</f>
        <v>181.678.504-04</v>
      </c>
      <c r="F211" s="35" t="str">
        <f>IFERROR(__xludf.DUMMYFUNCTION("""COMPUTED_VALUE"""),"INFANTIL 3")</f>
        <v>INFANTIL 3</v>
      </c>
      <c r="G211" s="35" t="str">
        <f>IFERROR(__xludf.DUMMYFUNCTION("""COMPUTED_VALUE"""),"CRECHE CIRANDA CIRANDINHA")</f>
        <v>CRECHE CIRANDA CIRANDINHA</v>
      </c>
      <c r="H211" s="35" t="str">
        <f>IFERROR(__xludf.DUMMYFUNCTION("""COMPUTED_VALUE"""),"REGIONAL 1")</f>
        <v>REGIONAL 1</v>
      </c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5.75" customHeight="1">
      <c r="A212" s="35" t="str">
        <f>IFERROR(__xludf.DUMMYFUNCTION("""COMPUTED_VALUE"""),"08/04/2026 10:22:51")</f>
        <v>08/04/2026 10:22:51</v>
      </c>
      <c r="B212" s="35" t="str">
        <f>IFERROR(__xludf.DUMMYFUNCTION("""COMPUTED_VALUE"""),"1")</f>
        <v>1</v>
      </c>
      <c r="C212" s="36" t="str">
        <f>IFERROR(__xludf.DUMMYFUNCTION("""COMPUTED_VALUE"""),"AQUILES ALEXANDRE RODRIGUES DA SILVA")</f>
        <v>AQUILES ALEXANDRE RODRIGUES DA SILVA</v>
      </c>
      <c r="D212" s="35" t="str">
        <f>IFERROR(__xludf.DUMMYFUNCTION("""COMPUTED_VALUE"""),"29/07/2025")</f>
        <v>29/07/2025</v>
      </c>
      <c r="E212" s="35" t="str">
        <f>IFERROR(__xludf.DUMMYFUNCTION("""COMPUTED_VALUE"""),"006.893.874-82")</f>
        <v>006.893.874-82</v>
      </c>
      <c r="F212" s="35" t="str">
        <f>IFERROR(__xludf.DUMMYFUNCTION("""COMPUTED_VALUE"""),"INFANTIL 1")</f>
        <v>INFANTIL 1</v>
      </c>
      <c r="G212" s="35" t="str">
        <f>IFERROR(__xludf.DUMMYFUNCTION("""COMPUTED_VALUE"""),"CRECHE MERCIA DE ALBUQUERQUE")</f>
        <v>CRECHE MERCIA DE ALBUQUERQUE</v>
      </c>
      <c r="H212" s="35" t="str">
        <f>IFERROR(__xludf.DUMMYFUNCTION("""COMPUTED_VALUE"""),"REGIONAL 6")</f>
        <v>REGIONAL 6</v>
      </c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5.75" customHeight="1">
      <c r="A213" s="35" t="str">
        <f>IFERROR(__xludf.DUMMYFUNCTION("""COMPUTED_VALUE"""),"11/04/2026 18:35:35")</f>
        <v>11/04/2026 18:35:35</v>
      </c>
      <c r="B213" s="35" t="str">
        <f>IFERROR(__xludf.DUMMYFUNCTION("""COMPUTED_VALUE"""),"2")</f>
        <v>2</v>
      </c>
      <c r="C213" s="36" t="str">
        <f>IFERROR(__xludf.DUMMYFUNCTION("""COMPUTED_VALUE"""),"ESTHER GABRIELY OLIVEIRA DA SILVA")</f>
        <v>ESTHER GABRIELY OLIVEIRA DA SILVA</v>
      </c>
      <c r="D213" s="35" t="str">
        <f>IFERROR(__xludf.DUMMYFUNCTION("""COMPUTED_VALUE"""),"24/08/2025")</f>
        <v>24/08/2025</v>
      </c>
      <c r="E213" s="35" t="str">
        <f>IFERROR(__xludf.DUMMYFUNCTION("""COMPUTED_VALUE"""),"713.786.274-82")</f>
        <v>713.786.274-82</v>
      </c>
      <c r="F213" s="35" t="str">
        <f>IFERROR(__xludf.DUMMYFUNCTION("""COMPUTED_VALUE"""),"INFANTIL 1")</f>
        <v>INFANTIL 1</v>
      </c>
      <c r="G213" s="35" t="str">
        <f>IFERROR(__xludf.DUMMYFUNCTION("""COMPUTED_VALUE"""),"CRECHE MERCIA DE ALBUQUERQUE")</f>
        <v>CRECHE MERCIA DE ALBUQUERQUE</v>
      </c>
      <c r="H213" s="35" t="str">
        <f>IFERROR(__xludf.DUMMYFUNCTION("""COMPUTED_VALUE"""),"REGIONAL 6")</f>
        <v>REGIONAL 6</v>
      </c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5.75" customHeight="1">
      <c r="A214" s="35" t="str">
        <f>IFERROR(__xludf.DUMMYFUNCTION("""COMPUTED_VALUE"""),"04/05/2026 08:16:27")</f>
        <v>04/05/2026 08:16:27</v>
      </c>
      <c r="B214" s="35" t="str">
        <f>IFERROR(__xludf.DUMMYFUNCTION("""COMPUTED_VALUE"""),"3")</f>
        <v>3</v>
      </c>
      <c r="C214" s="36" t="str">
        <f>IFERROR(__xludf.DUMMYFUNCTION("""COMPUTED_VALUE"""),"KAIC CAINAN TOBIAS LEITE BOMFIM")</f>
        <v>KAIC CAINAN TOBIAS LEITE BOMFIM</v>
      </c>
      <c r="D214" s="35" t="str">
        <f>IFERROR(__xludf.DUMMYFUNCTION("""COMPUTED_VALUE"""),"24/08/2024")</f>
        <v>24/08/2024</v>
      </c>
      <c r="E214" s="35" t="str">
        <f>IFERROR(__xludf.DUMMYFUNCTION("""COMPUTED_VALUE"""),"003.941.314-44")</f>
        <v>003.941.314-44</v>
      </c>
      <c r="F214" s="35" t="str">
        <f>IFERROR(__xludf.DUMMYFUNCTION("""COMPUTED_VALUE"""),"INFANTIL 1")</f>
        <v>INFANTIL 1</v>
      </c>
      <c r="G214" s="35" t="str">
        <f>IFERROR(__xludf.DUMMYFUNCTION("""COMPUTED_VALUE"""),"CRECHE MERCIA DE ALBUQUERQUE")</f>
        <v>CRECHE MERCIA DE ALBUQUERQUE</v>
      </c>
      <c r="H214" s="35" t="str">
        <f>IFERROR(__xludf.DUMMYFUNCTION("""COMPUTED_VALUE"""),"REGIONAL 6")</f>
        <v>REGIONAL 6</v>
      </c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5.75" customHeight="1">
      <c r="A215" s="35" t="str">
        <f>IFERROR(__xludf.DUMMYFUNCTION("""COMPUTED_VALUE"""),"21/05/2026 14:53:13")</f>
        <v>21/05/2026 14:53:13</v>
      </c>
      <c r="B215" s="35" t="str">
        <f>IFERROR(__xludf.DUMMYFUNCTION("""COMPUTED_VALUE"""),"4")</f>
        <v>4</v>
      </c>
      <c r="C215" s="36" t="str">
        <f>IFERROR(__xludf.DUMMYFUNCTION("""COMPUTED_VALUE"""),"Erick Paes de Melo Ferreira")</f>
        <v>Erick Paes de Melo Ferreira</v>
      </c>
      <c r="D215" s="35" t="str">
        <f>IFERROR(__xludf.DUMMYFUNCTION("""COMPUTED_VALUE"""),"30/12/2025")</f>
        <v>30/12/2025</v>
      </c>
      <c r="E215" s="35" t="str">
        <f>IFERROR(__xludf.DUMMYFUNCTION("""COMPUTED_VALUE"""),"034.993.594-72")</f>
        <v>034.993.594-72</v>
      </c>
      <c r="F215" s="35" t="str">
        <f>IFERROR(__xludf.DUMMYFUNCTION("""COMPUTED_VALUE"""),"INFANTIL 1")</f>
        <v>INFANTIL 1</v>
      </c>
      <c r="G215" s="35" t="str">
        <f>IFERROR(__xludf.DUMMYFUNCTION("""COMPUTED_VALUE"""),"CRECHE MERCIA DE ALBUQUERQUE")</f>
        <v>CRECHE MERCIA DE ALBUQUERQUE</v>
      </c>
      <c r="H215" s="35" t="str">
        <f>IFERROR(__xludf.DUMMYFUNCTION("""COMPUTED_VALUE"""),"REGIONAL 6")</f>
        <v>REGIONAL 6</v>
      </c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5.75" customHeight="1">
      <c r="A216" s="35" t="str">
        <f>IFERROR(__xludf.DUMMYFUNCTION("""COMPUTED_VALUE"""),"08/06/2026 13:47:18")</f>
        <v>08/06/2026 13:47:18</v>
      </c>
      <c r="B216" s="35" t="str">
        <f>IFERROR(__xludf.DUMMYFUNCTION("""COMPUTED_VALUE"""),"5")</f>
        <v>5</v>
      </c>
      <c r="C216" s="36" t="str">
        <f>IFERROR(__xludf.DUMMYFUNCTION("""COMPUTED_VALUE"""),"Luís Miguel Barros Borges")</f>
        <v>Luís Miguel Barros Borges</v>
      </c>
      <c r="D216" s="35" t="str">
        <f>IFERROR(__xludf.DUMMYFUNCTION("""COMPUTED_VALUE"""),"11/02/2025")</f>
        <v>11/02/2025</v>
      </c>
      <c r="E216" s="35" t="str">
        <f>IFERROR(__xludf.DUMMYFUNCTION("""COMPUTED_VALUE"""),"005.346.544-01")</f>
        <v>005.346.544-01</v>
      </c>
      <c r="F216" s="35" t="str">
        <f>IFERROR(__xludf.DUMMYFUNCTION("""COMPUTED_VALUE"""),"INFANTIL 1")</f>
        <v>INFANTIL 1</v>
      </c>
      <c r="G216" s="35" t="str">
        <f>IFERROR(__xludf.DUMMYFUNCTION("""COMPUTED_VALUE"""),"CRECHE MERCIA DE ALBUQUERQUE")</f>
        <v>CRECHE MERCIA DE ALBUQUERQUE</v>
      </c>
      <c r="H216" s="35" t="str">
        <f>IFERROR(__xludf.DUMMYFUNCTION("""COMPUTED_VALUE"""),"REGIONAL 6")</f>
        <v>REGIONAL 6</v>
      </c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5.75" customHeight="1">
      <c r="A217" s="35" t="str">
        <f>IFERROR(__xludf.DUMMYFUNCTION("""COMPUTED_VALUE"""),"30/01/2026 10:49:18")</f>
        <v>30/01/2026 10:49:18</v>
      </c>
      <c r="B217" s="35" t="str">
        <f>IFERROR(__xludf.DUMMYFUNCTION("""COMPUTED_VALUE"""),"1")</f>
        <v>1</v>
      </c>
      <c r="C217" s="36" t="str">
        <f>IFERROR(__xludf.DUMMYFUNCTION("""COMPUTED_VALUE"""),"ELIZABETH CAVALCANTI")</f>
        <v>ELIZABETH CAVALCANTI</v>
      </c>
      <c r="D217" s="35" t="str">
        <f>IFERROR(__xludf.DUMMYFUNCTION("""COMPUTED_VALUE"""),"25/09/2023")</f>
        <v>25/09/2023</v>
      </c>
      <c r="E217" s="35" t="str">
        <f>IFERROR(__xludf.DUMMYFUNCTION("""COMPUTED_VALUE"""),"002.874.654-62")</f>
        <v>002.874.654-62</v>
      </c>
      <c r="F217" s="35" t="str">
        <f>IFERROR(__xludf.DUMMYFUNCTION("""COMPUTED_VALUE"""),"INFANTIL 2")</f>
        <v>INFANTIL 2</v>
      </c>
      <c r="G217" s="35" t="str">
        <f>IFERROR(__xludf.DUMMYFUNCTION("""COMPUTED_VALUE"""),"CRECHE MERCIA DE ALBUQUERQUE")</f>
        <v>CRECHE MERCIA DE ALBUQUERQUE</v>
      </c>
      <c r="H217" s="35" t="str">
        <f>IFERROR(__xludf.DUMMYFUNCTION("""COMPUTED_VALUE"""),"REGIONAL 6")</f>
        <v>REGIONAL 6</v>
      </c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5.75" customHeight="1">
      <c r="A218" s="35" t="str">
        <f>IFERROR(__xludf.DUMMYFUNCTION("""COMPUTED_VALUE"""),"02/03/2026 15:50:23")</f>
        <v>02/03/2026 15:50:23</v>
      </c>
      <c r="B218" s="35" t="str">
        <f>IFERROR(__xludf.DUMMYFUNCTION("""COMPUTED_VALUE"""),"2")</f>
        <v>2</v>
      </c>
      <c r="C218" s="36" t="str">
        <f>IFERROR(__xludf.DUMMYFUNCTION("""COMPUTED_VALUE"""),"JOSÉ HENRIQUE DA SILVA FILHO")</f>
        <v>JOSÉ HENRIQUE DA SILVA FILHO</v>
      </c>
      <c r="D218" s="35" t="str">
        <f>IFERROR(__xludf.DUMMYFUNCTION("""COMPUTED_VALUE"""),"25/07/2023")</f>
        <v>25/07/2023</v>
      </c>
      <c r="E218" s="35" t="str">
        <f>IFERROR(__xludf.DUMMYFUNCTION("""COMPUTED_VALUE"""),"186.055.224-29")</f>
        <v>186.055.224-29</v>
      </c>
      <c r="F218" s="35" t="str">
        <f>IFERROR(__xludf.DUMMYFUNCTION("""COMPUTED_VALUE"""),"INFANTIL 2")</f>
        <v>INFANTIL 2</v>
      </c>
      <c r="G218" s="35" t="str">
        <f>IFERROR(__xludf.DUMMYFUNCTION("""COMPUTED_VALUE"""),"CRECHE MERCIA DE ALBUQUERQUE")</f>
        <v>CRECHE MERCIA DE ALBUQUERQUE</v>
      </c>
      <c r="H218" s="35" t="str">
        <f>IFERROR(__xludf.DUMMYFUNCTION("""COMPUTED_VALUE"""),"REGIONAL 6")</f>
        <v>REGIONAL 6</v>
      </c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5.75" customHeight="1">
      <c r="A219" s="35" t="str">
        <f>IFERROR(__xludf.DUMMYFUNCTION("""COMPUTED_VALUE"""),"11/03/2026 07:47:14")</f>
        <v>11/03/2026 07:47:14</v>
      </c>
      <c r="B219" s="35" t="str">
        <f>IFERROR(__xludf.DUMMYFUNCTION("""COMPUTED_VALUE"""),"3")</f>
        <v>3</v>
      </c>
      <c r="C219" s="36" t="str">
        <f>IFERROR(__xludf.DUMMYFUNCTION("""COMPUTED_VALUE"""),"THEO DAVI BARBOSA DA SILVA")</f>
        <v>THEO DAVI BARBOSA DA SILVA</v>
      </c>
      <c r="D219" s="35" t="str">
        <f>IFERROR(__xludf.DUMMYFUNCTION("""COMPUTED_VALUE"""),"22/09/2023")</f>
        <v>22/09/2023</v>
      </c>
      <c r="E219" s="35" t="str">
        <f>IFERROR(__xludf.DUMMYFUNCTION("""COMPUTED_VALUE"""),"000.011.754-40")</f>
        <v>000.011.754-40</v>
      </c>
      <c r="F219" s="35" t="str">
        <f>IFERROR(__xludf.DUMMYFUNCTION("""COMPUTED_VALUE"""),"INFANTIL 2")</f>
        <v>INFANTIL 2</v>
      </c>
      <c r="G219" s="35" t="str">
        <f>IFERROR(__xludf.DUMMYFUNCTION("""COMPUTED_VALUE"""),"CRECHE MERCIA DE ALBUQUERQUE")</f>
        <v>CRECHE MERCIA DE ALBUQUERQUE</v>
      </c>
      <c r="H219" s="35" t="str">
        <f>IFERROR(__xludf.DUMMYFUNCTION("""COMPUTED_VALUE"""),"REGIONAL 6")</f>
        <v>REGIONAL 6</v>
      </c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5.75" customHeight="1">
      <c r="A220" s="35" t="str">
        <f>IFERROR(__xludf.DUMMYFUNCTION("""COMPUTED_VALUE"""),"25/03/2026 13:04:37")</f>
        <v>25/03/2026 13:04:37</v>
      </c>
      <c r="B220" s="35" t="str">
        <f>IFERROR(__xludf.DUMMYFUNCTION("""COMPUTED_VALUE"""),"4")</f>
        <v>4</v>
      </c>
      <c r="C220" s="36" t="str">
        <f>IFERROR(__xludf.DUMMYFUNCTION("""COMPUTED_VALUE"""),"BERNARDO LEON SILVA DOS SANTOS")</f>
        <v>BERNARDO LEON SILVA DOS SANTOS</v>
      </c>
      <c r="D220" s="35" t="str">
        <f>IFERROR(__xludf.DUMMYFUNCTION("""COMPUTED_VALUE"""),"14/10/2023")</f>
        <v>14/10/2023</v>
      </c>
      <c r="E220" s="35" t="str">
        <f>IFERROR(__xludf.DUMMYFUNCTION("""COMPUTED_VALUE"""),"000.490.714-08")</f>
        <v>000.490.714-08</v>
      </c>
      <c r="F220" s="35" t="str">
        <f>IFERROR(__xludf.DUMMYFUNCTION("""COMPUTED_VALUE"""),"INFANTIL 2")</f>
        <v>INFANTIL 2</v>
      </c>
      <c r="G220" s="35" t="str">
        <f>IFERROR(__xludf.DUMMYFUNCTION("""COMPUTED_VALUE"""),"CRECHE MERCIA DE ALBUQUERQUE")</f>
        <v>CRECHE MERCIA DE ALBUQUERQUE</v>
      </c>
      <c r="H220" s="35" t="str">
        <f>IFERROR(__xludf.DUMMYFUNCTION("""COMPUTED_VALUE"""),"REGIONAL 6")</f>
        <v>REGIONAL 6</v>
      </c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5.75" customHeight="1">
      <c r="A221" s="35" t="str">
        <f>IFERROR(__xludf.DUMMYFUNCTION("""COMPUTED_VALUE"""),"29/01/2026 13:35:30")</f>
        <v>29/01/2026 13:35:30</v>
      </c>
      <c r="B221" s="35" t="str">
        <f>IFERROR(__xludf.DUMMYFUNCTION("""COMPUTED_VALUE"""),"1")</f>
        <v>1</v>
      </c>
      <c r="C221" s="36" t="str">
        <f>IFERROR(__xludf.DUMMYFUNCTION("""COMPUTED_VALUE"""),"JOÃO DAVI DOS SANTOS")</f>
        <v>JOÃO DAVI DOS SANTOS</v>
      </c>
      <c r="D221" s="35" t="str">
        <f>IFERROR(__xludf.DUMMYFUNCTION("""COMPUTED_VALUE"""),"26/08/2024")</f>
        <v>26/08/2024</v>
      </c>
      <c r="E221" s="35" t="str">
        <f>IFERROR(__xludf.DUMMYFUNCTION("""COMPUTED_VALUE"""),"003.980.624-39")</f>
        <v>003.980.624-39</v>
      </c>
      <c r="F221" s="35" t="str">
        <f>IFERROR(__xludf.DUMMYFUNCTION("""COMPUTED_VALUE"""),"INFANTIL 1")</f>
        <v>INFANTIL 1</v>
      </c>
      <c r="G221" s="35" t="str">
        <f>IFERROR(__xludf.DUMMYFUNCTION("""COMPUTED_VALUE"""),"CRECHE MUNDO ENCANTADO")</f>
        <v>CRECHE MUNDO ENCANTADO</v>
      </c>
      <c r="H221" s="35" t="str">
        <f>IFERROR(__xludf.DUMMYFUNCTION("""COMPUTED_VALUE"""),"REGIONAL 3")</f>
        <v>REGIONAL 3</v>
      </c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5.75" customHeight="1">
      <c r="A222" s="35" t="str">
        <f>IFERROR(__xludf.DUMMYFUNCTION("""COMPUTED_VALUE"""),"29/01/2026 14:12:29")</f>
        <v>29/01/2026 14:12:29</v>
      </c>
      <c r="B222" s="35" t="str">
        <f>IFERROR(__xludf.DUMMYFUNCTION("""COMPUTED_VALUE"""),"2")</f>
        <v>2</v>
      </c>
      <c r="C222" s="36" t="str">
        <f>IFERROR(__xludf.DUMMYFUNCTION("""COMPUTED_VALUE"""),"JOSÉ FLÁVIO BATISTA DA SILVA COSTA")</f>
        <v>JOSÉ FLÁVIO BATISTA DA SILVA COSTA</v>
      </c>
      <c r="D222" s="35" t="str">
        <f>IFERROR(__xludf.DUMMYFUNCTION("""COMPUTED_VALUE"""),"13/03/2025")</f>
        <v>13/03/2025</v>
      </c>
      <c r="E222" s="35" t="str">
        <f>IFERROR(__xludf.DUMMYFUNCTION("""COMPUTED_VALUE"""),"006.104.144-02")</f>
        <v>006.104.144-02</v>
      </c>
      <c r="F222" s="35" t="str">
        <f>IFERROR(__xludf.DUMMYFUNCTION("""COMPUTED_VALUE"""),"INFANTIL 1")</f>
        <v>INFANTIL 1</v>
      </c>
      <c r="G222" s="35" t="str">
        <f>IFERROR(__xludf.DUMMYFUNCTION("""COMPUTED_VALUE"""),"CRECHE MUNDO ENCANTADO")</f>
        <v>CRECHE MUNDO ENCANTADO</v>
      </c>
      <c r="H222" s="35" t="str">
        <f>IFERROR(__xludf.DUMMYFUNCTION("""COMPUTED_VALUE"""),"REGIONAL 3")</f>
        <v>REGIONAL 3</v>
      </c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5.75" customHeight="1">
      <c r="A223" s="35" t="str">
        <f>IFERROR(__xludf.DUMMYFUNCTION("""COMPUTED_VALUE"""),"19/02/2026 21:16:01")</f>
        <v>19/02/2026 21:16:01</v>
      </c>
      <c r="B223" s="35" t="str">
        <f>IFERROR(__xludf.DUMMYFUNCTION("""COMPUTED_VALUE"""),"3")</f>
        <v>3</v>
      </c>
      <c r="C223" s="36" t="str">
        <f>IFERROR(__xludf.DUMMYFUNCTION("""COMPUTED_VALUE"""),"HELENA AZEVEDO DA SILVA")</f>
        <v>HELENA AZEVEDO DA SILVA</v>
      </c>
      <c r="D223" s="35" t="str">
        <f>IFERROR(__xludf.DUMMYFUNCTION("""COMPUTED_VALUE"""),"19/05/2024")</f>
        <v>19/05/2024</v>
      </c>
      <c r="E223" s="35" t="str">
        <f>IFERROR(__xludf.DUMMYFUNCTION("""COMPUTED_VALUE"""),"003.112.504-24")</f>
        <v>003.112.504-24</v>
      </c>
      <c r="F223" s="35" t="str">
        <f>IFERROR(__xludf.DUMMYFUNCTION("""COMPUTED_VALUE"""),"INFANTIL 1")</f>
        <v>INFANTIL 1</v>
      </c>
      <c r="G223" s="35" t="str">
        <f>IFERROR(__xludf.DUMMYFUNCTION("""COMPUTED_VALUE"""),"CRECHE MUNDO ENCANTADO")</f>
        <v>CRECHE MUNDO ENCANTADO</v>
      </c>
      <c r="H223" s="35" t="str">
        <f>IFERROR(__xludf.DUMMYFUNCTION("""COMPUTED_VALUE"""),"REGIONAL 3")</f>
        <v>REGIONAL 3</v>
      </c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5.75" customHeight="1">
      <c r="A224" s="35" t="str">
        <f>IFERROR(__xludf.DUMMYFUNCTION("""COMPUTED_VALUE"""),"28/02/2026 20:58:43")</f>
        <v>28/02/2026 20:58:43</v>
      </c>
      <c r="B224" s="35" t="str">
        <f>IFERROR(__xludf.DUMMYFUNCTION("""COMPUTED_VALUE"""),"4")</f>
        <v>4</v>
      </c>
      <c r="C224" s="36" t="str">
        <f>IFERROR(__xludf.DUMMYFUNCTION("""COMPUTED_VALUE"""),"LAYANNE GOMES PAULINO DA SILVA")</f>
        <v>LAYANNE GOMES PAULINO DA SILVA</v>
      </c>
      <c r="D224" s="35" t="str">
        <f>IFERROR(__xludf.DUMMYFUNCTION("""COMPUTED_VALUE"""),"12/04/2025")</f>
        <v>12/04/2025</v>
      </c>
      <c r="E224" s="35" t="str">
        <f>IFERROR(__xludf.DUMMYFUNCTION("""COMPUTED_VALUE"""),"005.882.074-46")</f>
        <v>005.882.074-46</v>
      </c>
      <c r="F224" s="35" t="str">
        <f>IFERROR(__xludf.DUMMYFUNCTION("""COMPUTED_VALUE"""),"INFANTIL 1")</f>
        <v>INFANTIL 1</v>
      </c>
      <c r="G224" s="35" t="str">
        <f>IFERROR(__xludf.DUMMYFUNCTION("""COMPUTED_VALUE"""),"CRECHE MUNDO ENCANTADO")</f>
        <v>CRECHE MUNDO ENCANTADO</v>
      </c>
      <c r="H224" s="35" t="str">
        <f>IFERROR(__xludf.DUMMYFUNCTION("""COMPUTED_VALUE"""),"REGIONAL 3")</f>
        <v>REGIONAL 3</v>
      </c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5.75" customHeight="1">
      <c r="A225" s="35" t="str">
        <f>IFERROR(__xludf.DUMMYFUNCTION("""COMPUTED_VALUE"""),"28/04/2026 11:00:10")</f>
        <v>28/04/2026 11:00:10</v>
      </c>
      <c r="B225" s="35" t="str">
        <f>IFERROR(__xludf.DUMMYFUNCTION("""COMPUTED_VALUE"""),"5")</f>
        <v>5</v>
      </c>
      <c r="C225" s="36" t="str">
        <f>IFERROR(__xludf.DUMMYFUNCTION("""COMPUTED_VALUE"""),"MARINA GOMES SANTOS GUIMARAES")</f>
        <v>MARINA GOMES SANTOS GUIMARAES</v>
      </c>
      <c r="D225" s="35" t="str">
        <f>IFERROR(__xludf.DUMMYFUNCTION("""COMPUTED_VALUE"""),"11/04/2025")</f>
        <v>11/04/2025</v>
      </c>
      <c r="E225" s="35" t="str">
        <f>IFERROR(__xludf.DUMMYFUNCTION("""COMPUTED_VALUE"""),"005.894.784-19")</f>
        <v>005.894.784-19</v>
      </c>
      <c r="F225" s="35" t="str">
        <f>IFERROR(__xludf.DUMMYFUNCTION("""COMPUTED_VALUE"""),"INFANTIL 1")</f>
        <v>INFANTIL 1</v>
      </c>
      <c r="G225" s="35" t="str">
        <f>IFERROR(__xludf.DUMMYFUNCTION("""COMPUTED_VALUE"""),"CRECHE MUNDO ENCANTADO")</f>
        <v>CRECHE MUNDO ENCANTADO</v>
      </c>
      <c r="H225" s="35" t="str">
        <f>IFERROR(__xludf.DUMMYFUNCTION("""COMPUTED_VALUE"""),"REGIONAL 3")</f>
        <v>REGIONAL 3</v>
      </c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5.75" customHeight="1">
      <c r="A226" s="35" t="str">
        <f>IFERROR(__xludf.DUMMYFUNCTION("""COMPUTED_VALUE"""),"25/05/2026 18:39:15")</f>
        <v>25/05/2026 18:39:15</v>
      </c>
      <c r="B226" s="35" t="str">
        <f>IFERROR(__xludf.DUMMYFUNCTION("""COMPUTED_VALUE"""),"6")</f>
        <v>6</v>
      </c>
      <c r="C226" s="36" t="str">
        <f>IFERROR(__xludf.DUMMYFUNCTION("""COMPUTED_VALUE"""),"Mallu Yarin Rodrigues Macêdo Vaz")</f>
        <v>Mallu Yarin Rodrigues Macêdo Vaz</v>
      </c>
      <c r="D226" s="35" t="str">
        <f>IFERROR(__xludf.DUMMYFUNCTION("""COMPUTED_VALUE"""),"29/12/2024")</f>
        <v>29/12/2024</v>
      </c>
      <c r="E226" s="35" t="str">
        <f>IFERROR(__xludf.DUMMYFUNCTION("""COMPUTED_VALUE"""),"004.957.764-67")</f>
        <v>004.957.764-67</v>
      </c>
      <c r="F226" s="35" t="str">
        <f>IFERROR(__xludf.DUMMYFUNCTION("""COMPUTED_VALUE"""),"INFANTIL 1")</f>
        <v>INFANTIL 1</v>
      </c>
      <c r="G226" s="35" t="str">
        <f>IFERROR(__xludf.DUMMYFUNCTION("""COMPUTED_VALUE"""),"CRECHE MUNDO ENCANTADO")</f>
        <v>CRECHE MUNDO ENCANTADO</v>
      </c>
      <c r="H226" s="35" t="str">
        <f>IFERROR(__xludf.DUMMYFUNCTION("""COMPUTED_VALUE"""),"REGIONAL 3")</f>
        <v>REGIONAL 3</v>
      </c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5.75" customHeight="1">
      <c r="A227" s="35" t="str">
        <f>IFERROR(__xludf.DUMMYFUNCTION("""COMPUTED_VALUE"""),"04/02/2026 15:08:15")</f>
        <v>04/02/2026 15:08:15</v>
      </c>
      <c r="B227" s="35" t="str">
        <f>IFERROR(__xludf.DUMMYFUNCTION("""COMPUTED_VALUE"""),"1")</f>
        <v>1</v>
      </c>
      <c r="C227" s="36" t="str">
        <f>IFERROR(__xludf.DUMMYFUNCTION("""COMPUTED_VALUE"""),"DAVID LUIZ DOS SANTOS DO NASCIMENTO")</f>
        <v>DAVID LUIZ DOS SANTOS DO NASCIMENTO</v>
      </c>
      <c r="D227" s="35" t="str">
        <f>IFERROR(__xludf.DUMMYFUNCTION("""COMPUTED_VALUE"""),"27/09/2023")</f>
        <v>27/09/2023</v>
      </c>
      <c r="E227" s="35" t="str">
        <f>IFERROR(__xludf.DUMMYFUNCTION("""COMPUTED_VALUE"""),"000.295.444-32")</f>
        <v>000.295.444-32</v>
      </c>
      <c r="F227" s="35" t="str">
        <f>IFERROR(__xludf.DUMMYFUNCTION("""COMPUTED_VALUE"""),"INFANTIL 2")</f>
        <v>INFANTIL 2</v>
      </c>
      <c r="G227" s="35" t="str">
        <f>IFERROR(__xludf.DUMMYFUNCTION("""COMPUTED_VALUE"""),"CRECHE MUNDO ENCANTADO")</f>
        <v>CRECHE MUNDO ENCANTADO</v>
      </c>
      <c r="H227" s="35" t="str">
        <f>IFERROR(__xludf.DUMMYFUNCTION("""COMPUTED_VALUE"""),"REGIONAL 3")</f>
        <v>REGIONAL 3</v>
      </c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5.75" customHeight="1">
      <c r="A228" s="35" t="str">
        <f>IFERROR(__xludf.DUMMYFUNCTION("""COMPUTED_VALUE"""),"09/02/2026 08:21:31")</f>
        <v>09/02/2026 08:21:31</v>
      </c>
      <c r="B228" s="35" t="str">
        <f>IFERROR(__xludf.DUMMYFUNCTION("""COMPUTED_VALUE"""),"2")</f>
        <v>2</v>
      </c>
      <c r="C228" s="36" t="str">
        <f>IFERROR(__xludf.DUMMYFUNCTION("""COMPUTED_VALUE"""),"ANTHONY PIETRO CRUZ DE SOUZA")</f>
        <v>ANTHONY PIETRO CRUZ DE SOUZA</v>
      </c>
      <c r="D228" s="35" t="str">
        <f>IFERROR(__xludf.DUMMYFUNCTION("""COMPUTED_VALUE"""),"16/12/2023")</f>
        <v>16/12/2023</v>
      </c>
      <c r="E228" s="35" t="str">
        <f>IFERROR(__xludf.DUMMYFUNCTION("""COMPUTED_VALUE"""),"001.353.124-77")</f>
        <v>001.353.124-77</v>
      </c>
      <c r="F228" s="35" t="str">
        <f>IFERROR(__xludf.DUMMYFUNCTION("""COMPUTED_VALUE"""),"INFANTIL 2")</f>
        <v>INFANTIL 2</v>
      </c>
      <c r="G228" s="35" t="str">
        <f>IFERROR(__xludf.DUMMYFUNCTION("""COMPUTED_VALUE"""),"CRECHE MUNDO ENCANTADO")</f>
        <v>CRECHE MUNDO ENCANTADO</v>
      </c>
      <c r="H228" s="35" t="str">
        <f>IFERROR(__xludf.DUMMYFUNCTION("""COMPUTED_VALUE"""),"REGIONAL 3")</f>
        <v>REGIONAL 3</v>
      </c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5.75" customHeight="1">
      <c r="A229" s="35" t="str">
        <f>IFERROR(__xludf.DUMMYFUNCTION("""COMPUTED_VALUE"""),"04/03/2026 22:04:48")</f>
        <v>04/03/2026 22:04:48</v>
      </c>
      <c r="B229" s="35" t="str">
        <f>IFERROR(__xludf.DUMMYFUNCTION("""COMPUTED_VALUE"""),"3")</f>
        <v>3</v>
      </c>
      <c r="C229" s="36" t="str">
        <f>IFERROR(__xludf.DUMMYFUNCTION("""COMPUTED_VALUE"""),"JOÃO LUCCA PEREIRA DA SILVA")</f>
        <v>JOÃO LUCCA PEREIRA DA SILVA</v>
      </c>
      <c r="D229" s="35" t="str">
        <f>IFERROR(__xludf.DUMMYFUNCTION("""COMPUTED_VALUE"""),"19/12/2023")</f>
        <v>19/12/2023</v>
      </c>
      <c r="E229" s="35" t="str">
        <f>IFERROR(__xludf.DUMMYFUNCTION("""COMPUTED_VALUE"""),"001.366.394-10")</f>
        <v>001.366.394-10</v>
      </c>
      <c r="F229" s="35" t="str">
        <f>IFERROR(__xludf.DUMMYFUNCTION("""COMPUTED_VALUE"""),"INFANTIL 2")</f>
        <v>INFANTIL 2</v>
      </c>
      <c r="G229" s="35" t="str">
        <f>IFERROR(__xludf.DUMMYFUNCTION("""COMPUTED_VALUE"""),"CRECHE MUNDO ENCANTADO")</f>
        <v>CRECHE MUNDO ENCANTADO</v>
      </c>
      <c r="H229" s="35" t="str">
        <f>IFERROR(__xludf.DUMMYFUNCTION("""COMPUTED_VALUE"""),"REGIONAL 3")</f>
        <v>REGIONAL 3</v>
      </c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5.75" customHeight="1">
      <c r="A230" s="35" t="str">
        <f>IFERROR(__xludf.DUMMYFUNCTION("""COMPUTED_VALUE"""),"23/02/2026 09:25:20")</f>
        <v>23/02/2026 09:25:20</v>
      </c>
      <c r="B230" s="35" t="str">
        <f>IFERROR(__xludf.DUMMYFUNCTION("""COMPUTED_VALUE"""),"1")</f>
        <v>1</v>
      </c>
      <c r="C230" s="36" t="str">
        <f>IFERROR(__xludf.DUMMYFUNCTION("""COMPUTED_VALUE"""),"LARISSA ELOÁ CALIXTO DE OLIVEIRA")</f>
        <v>LARISSA ELOÁ CALIXTO DE OLIVEIRA</v>
      </c>
      <c r="D230" s="35" t="str">
        <f>IFERROR(__xludf.DUMMYFUNCTION("""COMPUTED_VALUE"""),"08/07/2024")</f>
        <v>08/07/2024</v>
      </c>
      <c r="E230" s="35" t="str">
        <f>IFERROR(__xludf.DUMMYFUNCTION("""COMPUTED_VALUE"""),"003.536.674-55")</f>
        <v>003.536.674-55</v>
      </c>
      <c r="F230" s="35" t="str">
        <f>IFERROR(__xludf.DUMMYFUNCTION("""COMPUTED_VALUE"""),"INFANTIL 1")</f>
        <v>INFANTIL 1</v>
      </c>
      <c r="G230" s="35" t="str">
        <f>IFERROR(__xludf.DUMMYFUNCTION("""COMPUTED_VALUE"""),"CRECHE MUNICIPAL PROFESSORA MARIA RITA LINS MARTINS")</f>
        <v>CRECHE MUNICIPAL PROFESSORA MARIA RITA LINS MARTINS</v>
      </c>
      <c r="H230" s="35" t="str">
        <f>IFERROR(__xludf.DUMMYFUNCTION("""COMPUTED_VALUE"""),"REGIONAL 1")</f>
        <v>REGIONAL 1</v>
      </c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5.75" customHeight="1">
      <c r="A231" s="35" t="str">
        <f>IFERROR(__xludf.DUMMYFUNCTION("""COMPUTED_VALUE"""),"23/02/2026 22:06:49")</f>
        <v>23/02/2026 22:06:49</v>
      </c>
      <c r="B231" s="35" t="str">
        <f>IFERROR(__xludf.DUMMYFUNCTION("""COMPUTED_VALUE"""),"2")</f>
        <v>2</v>
      </c>
      <c r="C231" s="36" t="str">
        <f>IFERROR(__xludf.DUMMYFUNCTION("""COMPUTED_VALUE"""),"BRYAN SAMUEL SANTANA DA SILVA")</f>
        <v>BRYAN SAMUEL SANTANA DA SILVA</v>
      </c>
      <c r="D231" s="35" t="str">
        <f>IFERROR(__xludf.DUMMYFUNCTION("""COMPUTED_VALUE"""),"13/09/2024")</f>
        <v>13/09/2024</v>
      </c>
      <c r="E231" s="35" t="str">
        <f>IFERROR(__xludf.DUMMYFUNCTION("""COMPUTED_VALUE"""),"004.324.334-73")</f>
        <v>004.324.334-73</v>
      </c>
      <c r="F231" s="35" t="str">
        <f>IFERROR(__xludf.DUMMYFUNCTION("""COMPUTED_VALUE"""),"INFANTIL 1")</f>
        <v>INFANTIL 1</v>
      </c>
      <c r="G231" s="35" t="str">
        <f>IFERROR(__xludf.DUMMYFUNCTION("""COMPUTED_VALUE"""),"CRECHE MUNICIPAL PROFESSORA MARIA RITA LINS MARTINS")</f>
        <v>CRECHE MUNICIPAL PROFESSORA MARIA RITA LINS MARTINS</v>
      </c>
      <c r="H231" s="35" t="str">
        <f>IFERROR(__xludf.DUMMYFUNCTION("""COMPUTED_VALUE"""),"REGIONAL 1")</f>
        <v>REGIONAL 1</v>
      </c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5.75" customHeight="1">
      <c r="A232" s="35" t="str">
        <f>IFERROR(__xludf.DUMMYFUNCTION("""COMPUTED_VALUE"""),"24/02/2026 10:47:32")</f>
        <v>24/02/2026 10:47:32</v>
      </c>
      <c r="B232" s="35" t="str">
        <f>IFERROR(__xludf.DUMMYFUNCTION("""COMPUTED_VALUE"""),"3")</f>
        <v>3</v>
      </c>
      <c r="C232" s="36" t="str">
        <f>IFERROR(__xludf.DUMMYFUNCTION("""COMPUTED_VALUE"""),"MARIA HELOÍSA DA SILVA MENEZES")</f>
        <v>MARIA HELOÍSA DA SILVA MENEZES</v>
      </c>
      <c r="D232" s="35" t="str">
        <f>IFERROR(__xludf.DUMMYFUNCTION("""COMPUTED_VALUE"""),"17/08/2024")</f>
        <v>17/08/2024</v>
      </c>
      <c r="E232" s="35" t="str">
        <f>IFERROR(__xludf.DUMMYFUNCTION("""COMPUTED_VALUE"""),"003.847.404-21")</f>
        <v>003.847.404-21</v>
      </c>
      <c r="F232" s="35" t="str">
        <f>IFERROR(__xludf.DUMMYFUNCTION("""COMPUTED_VALUE"""),"INFANTIL 1")</f>
        <v>INFANTIL 1</v>
      </c>
      <c r="G232" s="35" t="str">
        <f>IFERROR(__xludf.DUMMYFUNCTION("""COMPUTED_VALUE"""),"CRECHE MUNICIPAL PROFESSORA MARIA RITA LINS MARTINS")</f>
        <v>CRECHE MUNICIPAL PROFESSORA MARIA RITA LINS MARTINS</v>
      </c>
      <c r="H232" s="35" t="str">
        <f>IFERROR(__xludf.DUMMYFUNCTION("""COMPUTED_VALUE"""),"REGIONAL 1")</f>
        <v>REGIONAL 1</v>
      </c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5.75" customHeight="1">
      <c r="A233" s="35" t="str">
        <f>IFERROR(__xludf.DUMMYFUNCTION("""COMPUTED_VALUE"""),"10/05/2026 13:51:20")</f>
        <v>10/05/2026 13:51:20</v>
      </c>
      <c r="B233" s="35" t="str">
        <f>IFERROR(__xludf.DUMMYFUNCTION("""COMPUTED_VALUE"""),"4")</f>
        <v>4</v>
      </c>
      <c r="C233" s="36" t="str">
        <f>IFERROR(__xludf.DUMMYFUNCTION("""COMPUTED_VALUE"""),"LUNA MAITÊ DA SILVA")</f>
        <v>LUNA MAITÊ DA SILVA</v>
      </c>
      <c r="D233" s="35" t="str">
        <f>IFERROR(__xludf.DUMMYFUNCTION("""COMPUTED_VALUE"""),"21/03/2025")</f>
        <v>21/03/2025</v>
      </c>
      <c r="E233" s="35" t="str">
        <f>IFERROR(__xludf.DUMMYFUNCTION("""COMPUTED_VALUE"""),"007.052.864-01")</f>
        <v>007.052.864-01</v>
      </c>
      <c r="F233" s="35" t="str">
        <f>IFERROR(__xludf.DUMMYFUNCTION("""COMPUTED_VALUE"""),"INFANTIL 1")</f>
        <v>INFANTIL 1</v>
      </c>
      <c r="G233" s="35" t="str">
        <f>IFERROR(__xludf.DUMMYFUNCTION("""COMPUTED_VALUE"""),"CRECHE MUNICIPAL PROFESSORA MARIA RITA LINS MARTINS")</f>
        <v>CRECHE MUNICIPAL PROFESSORA MARIA RITA LINS MARTINS</v>
      </c>
      <c r="H233" s="35" t="str">
        <f>IFERROR(__xludf.DUMMYFUNCTION("""COMPUTED_VALUE"""),"REGIONAL 1")</f>
        <v>REGIONAL 1</v>
      </c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5.75" customHeight="1">
      <c r="A234" s="35" t="str">
        <f>IFERROR(__xludf.DUMMYFUNCTION("""COMPUTED_VALUE"""),"14/06/2026 18:20:08")</f>
        <v>14/06/2026 18:20:08</v>
      </c>
      <c r="B234" s="35" t="str">
        <f>IFERROR(__xludf.DUMMYFUNCTION("""COMPUTED_VALUE"""),"5")</f>
        <v>5</v>
      </c>
      <c r="C234" s="36" t="str">
        <f>IFERROR(__xludf.DUMMYFUNCTION("""COMPUTED_VALUE"""),"Arthur Gabriel de Souza")</f>
        <v>Arthur Gabriel de Souza</v>
      </c>
      <c r="D234" s="35" t="str">
        <f>IFERROR(__xludf.DUMMYFUNCTION("""COMPUTED_VALUE"""),"31/05/2024")</f>
        <v>31/05/2024</v>
      </c>
      <c r="E234" s="35" t="str">
        <f>IFERROR(__xludf.DUMMYFUNCTION("""COMPUTED_VALUE"""),"003.243.864-86")</f>
        <v>003.243.864-86</v>
      </c>
      <c r="F234" s="35" t="str">
        <f>IFERROR(__xludf.DUMMYFUNCTION("""COMPUTED_VALUE"""),"INFANTIL 1")</f>
        <v>INFANTIL 1</v>
      </c>
      <c r="G234" s="35" t="str">
        <f>IFERROR(__xludf.DUMMYFUNCTION("""COMPUTED_VALUE"""),"CRECHE MUNICIPAL PROFESSORA MARIA RITA LINS MARTINS")</f>
        <v>CRECHE MUNICIPAL PROFESSORA MARIA RITA LINS MARTINS</v>
      </c>
      <c r="H234" s="35" t="str">
        <f>IFERROR(__xludf.DUMMYFUNCTION("""COMPUTED_VALUE"""),"REGIONAL 1")</f>
        <v>REGIONAL 1</v>
      </c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5.75" customHeight="1">
      <c r="A235" s="35" t="str">
        <f>IFERROR(__xludf.DUMMYFUNCTION("""COMPUTED_VALUE"""),"25/06/2026 18:16:16")</f>
        <v>25/06/2026 18:16:16</v>
      </c>
      <c r="B235" s="35" t="str">
        <f>IFERROR(__xludf.DUMMYFUNCTION("""COMPUTED_VALUE"""),"6")</f>
        <v>6</v>
      </c>
      <c r="C235" s="36" t="str">
        <f>IFERROR(__xludf.DUMMYFUNCTION("""COMPUTED_VALUE"""),"Jefferson Miguel Rangel santos")</f>
        <v>Jefferson Miguel Rangel santos</v>
      </c>
      <c r="D235" s="35" t="str">
        <f>IFERROR(__xludf.DUMMYFUNCTION("""COMPUTED_VALUE"""),"14/12/2024")</f>
        <v>14/12/2024</v>
      </c>
      <c r="E235" s="35" t="str">
        <f>IFERROR(__xludf.DUMMYFUNCTION("""COMPUTED_VALUE"""),"004.984.504-73")</f>
        <v>004.984.504-73</v>
      </c>
      <c r="F235" s="35" t="str">
        <f>IFERROR(__xludf.DUMMYFUNCTION("""COMPUTED_VALUE"""),"INFANTIL 1")</f>
        <v>INFANTIL 1</v>
      </c>
      <c r="G235" s="35" t="str">
        <f>IFERROR(__xludf.DUMMYFUNCTION("""COMPUTED_VALUE"""),"CRECHE MUNICIPAL PROFESSORA MARIA RITA LINS MARTINS")</f>
        <v>CRECHE MUNICIPAL PROFESSORA MARIA RITA LINS MARTINS</v>
      </c>
      <c r="H235" s="35" t="str">
        <f>IFERROR(__xludf.DUMMYFUNCTION("""COMPUTED_VALUE"""),"REGIONAL 1")</f>
        <v>REGIONAL 1</v>
      </c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5.75" customHeight="1">
      <c r="A236" s="35" t="str">
        <f>IFERROR(__xludf.DUMMYFUNCTION("""COMPUTED_VALUE"""),"29/06/2026 11:34:07")</f>
        <v>29/06/2026 11:34:07</v>
      </c>
      <c r="B236" s="35" t="str">
        <f>IFERROR(__xludf.DUMMYFUNCTION("""COMPUTED_VALUE"""),"7")</f>
        <v>7</v>
      </c>
      <c r="C236" s="36" t="str">
        <f>IFERROR(__xludf.DUMMYFUNCTION("""COMPUTED_VALUE"""),"Henry Santino Cavalcante souza")</f>
        <v>Henry Santino Cavalcante souza</v>
      </c>
      <c r="D236" s="35" t="str">
        <f>IFERROR(__xludf.DUMMYFUNCTION("""COMPUTED_VALUE"""),"24/09/2025")</f>
        <v>24/09/2025</v>
      </c>
      <c r="E236" s="35" t="str">
        <f>IFERROR(__xludf.DUMMYFUNCTION("""COMPUTED_VALUE"""),"011.472.264-15")</f>
        <v>011.472.264-15</v>
      </c>
      <c r="F236" s="35" t="str">
        <f>IFERROR(__xludf.DUMMYFUNCTION("""COMPUTED_VALUE"""),"INFANTIL 1")</f>
        <v>INFANTIL 1</v>
      </c>
      <c r="G236" s="35" t="str">
        <f>IFERROR(__xludf.DUMMYFUNCTION("""COMPUTED_VALUE"""),"CRECHE MUNICIPAL PROFESSORA MARIA RITA LINS MARTINS")</f>
        <v>CRECHE MUNICIPAL PROFESSORA MARIA RITA LINS MARTINS</v>
      </c>
      <c r="H236" s="35" t="str">
        <f>IFERROR(__xludf.DUMMYFUNCTION("""COMPUTED_VALUE"""),"REGIONAL 1")</f>
        <v>REGIONAL 1</v>
      </c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5.75" customHeight="1">
      <c r="A237" s="35" t="str">
        <f>IFERROR(__xludf.DUMMYFUNCTION("""COMPUTED_VALUE"""),"30/01/2026 13:46:37")</f>
        <v>30/01/2026 13:46:37</v>
      </c>
      <c r="B237" s="35" t="str">
        <f>IFERROR(__xludf.DUMMYFUNCTION("""COMPUTED_VALUE"""),"1")</f>
        <v>1</v>
      </c>
      <c r="C237" s="36" t="str">
        <f>IFERROR(__xludf.DUMMYFUNCTION("""COMPUTED_VALUE"""),"LUCAS MIGUEL DA SILVA PARAÍSO")</f>
        <v>LUCAS MIGUEL DA SILVA PARAÍSO</v>
      </c>
      <c r="D237" s="35" t="str">
        <f>IFERROR(__xludf.DUMMYFUNCTION("""COMPUTED_VALUE"""),"24/01/2024")</f>
        <v>24/01/2024</v>
      </c>
      <c r="E237" s="35" t="str">
        <f>IFERROR(__xludf.DUMMYFUNCTION("""COMPUTED_VALUE"""),"001.835.364-95")</f>
        <v>001.835.364-95</v>
      </c>
      <c r="F237" s="35" t="str">
        <f>IFERROR(__xludf.DUMMYFUNCTION("""COMPUTED_VALUE"""),"INFANTIL 2")</f>
        <v>INFANTIL 2</v>
      </c>
      <c r="G237" s="35" t="str">
        <f>IFERROR(__xludf.DUMMYFUNCTION("""COMPUTED_VALUE"""),"CRECHE MUNICIPAL PROFESSORA MARIA RITA LINS MARTINS")</f>
        <v>CRECHE MUNICIPAL PROFESSORA MARIA RITA LINS MARTINS</v>
      </c>
      <c r="H237" s="35" t="str">
        <f>IFERROR(__xludf.DUMMYFUNCTION("""COMPUTED_VALUE"""),"REGIONAL 1")</f>
        <v>REGIONAL 1</v>
      </c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5.75" customHeight="1">
      <c r="A238" s="35" t="str">
        <f>IFERROR(__xludf.DUMMYFUNCTION("""COMPUTED_VALUE"""),"08/03/2026 00:13:08")</f>
        <v>08/03/2026 00:13:08</v>
      </c>
      <c r="B238" s="35" t="str">
        <f>IFERROR(__xludf.DUMMYFUNCTION("""COMPUTED_VALUE"""),"2")</f>
        <v>2</v>
      </c>
      <c r="C238" s="36" t="str">
        <f>IFERROR(__xludf.DUMMYFUNCTION("""COMPUTED_VALUE"""),"HEITOR GABRIEL SANTANA GOMES DA SILVA")</f>
        <v>HEITOR GABRIEL SANTANA GOMES DA SILVA</v>
      </c>
      <c r="D238" s="35" t="str">
        <f>IFERROR(__xludf.DUMMYFUNCTION("""COMPUTED_VALUE"""),"19/07/2023")</f>
        <v>19/07/2023</v>
      </c>
      <c r="E238" s="35" t="str">
        <f>IFERROR(__xludf.DUMMYFUNCTION("""COMPUTED_VALUE"""),"186.023.384-81")</f>
        <v>186.023.384-81</v>
      </c>
      <c r="F238" s="35" t="str">
        <f>IFERROR(__xludf.DUMMYFUNCTION("""COMPUTED_VALUE"""),"INFANTIL 2")</f>
        <v>INFANTIL 2</v>
      </c>
      <c r="G238" s="35" t="str">
        <f>IFERROR(__xludf.DUMMYFUNCTION("""COMPUTED_VALUE"""),"CRECHE MUNICIPAL PROFESSORA MARIA RITA LINS MARTINS")</f>
        <v>CRECHE MUNICIPAL PROFESSORA MARIA RITA LINS MARTINS</v>
      </c>
      <c r="H238" s="35" t="str">
        <f>IFERROR(__xludf.DUMMYFUNCTION("""COMPUTED_VALUE"""),"REGIONAL 1")</f>
        <v>REGIONAL 1</v>
      </c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5.75" customHeight="1">
      <c r="A239" s="35" t="str">
        <f>IFERROR(__xludf.DUMMYFUNCTION("""COMPUTED_VALUE"""),"11/03/2026 10:30:16")</f>
        <v>11/03/2026 10:30:16</v>
      </c>
      <c r="B239" s="35" t="str">
        <f>IFERROR(__xludf.DUMMYFUNCTION("""COMPUTED_VALUE"""),"3")</f>
        <v>3</v>
      </c>
      <c r="C239" s="36" t="str">
        <f>IFERROR(__xludf.DUMMYFUNCTION("""COMPUTED_VALUE"""),"LORENZO SANTANA PAIXAO")</f>
        <v>LORENZO SANTANA PAIXAO</v>
      </c>
      <c r="D239" s="35" t="str">
        <f>IFERROR(__xludf.DUMMYFUNCTION("""COMPUTED_VALUE"""),"11/12/2023")</f>
        <v>11/12/2023</v>
      </c>
      <c r="E239" s="35" t="str">
        <f>IFERROR(__xludf.DUMMYFUNCTION("""COMPUTED_VALUE"""),"001.257.584-48")</f>
        <v>001.257.584-48</v>
      </c>
      <c r="F239" s="35" t="str">
        <f>IFERROR(__xludf.DUMMYFUNCTION("""COMPUTED_VALUE"""),"INFANTIL 2")</f>
        <v>INFANTIL 2</v>
      </c>
      <c r="G239" s="35" t="str">
        <f>IFERROR(__xludf.DUMMYFUNCTION("""COMPUTED_VALUE"""),"CRECHE MUNICIPAL PROFESSORA MARIA RITA LINS MARTINS")</f>
        <v>CRECHE MUNICIPAL PROFESSORA MARIA RITA LINS MARTINS</v>
      </c>
      <c r="H239" s="35" t="str">
        <f>IFERROR(__xludf.DUMMYFUNCTION("""COMPUTED_VALUE"""),"REGIONAL 1")</f>
        <v>REGIONAL 1</v>
      </c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5.75" customHeight="1">
      <c r="A240" s="35" t="str">
        <f>IFERROR(__xludf.DUMMYFUNCTION("""COMPUTED_VALUE"""),"17/03/2026 08:58:14")</f>
        <v>17/03/2026 08:58:14</v>
      </c>
      <c r="B240" s="35" t="str">
        <f>IFERROR(__xludf.DUMMYFUNCTION("""COMPUTED_VALUE"""),"4")</f>
        <v>4</v>
      </c>
      <c r="C240" s="36" t="str">
        <f>IFERROR(__xludf.DUMMYFUNCTION("""COMPUTED_VALUE"""),"LETÍCIA RIBAS DA LUZ")</f>
        <v>LETÍCIA RIBAS DA LUZ</v>
      </c>
      <c r="D240" s="35" t="str">
        <f>IFERROR(__xludf.DUMMYFUNCTION("""COMPUTED_VALUE"""),"09/03/2024")</f>
        <v>09/03/2024</v>
      </c>
      <c r="E240" s="35" t="str">
        <f>IFERROR(__xludf.DUMMYFUNCTION("""COMPUTED_VALUE"""),"001.930.104-96")</f>
        <v>001.930.104-96</v>
      </c>
      <c r="F240" s="35" t="str">
        <f>IFERROR(__xludf.DUMMYFUNCTION("""COMPUTED_VALUE"""),"INFANTIL 2")</f>
        <v>INFANTIL 2</v>
      </c>
      <c r="G240" s="35" t="str">
        <f>IFERROR(__xludf.DUMMYFUNCTION("""COMPUTED_VALUE"""),"CRECHE MUNICIPAL PROFESSORA MARIA RITA LINS MARTINS")</f>
        <v>CRECHE MUNICIPAL PROFESSORA MARIA RITA LINS MARTINS</v>
      </c>
      <c r="H240" s="35" t="str">
        <f>IFERROR(__xludf.DUMMYFUNCTION("""COMPUTED_VALUE"""),"REGIONAL 1")</f>
        <v>REGIONAL 1</v>
      </c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5.75" customHeight="1">
      <c r="A241" s="35" t="str">
        <f>IFERROR(__xludf.DUMMYFUNCTION("""COMPUTED_VALUE"""),"16/04/2026 17:20:01")</f>
        <v>16/04/2026 17:20:01</v>
      </c>
      <c r="B241" s="35" t="str">
        <f>IFERROR(__xludf.DUMMYFUNCTION("""COMPUTED_VALUE"""),"5")</f>
        <v>5</v>
      </c>
      <c r="C241" s="36" t="str">
        <f>IFERROR(__xludf.DUMMYFUNCTION("""COMPUTED_VALUE"""),"MARIA CLARA DOS SANTOS CHAVES MARTINS")</f>
        <v>MARIA CLARA DOS SANTOS CHAVES MARTINS</v>
      </c>
      <c r="D241" s="35" t="str">
        <f>IFERROR(__xludf.DUMMYFUNCTION("""COMPUTED_VALUE"""),"17/04/2023")</f>
        <v>17/04/2023</v>
      </c>
      <c r="E241" s="35" t="str">
        <f>IFERROR(__xludf.DUMMYFUNCTION("""COMPUTED_VALUE"""),"185.113.384-46")</f>
        <v>185.113.384-46</v>
      </c>
      <c r="F241" s="35" t="str">
        <f>IFERROR(__xludf.DUMMYFUNCTION("""COMPUTED_VALUE"""),"INFANTIL 2")</f>
        <v>INFANTIL 2</v>
      </c>
      <c r="G241" s="35" t="str">
        <f>IFERROR(__xludf.DUMMYFUNCTION("""COMPUTED_VALUE"""),"CRECHE MUNICIPAL PROFESSORA MARIA RITA LINS MARTINS")</f>
        <v>CRECHE MUNICIPAL PROFESSORA MARIA RITA LINS MARTINS</v>
      </c>
      <c r="H241" s="35" t="str">
        <f>IFERROR(__xludf.DUMMYFUNCTION("""COMPUTED_VALUE"""),"REGIONAL 1")</f>
        <v>REGIONAL 1</v>
      </c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5.75" customHeight="1">
      <c r="A242" s="35" t="str">
        <f>IFERROR(__xludf.DUMMYFUNCTION("""COMPUTED_VALUE"""),"13/05/2026 08:10:15")</f>
        <v>13/05/2026 08:10:15</v>
      </c>
      <c r="B242" s="35" t="str">
        <f>IFERROR(__xludf.DUMMYFUNCTION("""COMPUTED_VALUE"""),"6")</f>
        <v>6</v>
      </c>
      <c r="C242" s="36" t="str">
        <f>IFERROR(__xludf.DUMMYFUNCTION("""COMPUTED_VALUE"""),"THAYLLA MELISSA OLIVEIRA DOS SANTOS")</f>
        <v>THAYLLA MELISSA OLIVEIRA DOS SANTOS</v>
      </c>
      <c r="D242" s="35" t="str">
        <f>IFERROR(__xludf.DUMMYFUNCTION("""COMPUTED_VALUE"""),"16/08/2023")</f>
        <v>16/08/2023</v>
      </c>
      <c r="E242" s="35" t="str">
        <f>IFERROR(__xludf.DUMMYFUNCTION("""COMPUTED_VALUE"""),"186.284.484-46")</f>
        <v>186.284.484-46</v>
      </c>
      <c r="F242" s="35" t="str">
        <f>IFERROR(__xludf.DUMMYFUNCTION("""COMPUTED_VALUE"""),"INFANTIL 2")</f>
        <v>INFANTIL 2</v>
      </c>
      <c r="G242" s="35" t="str">
        <f>IFERROR(__xludf.DUMMYFUNCTION("""COMPUTED_VALUE"""),"CRECHE MUNICIPAL PROFESSORA MARIA RITA LINS MARTINS")</f>
        <v>CRECHE MUNICIPAL PROFESSORA MARIA RITA LINS MARTINS</v>
      </c>
      <c r="H242" s="35" t="str">
        <f>IFERROR(__xludf.DUMMYFUNCTION("""COMPUTED_VALUE"""),"REGIONAL 1")</f>
        <v>REGIONAL 1</v>
      </c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5.75" customHeight="1">
      <c r="A243" s="35" t="str">
        <f>IFERROR(__xludf.DUMMYFUNCTION("""COMPUTED_VALUE"""),"16/04/2026 17:16:18")</f>
        <v>16/04/2026 17:16:18</v>
      </c>
      <c r="B243" s="35" t="str">
        <f>IFERROR(__xludf.DUMMYFUNCTION("""COMPUTED_VALUE"""),"1")</f>
        <v>1</v>
      </c>
      <c r="C243" s="36" t="str">
        <f>IFERROR(__xludf.DUMMYFUNCTION("""COMPUTED_VALUE"""),"MARCELO GUILHERME DOS SANTOS CHAVES MARTINS")</f>
        <v>MARCELO GUILHERME DOS SANTOS CHAVES MARTINS</v>
      </c>
      <c r="D243" s="35" t="str">
        <f>IFERROR(__xludf.DUMMYFUNCTION("""COMPUTED_VALUE"""),"11/04/2022")</f>
        <v>11/04/2022</v>
      </c>
      <c r="E243" s="35" t="str">
        <f>IFERROR(__xludf.DUMMYFUNCTION("""COMPUTED_VALUE"""),"181.266.334-09")</f>
        <v>181.266.334-09</v>
      </c>
      <c r="F243" s="35" t="str">
        <f>IFERROR(__xludf.DUMMYFUNCTION("""COMPUTED_VALUE"""),"INFANTIL 3")</f>
        <v>INFANTIL 3</v>
      </c>
      <c r="G243" s="35" t="str">
        <f>IFERROR(__xludf.DUMMYFUNCTION("""COMPUTED_VALUE"""),"CRECHE MUNICIPAL PROFESSORA MARIA RITA LINS MARTINS")</f>
        <v>CRECHE MUNICIPAL PROFESSORA MARIA RITA LINS MARTINS</v>
      </c>
      <c r="H243" s="35" t="str">
        <f>IFERROR(__xludf.DUMMYFUNCTION("""COMPUTED_VALUE"""),"REGIONAL 1")</f>
        <v>REGIONAL 1</v>
      </c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5.75" customHeight="1">
      <c r="A244" s="35" t="str">
        <f>IFERROR(__xludf.DUMMYFUNCTION("""COMPUTED_VALUE"""),"10/05/2026 13:58:19")</f>
        <v>10/05/2026 13:58:19</v>
      </c>
      <c r="B244" s="35" t="str">
        <f>IFERROR(__xludf.DUMMYFUNCTION("""COMPUTED_VALUE"""),"2")</f>
        <v>2</v>
      </c>
      <c r="C244" s="36" t="str">
        <f>IFERROR(__xludf.DUMMYFUNCTION("""COMPUTED_VALUE"""),"DAVI EMANOEL DE MELO")</f>
        <v>DAVI EMANOEL DE MELO</v>
      </c>
      <c r="D244" s="35" t="str">
        <f>IFERROR(__xludf.DUMMYFUNCTION("""COMPUTED_VALUE"""),"07/01/2023")</f>
        <v>07/01/2023</v>
      </c>
      <c r="E244" s="35" t="str">
        <f>IFERROR(__xludf.DUMMYFUNCTION("""COMPUTED_VALUE"""),"184.254.274-52")</f>
        <v>184.254.274-52</v>
      </c>
      <c r="F244" s="35" t="str">
        <f>IFERROR(__xludf.DUMMYFUNCTION("""COMPUTED_VALUE"""),"INFANTIL 3")</f>
        <v>INFANTIL 3</v>
      </c>
      <c r="G244" s="35" t="str">
        <f>IFERROR(__xludf.DUMMYFUNCTION("""COMPUTED_VALUE"""),"CRECHE MUNICIPAL PROFESSORA MARIA RITA LINS MARTINS")</f>
        <v>CRECHE MUNICIPAL PROFESSORA MARIA RITA LINS MARTINS</v>
      </c>
      <c r="H244" s="35" t="str">
        <f>IFERROR(__xludf.DUMMYFUNCTION("""COMPUTED_VALUE"""),"REGIONAL 1")</f>
        <v>REGIONAL 1</v>
      </c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5.75" customHeight="1">
      <c r="A245" s="35" t="str">
        <f>IFERROR(__xludf.DUMMYFUNCTION("""COMPUTED_VALUE"""),"15/06/2026 14:59:35")</f>
        <v>15/06/2026 14:59:35</v>
      </c>
      <c r="B245" s="35" t="str">
        <f>IFERROR(__xludf.DUMMYFUNCTION("""COMPUTED_VALUE"""),"3")</f>
        <v>3</v>
      </c>
      <c r="C245" s="36" t="str">
        <f>IFERROR(__xludf.DUMMYFUNCTION("""COMPUTED_VALUE"""),"YARA LORENA SILVA DO CARMO")</f>
        <v>YARA LORENA SILVA DO CARMO</v>
      </c>
      <c r="D245" s="35" t="str">
        <f>IFERROR(__xludf.DUMMYFUNCTION("""COMPUTED_VALUE"""),"05/06/2022")</f>
        <v>05/06/2022</v>
      </c>
      <c r="E245" s="35" t="str">
        <f>IFERROR(__xludf.DUMMYFUNCTION("""COMPUTED_VALUE"""),"182.418.874-93")</f>
        <v>182.418.874-93</v>
      </c>
      <c r="F245" s="35" t="str">
        <f>IFERROR(__xludf.DUMMYFUNCTION("""COMPUTED_VALUE"""),"INFANTIL 3")</f>
        <v>INFANTIL 3</v>
      </c>
      <c r="G245" s="35" t="str">
        <f>IFERROR(__xludf.DUMMYFUNCTION("""COMPUTED_VALUE"""),"CRECHE MUNICIPAL PROFESSORA MARIA RITA LINS MARTINS")</f>
        <v>CRECHE MUNICIPAL PROFESSORA MARIA RITA LINS MARTINS</v>
      </c>
      <c r="H245" s="35" t="str">
        <f>IFERROR(__xludf.DUMMYFUNCTION("""COMPUTED_VALUE"""),"REGIONAL 1")</f>
        <v>REGIONAL 1</v>
      </c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5.75" customHeight="1">
      <c r="A246" s="35" t="str">
        <f>IFERROR(__xludf.DUMMYFUNCTION("""COMPUTED_VALUE"""),"05/02/2026 23:06:26")</f>
        <v>05/02/2026 23:06:26</v>
      </c>
      <c r="B246" s="35" t="str">
        <f>IFERROR(__xludf.DUMMYFUNCTION("""COMPUTED_VALUE"""),"1")</f>
        <v>1</v>
      </c>
      <c r="C246" s="36" t="str">
        <f>IFERROR(__xludf.DUMMYFUNCTION("""COMPUTED_VALUE"""),"LIAN SAMUEL SANTOS")</f>
        <v>LIAN SAMUEL SANTOS</v>
      </c>
      <c r="D246" s="35" t="str">
        <f>IFERROR(__xludf.DUMMYFUNCTION("""COMPUTED_VALUE"""),"27/04/2025")</f>
        <v>27/04/2025</v>
      </c>
      <c r="E246" s="35" t="str">
        <f>IFERROR(__xludf.DUMMYFUNCTION("""COMPUTED_VALUE"""),"017.661.634-91")</f>
        <v>017.661.634-91</v>
      </c>
      <c r="F246" s="35" t="str">
        <f>IFERROR(__xludf.DUMMYFUNCTION("""COMPUTED_VALUE"""),"INFANTIL 1")</f>
        <v>INFANTIL 1</v>
      </c>
      <c r="G246" s="35" t="str">
        <f>IFERROR(__xludf.DUMMYFUNCTION("""COMPUTED_VALUE"""),"CRECHE MUNICIPAL PROFESSORA SILVIA CRISTINA SANTOS BOTELHO")</f>
        <v>CRECHE MUNICIPAL PROFESSORA SILVIA CRISTINA SANTOS BOTELHO</v>
      </c>
      <c r="H246" s="35" t="str">
        <f>IFERROR(__xludf.DUMMYFUNCTION("""COMPUTED_VALUE"""),"REGIONAL 7")</f>
        <v>REGIONAL 7</v>
      </c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5.75" customHeight="1">
      <c r="A247" s="35" t="str">
        <f>IFERROR(__xludf.DUMMYFUNCTION("""COMPUTED_VALUE"""),"27/03/2026 15:45:11")</f>
        <v>27/03/2026 15:45:11</v>
      </c>
      <c r="B247" s="35" t="str">
        <f>IFERROR(__xludf.DUMMYFUNCTION("""COMPUTED_VALUE"""),"2")</f>
        <v>2</v>
      </c>
      <c r="C247" s="36" t="str">
        <f>IFERROR(__xludf.DUMMYFUNCTION("""COMPUTED_VALUE"""),"ASAFE MIQUÉIAS DOS SANTOS VIEIRA")</f>
        <v>ASAFE MIQUÉIAS DOS SANTOS VIEIRA</v>
      </c>
      <c r="D247" s="35" t="str">
        <f>IFERROR(__xludf.DUMMYFUNCTION("""COMPUTED_VALUE"""),"12/10/2024")</f>
        <v>12/10/2024</v>
      </c>
      <c r="E247" s="35" t="str">
        <f>IFERROR(__xludf.DUMMYFUNCTION("""COMPUTED_VALUE"""),"004.348.364-00")</f>
        <v>004.348.364-00</v>
      </c>
      <c r="F247" s="35" t="str">
        <f>IFERROR(__xludf.DUMMYFUNCTION("""COMPUTED_VALUE"""),"INFANTIL 1")</f>
        <v>INFANTIL 1</v>
      </c>
      <c r="G247" s="35" t="str">
        <f>IFERROR(__xludf.DUMMYFUNCTION("""COMPUTED_VALUE"""),"CRECHE MUNICIPAL PROFESSORA SILVIA CRISTINA SANTOS BOTELHO")</f>
        <v>CRECHE MUNICIPAL PROFESSORA SILVIA CRISTINA SANTOS BOTELHO</v>
      </c>
      <c r="H247" s="35" t="str">
        <f>IFERROR(__xludf.DUMMYFUNCTION("""COMPUTED_VALUE"""),"REGIONAL 7")</f>
        <v>REGIONAL 7</v>
      </c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5.75" customHeight="1">
      <c r="A248" s="35" t="str">
        <f>IFERROR(__xludf.DUMMYFUNCTION("""COMPUTED_VALUE"""),"15/04/2026 22:22:20")</f>
        <v>15/04/2026 22:22:20</v>
      </c>
      <c r="B248" s="35" t="str">
        <f>IFERROR(__xludf.DUMMYFUNCTION("""COMPUTED_VALUE"""),"3")</f>
        <v>3</v>
      </c>
      <c r="C248" s="36" t="str">
        <f>IFERROR(__xludf.DUMMYFUNCTION("""COMPUTED_VALUE"""),"ISAAC ELVIS DA SILVA")</f>
        <v>ISAAC ELVIS DA SILVA</v>
      </c>
      <c r="D248" s="35" t="str">
        <f>IFERROR(__xludf.DUMMYFUNCTION("""COMPUTED_VALUE"""),"19/11/2024")</f>
        <v>19/11/2024</v>
      </c>
      <c r="E248" s="35" t="str">
        <f>IFERROR(__xludf.DUMMYFUNCTION("""COMPUTED_VALUE"""),"004.669.314-92")</f>
        <v>004.669.314-92</v>
      </c>
      <c r="F248" s="35" t="str">
        <f>IFERROR(__xludf.DUMMYFUNCTION("""COMPUTED_VALUE"""),"INFANTIL 1")</f>
        <v>INFANTIL 1</v>
      </c>
      <c r="G248" s="35" t="str">
        <f>IFERROR(__xludf.DUMMYFUNCTION("""COMPUTED_VALUE"""),"CRECHE MUNICIPAL PROFESSORA SILVIA CRISTINA SANTOS BOTELHO")</f>
        <v>CRECHE MUNICIPAL PROFESSORA SILVIA CRISTINA SANTOS BOTELHO</v>
      </c>
      <c r="H248" s="35" t="str">
        <f>IFERROR(__xludf.DUMMYFUNCTION("""COMPUTED_VALUE"""),"REGIONAL 7")</f>
        <v>REGIONAL 7</v>
      </c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5.75" customHeight="1">
      <c r="A249" s="35" t="str">
        <f>IFERROR(__xludf.DUMMYFUNCTION("""COMPUTED_VALUE"""),"05/05/2026 10:48:19")</f>
        <v>05/05/2026 10:48:19</v>
      </c>
      <c r="B249" s="35" t="str">
        <f>IFERROR(__xludf.DUMMYFUNCTION("""COMPUTED_VALUE"""),"4")</f>
        <v>4</v>
      </c>
      <c r="C249" s="36" t="str">
        <f>IFERROR(__xludf.DUMMYFUNCTION("""COMPUTED_VALUE"""),"DAVI NOGUEIRA")</f>
        <v>DAVI NOGUEIRA</v>
      </c>
      <c r="D249" s="35" t="str">
        <f>IFERROR(__xludf.DUMMYFUNCTION("""COMPUTED_VALUE"""),"19/06/2024")</f>
        <v>19/06/2024</v>
      </c>
      <c r="E249" s="35" t="str">
        <f>IFERROR(__xludf.DUMMYFUNCTION("""COMPUTED_VALUE"""),"003.540.674-78")</f>
        <v>003.540.674-78</v>
      </c>
      <c r="F249" s="35" t="str">
        <f>IFERROR(__xludf.DUMMYFUNCTION("""COMPUTED_VALUE"""),"INFANTIL 1")</f>
        <v>INFANTIL 1</v>
      </c>
      <c r="G249" s="35" t="str">
        <f>IFERROR(__xludf.DUMMYFUNCTION("""COMPUTED_VALUE"""),"CRECHE MUNICIPAL PROFESSORA SILVIA CRISTINA SANTOS BOTELHO")</f>
        <v>CRECHE MUNICIPAL PROFESSORA SILVIA CRISTINA SANTOS BOTELHO</v>
      </c>
      <c r="H249" s="35" t="str">
        <f>IFERROR(__xludf.DUMMYFUNCTION("""COMPUTED_VALUE"""),"REGIONAL 7")</f>
        <v>REGIONAL 7</v>
      </c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5.75" customHeight="1">
      <c r="A250" s="35" t="str">
        <f>IFERROR(__xludf.DUMMYFUNCTION("""COMPUTED_VALUE"""),"25/05/2026 19:36:10")</f>
        <v>25/05/2026 19:36:10</v>
      </c>
      <c r="B250" s="35" t="str">
        <f>IFERROR(__xludf.DUMMYFUNCTION("""COMPUTED_VALUE"""),"5")</f>
        <v>5</v>
      </c>
      <c r="C250" s="36" t="str">
        <f>IFERROR(__xludf.DUMMYFUNCTION("""COMPUTED_VALUE"""),"Ayla Sophia santos da silva")</f>
        <v>Ayla Sophia santos da silva</v>
      </c>
      <c r="D250" s="35" t="str">
        <f>IFERROR(__xludf.DUMMYFUNCTION("""COMPUTED_VALUE"""),"05/01/2025")</f>
        <v>05/01/2025</v>
      </c>
      <c r="E250" s="35" t="str">
        <f>IFERROR(__xludf.DUMMYFUNCTION("""COMPUTED_VALUE"""),"005.022.224-41")</f>
        <v>005.022.224-41</v>
      </c>
      <c r="F250" s="35" t="str">
        <f>IFERROR(__xludf.DUMMYFUNCTION("""COMPUTED_VALUE"""),"INFANTIL 1")</f>
        <v>INFANTIL 1</v>
      </c>
      <c r="G250" s="35" t="str">
        <f>IFERROR(__xludf.DUMMYFUNCTION("""COMPUTED_VALUE"""),"CRECHE MUNICIPAL PROFESSORA SILVIA CRISTINA SANTOS BOTELHO")</f>
        <v>CRECHE MUNICIPAL PROFESSORA SILVIA CRISTINA SANTOS BOTELHO</v>
      </c>
      <c r="H250" s="35" t="str">
        <f>IFERROR(__xludf.DUMMYFUNCTION("""COMPUTED_VALUE"""),"REGIONAL 7")</f>
        <v>REGIONAL 7</v>
      </c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5.75" customHeight="1">
      <c r="A251" s="35" t="str">
        <f>IFERROR(__xludf.DUMMYFUNCTION("""COMPUTED_VALUE"""),"23/06/2026 14:42:25")</f>
        <v>23/06/2026 14:42:25</v>
      </c>
      <c r="B251" s="35" t="str">
        <f>IFERROR(__xludf.DUMMYFUNCTION("""COMPUTED_VALUE"""),"6")</f>
        <v>6</v>
      </c>
      <c r="C251" s="36" t="str">
        <f>IFERROR(__xludf.DUMMYFUNCTION("""COMPUTED_VALUE"""),"Luíza vitória Sousa de Oliveira Luz")</f>
        <v>Luíza vitória Sousa de Oliveira Luz</v>
      </c>
      <c r="D251" s="35" t="str">
        <f>IFERROR(__xludf.DUMMYFUNCTION("""COMPUTED_VALUE"""),"27/12/2024")</f>
        <v>27/12/2024</v>
      </c>
      <c r="E251" s="35" t="str">
        <f>IFERROR(__xludf.DUMMYFUNCTION("""COMPUTED_VALUE"""),"004.990.694-12")</f>
        <v>004.990.694-12</v>
      </c>
      <c r="F251" s="35" t="str">
        <f>IFERROR(__xludf.DUMMYFUNCTION("""COMPUTED_VALUE"""),"INFANTIL 1")</f>
        <v>INFANTIL 1</v>
      </c>
      <c r="G251" s="35" t="str">
        <f>IFERROR(__xludf.DUMMYFUNCTION("""COMPUTED_VALUE"""),"CRECHE MUNICIPAL PROFESSORA SILVIA CRISTINA SANTOS BOTELHO")</f>
        <v>CRECHE MUNICIPAL PROFESSORA SILVIA CRISTINA SANTOS BOTELHO</v>
      </c>
      <c r="H251" s="35" t="str">
        <f>IFERROR(__xludf.DUMMYFUNCTION("""COMPUTED_VALUE"""),"REGIONAL 7")</f>
        <v>REGIONAL 7</v>
      </c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5.75" customHeight="1">
      <c r="A252" s="35" t="str">
        <f>IFERROR(__xludf.DUMMYFUNCTION("""COMPUTED_VALUE"""),"27/06/2026 22:58:33")</f>
        <v>27/06/2026 22:58:33</v>
      </c>
      <c r="B252" s="35" t="str">
        <f>IFERROR(__xludf.DUMMYFUNCTION("""COMPUTED_VALUE"""),"7")</f>
        <v>7</v>
      </c>
      <c r="C252" s="36" t="str">
        <f>IFERROR(__xludf.DUMMYFUNCTION("""COMPUTED_VALUE"""),"Endrew Gabriel Araújo Guedes")</f>
        <v>Endrew Gabriel Araújo Guedes</v>
      </c>
      <c r="D252" s="35" t="str">
        <f>IFERROR(__xludf.DUMMYFUNCTION("""COMPUTED_VALUE"""),"19/06/2024")</f>
        <v>19/06/2024</v>
      </c>
      <c r="E252" s="35" t="str">
        <f>IFERROR(__xludf.DUMMYFUNCTION("""COMPUTED_VALUE"""),"003.461.974-73")</f>
        <v>003.461.974-73</v>
      </c>
      <c r="F252" s="35" t="str">
        <f>IFERROR(__xludf.DUMMYFUNCTION("""COMPUTED_VALUE"""),"INFANTIL 1")</f>
        <v>INFANTIL 1</v>
      </c>
      <c r="G252" s="35" t="str">
        <f>IFERROR(__xludf.DUMMYFUNCTION("""COMPUTED_VALUE"""),"CRECHE MUNICIPAL PROFESSORA SILVIA CRISTINA SANTOS BOTELHO")</f>
        <v>CRECHE MUNICIPAL PROFESSORA SILVIA CRISTINA SANTOS BOTELHO</v>
      </c>
      <c r="H252" s="35" t="str">
        <f>IFERROR(__xludf.DUMMYFUNCTION("""COMPUTED_VALUE"""),"REGIONAL 7")</f>
        <v>REGIONAL 7</v>
      </c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5.75" customHeight="1">
      <c r="A253" s="35" t="str">
        <f>IFERROR(__xludf.DUMMYFUNCTION("""COMPUTED_VALUE"""),"26/02/2026 09:33:21")</f>
        <v>26/02/2026 09:33:21</v>
      </c>
      <c r="B253" s="35" t="str">
        <f>IFERROR(__xludf.DUMMYFUNCTION("""COMPUTED_VALUE"""),"1")</f>
        <v>1</v>
      </c>
      <c r="C253" s="36" t="str">
        <f>IFERROR(__xludf.DUMMYFUNCTION("""COMPUTED_VALUE"""),"MELANIE LORENA SOARES DA SILVA")</f>
        <v>MELANIE LORENA SOARES DA SILVA</v>
      </c>
      <c r="D253" s="35" t="str">
        <f>IFERROR(__xludf.DUMMYFUNCTION("""COMPUTED_VALUE"""),"20/07/2024")</f>
        <v>20/07/2024</v>
      </c>
      <c r="E253" s="35" t="str">
        <f>IFERROR(__xludf.DUMMYFUNCTION("""COMPUTED_VALUE"""),"003.731.354-16")</f>
        <v>003.731.354-16</v>
      </c>
      <c r="F253" s="35" t="str">
        <f>IFERROR(__xludf.DUMMYFUNCTION("""COMPUTED_VALUE"""),"INFANTIL 1")</f>
        <v>INFANTIL 1</v>
      </c>
      <c r="G253" s="35" t="str">
        <f>IFERROR(__xludf.DUMMYFUNCTION("""COMPUTED_VALUE"""),"CRECHE PROFESSORA LEDA MARIA QUEIROZ DO REGO BARROS")</f>
        <v>CRECHE PROFESSORA LEDA MARIA QUEIROZ DO REGO BARROS</v>
      </c>
      <c r="H253" s="35" t="str">
        <f>IFERROR(__xludf.DUMMYFUNCTION("""COMPUTED_VALUE"""),"REGIONAL 2")</f>
        <v>REGIONAL 2</v>
      </c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5.75" customHeight="1">
      <c r="A254" s="35" t="str">
        <f>IFERROR(__xludf.DUMMYFUNCTION("""COMPUTED_VALUE"""),"05/04/2026 16:11:06")</f>
        <v>05/04/2026 16:11:06</v>
      </c>
      <c r="B254" s="35" t="str">
        <f>IFERROR(__xludf.DUMMYFUNCTION("""COMPUTED_VALUE"""),"2")</f>
        <v>2</v>
      </c>
      <c r="C254" s="36" t="str">
        <f>IFERROR(__xludf.DUMMYFUNCTION("""COMPUTED_VALUE"""),"THÉO NICOLAS FERREIRA GERMANO")</f>
        <v>THÉO NICOLAS FERREIRA GERMANO</v>
      </c>
      <c r="D254" s="35" t="str">
        <f>IFERROR(__xludf.DUMMYFUNCTION("""COMPUTED_VALUE"""),"27/09/2024")</f>
        <v>27/09/2024</v>
      </c>
      <c r="E254" s="35" t="str">
        <f>IFERROR(__xludf.DUMMYFUNCTION("""COMPUTED_VALUE"""),"004.175.444-13")</f>
        <v>004.175.444-13</v>
      </c>
      <c r="F254" s="35" t="str">
        <f>IFERROR(__xludf.DUMMYFUNCTION("""COMPUTED_VALUE"""),"INFANTIL 1")</f>
        <v>INFANTIL 1</v>
      </c>
      <c r="G254" s="35" t="str">
        <f>IFERROR(__xludf.DUMMYFUNCTION("""COMPUTED_VALUE"""),"CRECHE PROFESSORA LEDA MARIA QUEIROZ DO REGO BARROS")</f>
        <v>CRECHE PROFESSORA LEDA MARIA QUEIROZ DO REGO BARROS</v>
      </c>
      <c r="H254" s="35" t="str">
        <f>IFERROR(__xludf.DUMMYFUNCTION("""COMPUTED_VALUE"""),"REGIONAL 2")</f>
        <v>REGIONAL 2</v>
      </c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5.75" customHeight="1">
      <c r="A255" s="35" t="str">
        <f>IFERROR(__xludf.DUMMYFUNCTION("""COMPUTED_VALUE"""),"25/05/2026 11:20:13")</f>
        <v>25/05/2026 11:20:13</v>
      </c>
      <c r="B255" s="35" t="str">
        <f>IFERROR(__xludf.DUMMYFUNCTION("""COMPUTED_VALUE"""),"3")</f>
        <v>3</v>
      </c>
      <c r="C255" s="36" t="str">
        <f>IFERROR(__xludf.DUMMYFUNCTION("""COMPUTED_VALUE"""),"Maria Clara Martins Da Silva")</f>
        <v>Maria Clara Martins Da Silva</v>
      </c>
      <c r="D255" s="35" t="str">
        <f>IFERROR(__xludf.DUMMYFUNCTION("""COMPUTED_VALUE"""),"22/04/2024")</f>
        <v>22/04/2024</v>
      </c>
      <c r="E255" s="35" t="str">
        <f>IFERROR(__xludf.DUMMYFUNCTION("""COMPUTED_VALUE"""),"003.270.114-40")</f>
        <v>003.270.114-40</v>
      </c>
      <c r="F255" s="35" t="str">
        <f>IFERROR(__xludf.DUMMYFUNCTION("""COMPUTED_VALUE"""),"INFANTIL 1")</f>
        <v>INFANTIL 1</v>
      </c>
      <c r="G255" s="35" t="str">
        <f>IFERROR(__xludf.DUMMYFUNCTION("""COMPUTED_VALUE"""),"CRECHE PROFESSORA LEDA MARIA QUEIROZ DO REGO BARROS")</f>
        <v>CRECHE PROFESSORA LEDA MARIA QUEIROZ DO REGO BARROS</v>
      </c>
      <c r="H255" s="35" t="str">
        <f>IFERROR(__xludf.DUMMYFUNCTION("""COMPUTED_VALUE"""),"REGIONAL 2")</f>
        <v>REGIONAL 2</v>
      </c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5.75" customHeight="1">
      <c r="A256" s="35" t="str">
        <f>IFERROR(__xludf.DUMMYFUNCTION("""COMPUTED_VALUE"""),"01/06/2026 12:02:51")</f>
        <v>01/06/2026 12:02:51</v>
      </c>
      <c r="B256" s="35" t="str">
        <f>IFERROR(__xludf.DUMMYFUNCTION("""COMPUTED_VALUE"""),"4")</f>
        <v>4</v>
      </c>
      <c r="C256" s="36" t="str">
        <f>IFERROR(__xludf.DUMMYFUNCTION("""COMPUTED_VALUE"""),"Rannah Valentina Vieira Muniz da Silva")</f>
        <v>Rannah Valentina Vieira Muniz da Silva</v>
      </c>
      <c r="D256" s="35" t="str">
        <f>IFERROR(__xludf.DUMMYFUNCTION("""COMPUTED_VALUE"""),"18/03/2025")</f>
        <v>18/03/2025</v>
      </c>
      <c r="E256" s="35" t="str">
        <f>IFERROR(__xludf.DUMMYFUNCTION("""COMPUTED_VALUE"""),"005.668.444-43")</f>
        <v>005.668.444-43</v>
      </c>
      <c r="F256" s="35" t="str">
        <f>IFERROR(__xludf.DUMMYFUNCTION("""COMPUTED_VALUE"""),"INFANTIL 1")</f>
        <v>INFANTIL 1</v>
      </c>
      <c r="G256" s="35" t="str">
        <f>IFERROR(__xludf.DUMMYFUNCTION("""COMPUTED_VALUE"""),"CRECHE PROFESSORA LEDA MARIA QUEIROZ DO REGO BARROS")</f>
        <v>CRECHE PROFESSORA LEDA MARIA QUEIROZ DO REGO BARROS</v>
      </c>
      <c r="H256" s="35" t="str">
        <f>IFERROR(__xludf.DUMMYFUNCTION("""COMPUTED_VALUE"""),"REGIONAL 2")</f>
        <v>REGIONAL 2</v>
      </c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5.75" customHeight="1">
      <c r="A257" s="35" t="str">
        <f>IFERROR(__xludf.DUMMYFUNCTION("""COMPUTED_VALUE"""),"02/02/2026 18:41:44")</f>
        <v>02/02/2026 18:41:44</v>
      </c>
      <c r="B257" s="35" t="str">
        <f>IFERROR(__xludf.DUMMYFUNCTION("""COMPUTED_VALUE"""),"1")</f>
        <v>1</v>
      </c>
      <c r="C257" s="36" t="str">
        <f>IFERROR(__xludf.DUMMYFUNCTION("""COMPUTED_VALUE"""),"YAN KLEYSLER DE SOUZA PORTO")</f>
        <v>YAN KLEYSLER DE SOUZA PORTO</v>
      </c>
      <c r="D257" s="35" t="str">
        <f>IFERROR(__xludf.DUMMYFUNCTION("""COMPUTED_VALUE"""),"24/06/2023")</f>
        <v>24/06/2023</v>
      </c>
      <c r="E257" s="35" t="str">
        <f>IFERROR(__xludf.DUMMYFUNCTION("""COMPUTED_VALUE"""),"185.920.164-44")</f>
        <v>185.920.164-44</v>
      </c>
      <c r="F257" s="35" t="str">
        <f>IFERROR(__xludf.DUMMYFUNCTION("""COMPUTED_VALUE"""),"INFANTIL 2")</f>
        <v>INFANTIL 2</v>
      </c>
      <c r="G257" s="35" t="str">
        <f>IFERROR(__xludf.DUMMYFUNCTION("""COMPUTED_VALUE"""),"CRECHE PROFESSORA LEDA MARIA QUEIROZ DO REGO BARROS")</f>
        <v>CRECHE PROFESSORA LEDA MARIA QUEIROZ DO REGO BARROS</v>
      </c>
      <c r="H257" s="35" t="str">
        <f>IFERROR(__xludf.DUMMYFUNCTION("""COMPUTED_VALUE"""),"REGIONAL 2")</f>
        <v>REGIONAL 2</v>
      </c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5.75" customHeight="1">
      <c r="A258" s="35" t="str">
        <f>IFERROR(__xludf.DUMMYFUNCTION("""COMPUTED_VALUE"""),"09/02/2026 08:20:49")</f>
        <v>09/02/2026 08:20:49</v>
      </c>
      <c r="B258" s="35" t="str">
        <f>IFERROR(__xludf.DUMMYFUNCTION("""COMPUTED_VALUE"""),"2")</f>
        <v>2</v>
      </c>
      <c r="C258" s="36" t="str">
        <f>IFERROR(__xludf.DUMMYFUNCTION("""COMPUTED_VALUE"""),"THEODORO RODRIGUES DE SOUZA")</f>
        <v>THEODORO RODRIGUES DE SOUZA</v>
      </c>
      <c r="D258" s="35" t="str">
        <f>IFERROR(__xludf.DUMMYFUNCTION("""COMPUTED_VALUE"""),"10/03/2024")</f>
        <v>10/03/2024</v>
      </c>
      <c r="E258" s="35" t="str">
        <f>IFERROR(__xludf.DUMMYFUNCTION("""COMPUTED_VALUE"""),"002.234.014-98")</f>
        <v>002.234.014-98</v>
      </c>
      <c r="F258" s="35" t="str">
        <f>IFERROR(__xludf.DUMMYFUNCTION("""COMPUTED_VALUE"""),"INFANTIL 2")</f>
        <v>INFANTIL 2</v>
      </c>
      <c r="G258" s="35" t="str">
        <f>IFERROR(__xludf.DUMMYFUNCTION("""COMPUTED_VALUE"""),"CRECHE PROFESSORA LEDA MARIA QUEIROZ DO REGO BARROS")</f>
        <v>CRECHE PROFESSORA LEDA MARIA QUEIROZ DO REGO BARROS</v>
      </c>
      <c r="H258" s="35" t="str">
        <f>IFERROR(__xludf.DUMMYFUNCTION("""COMPUTED_VALUE"""),"REGIONAL 2")</f>
        <v>REGIONAL 2</v>
      </c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5.75" customHeight="1">
      <c r="A259" s="35" t="str">
        <f>IFERROR(__xludf.DUMMYFUNCTION("""COMPUTED_VALUE"""),"09/03/2026 10:20:55")</f>
        <v>09/03/2026 10:20:55</v>
      </c>
      <c r="B259" s="35" t="str">
        <f>IFERROR(__xludf.DUMMYFUNCTION("""COMPUTED_VALUE"""),"3")</f>
        <v>3</v>
      </c>
      <c r="C259" s="36" t="str">
        <f>IFERROR(__xludf.DUMMYFUNCTION("""COMPUTED_VALUE"""),"SARAH JAAZIELY DA SILVA ALMEIDA")</f>
        <v>SARAH JAAZIELY DA SILVA ALMEIDA</v>
      </c>
      <c r="D259" s="35" t="str">
        <f>IFERROR(__xludf.DUMMYFUNCTION("""COMPUTED_VALUE"""),"19/06/2023")</f>
        <v>19/06/2023</v>
      </c>
      <c r="E259" s="35" t="str">
        <f>IFERROR(__xludf.DUMMYFUNCTION("""COMPUTED_VALUE"""),"185.906.584-81")</f>
        <v>185.906.584-81</v>
      </c>
      <c r="F259" s="35" t="str">
        <f>IFERROR(__xludf.DUMMYFUNCTION("""COMPUTED_VALUE"""),"INFANTIL 2")</f>
        <v>INFANTIL 2</v>
      </c>
      <c r="G259" s="35" t="str">
        <f>IFERROR(__xludf.DUMMYFUNCTION("""COMPUTED_VALUE"""),"CRECHE PROFESSORA LEDA MARIA QUEIROZ DO REGO BARROS")</f>
        <v>CRECHE PROFESSORA LEDA MARIA QUEIROZ DO REGO BARROS</v>
      </c>
      <c r="H259" s="35" t="str">
        <f>IFERROR(__xludf.DUMMYFUNCTION("""COMPUTED_VALUE"""),"REGIONAL 2")</f>
        <v>REGIONAL 2</v>
      </c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5.75" customHeight="1">
      <c r="A260" s="35" t="str">
        <f>IFERROR(__xludf.DUMMYFUNCTION("""COMPUTED_VALUE"""),"10/04/2026 02:09:34")</f>
        <v>10/04/2026 02:09:34</v>
      </c>
      <c r="B260" s="35" t="str">
        <f>IFERROR(__xludf.DUMMYFUNCTION("""COMPUTED_VALUE"""),"4")</f>
        <v>4</v>
      </c>
      <c r="C260" s="36" t="str">
        <f>IFERROR(__xludf.DUMMYFUNCTION("""COMPUTED_VALUE"""),"SAMUEL RICARDO SANTOS DO NASCIMENTO")</f>
        <v>SAMUEL RICARDO SANTOS DO NASCIMENTO</v>
      </c>
      <c r="D260" s="35" t="str">
        <f>IFERROR(__xludf.DUMMYFUNCTION("""COMPUTED_VALUE"""),"10/08/2023")</f>
        <v>10/08/2023</v>
      </c>
      <c r="E260" s="35" t="str">
        <f>IFERROR(__xludf.DUMMYFUNCTION("""COMPUTED_VALUE"""),"186.203.434-67")</f>
        <v>186.203.434-67</v>
      </c>
      <c r="F260" s="35" t="str">
        <f>IFERROR(__xludf.DUMMYFUNCTION("""COMPUTED_VALUE"""),"INFANTIL 2")</f>
        <v>INFANTIL 2</v>
      </c>
      <c r="G260" s="35" t="str">
        <f>IFERROR(__xludf.DUMMYFUNCTION("""COMPUTED_VALUE"""),"CRECHE PROFESSORA LEDA MARIA QUEIROZ DO REGO BARROS")</f>
        <v>CRECHE PROFESSORA LEDA MARIA QUEIROZ DO REGO BARROS</v>
      </c>
      <c r="H260" s="35" t="str">
        <f>IFERROR(__xludf.DUMMYFUNCTION("""COMPUTED_VALUE"""),"REGIONAL 2")</f>
        <v>REGIONAL 2</v>
      </c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5.75" customHeight="1">
      <c r="A261" s="35" t="str">
        <f>IFERROR(__xludf.DUMMYFUNCTION("""COMPUTED_VALUE"""),"22/04/2026 11:52:44")</f>
        <v>22/04/2026 11:52:44</v>
      </c>
      <c r="B261" s="35" t="str">
        <f>IFERROR(__xludf.DUMMYFUNCTION("""COMPUTED_VALUE"""),"5")</f>
        <v>5</v>
      </c>
      <c r="C261" s="36" t="str">
        <f>IFERROR(__xludf.DUMMYFUNCTION("""COMPUTED_VALUE"""),"HARIEL MIGUEL FAUSTINO")</f>
        <v>HARIEL MIGUEL FAUSTINO</v>
      </c>
      <c r="D261" s="35" t="str">
        <f>IFERROR(__xludf.DUMMYFUNCTION("""COMPUTED_VALUE"""),"15/07/2023")</f>
        <v>15/07/2023</v>
      </c>
      <c r="E261" s="35" t="str">
        <f>IFERROR(__xludf.DUMMYFUNCTION("""COMPUTED_VALUE"""),"186.111.564-47")</f>
        <v>186.111.564-47</v>
      </c>
      <c r="F261" s="35" t="str">
        <f>IFERROR(__xludf.DUMMYFUNCTION("""COMPUTED_VALUE"""),"INFANTIL 2")</f>
        <v>INFANTIL 2</v>
      </c>
      <c r="G261" s="35" t="str">
        <f>IFERROR(__xludf.DUMMYFUNCTION("""COMPUTED_VALUE"""),"CRECHE PROFESSORA LEDA MARIA QUEIROZ DO REGO BARROS")</f>
        <v>CRECHE PROFESSORA LEDA MARIA QUEIROZ DO REGO BARROS</v>
      </c>
      <c r="H261" s="35" t="str">
        <f>IFERROR(__xludf.DUMMYFUNCTION("""COMPUTED_VALUE"""),"REGIONAL 2")</f>
        <v>REGIONAL 2</v>
      </c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5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5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5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5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5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5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5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5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5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5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5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5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5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5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5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5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5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5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5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5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5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5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5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5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5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5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5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5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5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5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5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5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5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5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5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5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5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5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5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5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5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5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5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5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5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5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5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5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5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5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5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5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5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5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5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5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5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5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5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5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5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5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5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5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5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5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5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5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5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5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5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5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5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5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5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5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5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5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5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5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5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5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5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5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5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5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5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5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5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5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5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5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5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5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5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5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5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5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5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5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5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5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5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5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5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5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5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5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5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5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5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5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5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5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5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5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5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5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5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5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5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5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5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5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5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5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5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5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5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5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5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5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5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5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5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5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5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5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5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5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5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5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5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5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5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5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5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5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5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5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5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5.75" customHeight="1">
      <c r="A413" s="35"/>
      <c r="B413" s="35"/>
      <c r="C413" s="37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5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5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5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5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5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5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5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5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5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5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5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5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5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5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5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5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5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5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5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5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5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5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5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5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5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5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5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5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5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5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5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5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5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5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5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5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5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5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5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5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5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5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5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5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5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5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5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5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5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5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5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5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5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5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5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5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5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5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5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5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5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5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5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5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5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5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5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5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5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5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5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5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5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5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5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5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5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5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5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5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5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5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5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5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5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5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5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5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5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5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5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5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5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5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5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5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5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5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5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5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5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5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5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5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5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5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5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5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5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5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5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5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5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5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5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5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5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5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5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5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5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5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5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5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5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5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5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5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5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5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5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5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5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5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5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5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5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5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5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5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5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5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5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5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5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5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5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5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5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5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5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5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5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5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5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5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5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5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5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5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5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5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5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5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5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5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5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5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5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5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5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5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5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5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5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5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5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5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5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5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5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5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5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5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5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5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5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5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5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5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5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5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5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5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5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5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5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5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5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5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5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5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5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5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5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5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5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5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5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5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5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5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5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5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5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5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5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5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5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5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5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5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5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5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5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5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5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5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5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5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5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5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5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5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5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5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5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5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5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5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5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5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5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5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5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5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5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5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5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5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5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5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5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5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5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5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5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5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5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5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5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5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5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5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5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5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5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5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5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5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5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5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5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5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5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5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5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5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5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5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5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5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5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5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5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5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5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5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5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5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5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5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5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5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5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5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5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5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5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5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5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5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5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5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5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5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5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5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5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5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5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5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5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5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5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5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5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5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5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5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5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5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5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5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5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5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5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5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5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5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5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5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5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5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5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5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5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5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5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5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5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5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5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5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5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5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5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5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5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5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5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5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5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5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5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5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5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5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5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5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5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5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5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5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5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5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5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5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5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5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5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5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5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5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5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5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5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5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5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5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5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5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5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5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5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5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5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5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5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5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5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5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5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5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5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5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5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5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5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5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5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5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5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5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5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5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5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5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5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5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5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5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5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5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5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5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5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5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5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5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5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5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5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5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5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5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5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5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5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5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5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5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5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5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5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5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5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5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5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5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5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5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5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5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5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5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5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5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5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5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5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5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5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5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5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5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5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5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5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5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5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5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5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5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5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5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5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5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5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5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5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5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5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5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5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5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5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5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5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5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5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5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5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5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5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5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5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5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5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5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5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5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5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5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5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5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5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5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5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5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5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5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5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5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5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57"/>
    <col customWidth="1" min="2" max="2" width="18.14"/>
    <col customWidth="1" min="3" max="3" width="16.43"/>
    <col customWidth="1" min="4" max="4" width="20.86"/>
    <col customWidth="1" min="5" max="5" width="34.57"/>
    <col customWidth="1" min="6" max="6" width="9.57"/>
    <col customWidth="1" min="7" max="7" width="54.14"/>
    <col customWidth="1" min="8" max="8" width="30.57"/>
    <col customWidth="1" hidden="1" min="9" max="26" width="31.71"/>
  </cols>
  <sheetData>
    <row r="1">
      <c r="A1" s="39" t="s">
        <v>411</v>
      </c>
      <c r="B1" s="40" t="s">
        <v>7</v>
      </c>
      <c r="C1" s="40" t="s">
        <v>412</v>
      </c>
      <c r="D1" s="40" t="s">
        <v>413</v>
      </c>
      <c r="E1" s="40" t="s">
        <v>11</v>
      </c>
      <c r="F1" s="41" t="s">
        <v>414</v>
      </c>
      <c r="G1" s="41" t="s">
        <v>415</v>
      </c>
      <c r="H1" s="41" t="s">
        <v>1</v>
      </c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tr">
        <f>dados_01!A2</f>
        <v>24/03/2026 13:31:53</v>
      </c>
      <c r="B2" s="1" t="str">
        <f>dados_01!B2</f>
        <v>1</v>
      </c>
      <c r="C2" s="1" t="str">
        <f>IFERROR(__xludf.DUMMYFUNCTION("JOIN("". "", ARRAYFORMULA(IFERROR(LEFT(SPLIT(dados_01!C2, "" ""), 1))))"),"M. E. S. F. D. S")</f>
        <v>M. E. S. F. D. S</v>
      </c>
      <c r="D2" s="1" t="str">
        <f>dados_01!D2</f>
        <v>09/06/2024</v>
      </c>
      <c r="E2" s="1" t="str">
        <f>CONCATENATE(LEFT(dados_01!E2,3),REPT("*",6),RIGHT(dados_01!E2,2))</f>
        <v>004******90</v>
      </c>
      <c r="F2" s="1" t="str">
        <f>dados_01!F2</f>
        <v>INFANTIL 1</v>
      </c>
      <c r="G2" s="1" t="str">
        <f>dados_01!G2</f>
        <v>CEMEI DR. PAULO MENDES</v>
      </c>
      <c r="H2" s="1" t="str">
        <f>dados_01!H2</f>
        <v>REGIONAL 7</v>
      </c>
      <c r="I2" s="1" t="str">
        <f>dados_01!I2</f>
        <v/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tr">
        <f>dados_01!A3</f>
        <v>27/03/2026 12:51:51</v>
      </c>
      <c r="B3" s="1" t="str">
        <f>dados_01!B3</f>
        <v>2</v>
      </c>
      <c r="C3" s="1" t="str">
        <f>IFERROR(__xludf.DUMMYFUNCTION("JOIN("". "", ARRAYFORMULA(IFERROR(LEFT(SPLIT(dados_01!C3, "" ""), 1))))"),"O. B. D. S. L")</f>
        <v>O. B. D. S. L</v>
      </c>
      <c r="D3" s="1" t="str">
        <f>dados_01!D3</f>
        <v>13/11/2025</v>
      </c>
      <c r="E3" s="1" t="str">
        <f>CONCATENATE(LEFT(dados_01!E3,3),REPT("*",6),RIGHT(dados_01!E3,2))</f>
        <v>022******00</v>
      </c>
      <c r="F3" s="1" t="str">
        <f>dados_01!F3</f>
        <v>INFANTIL 1</v>
      </c>
      <c r="G3" s="1" t="str">
        <f>dados_01!G3</f>
        <v>CEMEI DR. PAULO MENDES</v>
      </c>
      <c r="H3" s="1" t="str">
        <f>dados_01!H3</f>
        <v>REGIONAL 7</v>
      </c>
      <c r="I3" s="1" t="str">
        <f>dados_01!I3</f>
        <v/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tr">
        <f>dados_01!A4</f>
        <v>21/05/2026 11:32:39</v>
      </c>
      <c r="B4" s="1" t="str">
        <f>dados_01!B4</f>
        <v>3</v>
      </c>
      <c r="C4" s="1" t="str">
        <f>IFERROR(__xludf.DUMMYFUNCTION("JOIN("". "", ARRAYFORMULA(IFERROR(LEFT(SPLIT(dados_01!C4, "" ""), 1))))"),"K. H. D. A. S")</f>
        <v>K. H. D. A. S</v>
      </c>
      <c r="D4" s="1" t="str">
        <f>dados_01!D4</f>
        <v>01/04/2024</v>
      </c>
      <c r="E4" s="1" t="str">
        <f>CONCATENATE(LEFT(dados_01!E4,3),REPT("*",6),RIGHT(dados_01!E4,2))</f>
        <v>002******69</v>
      </c>
      <c r="F4" s="1" t="str">
        <f>dados_01!F4</f>
        <v>INFANTIL 1</v>
      </c>
      <c r="G4" s="1" t="str">
        <f>dados_01!G4</f>
        <v>CEMEI DR. PAULO MENDES</v>
      </c>
      <c r="H4" s="1" t="str">
        <f>dados_01!H4</f>
        <v>REGIONAL 7</v>
      </c>
      <c r="I4" s="1" t="str">
        <f>dados_01!I4</f>
        <v/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tr">
        <f>dados_01!A5</f>
        <v>22/05/2026 09:22:30</v>
      </c>
      <c r="B5" s="1" t="str">
        <f>dados_01!B5</f>
        <v>4</v>
      </c>
      <c r="C5" s="1" t="str">
        <f>IFERROR(__xludf.DUMMYFUNCTION("JOIN("". "", ARRAYFORMULA(IFERROR(LEFT(SPLIT(dados_01!C5, "" ""), 1))))"),"A. E. M. d. S")</f>
        <v>A. E. M. d. S</v>
      </c>
      <c r="D5" s="1" t="str">
        <f>dados_01!D5</f>
        <v>27/07/2024</v>
      </c>
      <c r="E5" s="1" t="str">
        <f>CONCATENATE(LEFT(dados_01!E5,3),REPT("*",6),RIGHT(dados_01!E5,2))</f>
        <v>003******46</v>
      </c>
      <c r="F5" s="1" t="str">
        <f>dados_01!F5</f>
        <v>INFANTIL 1</v>
      </c>
      <c r="G5" s="1" t="str">
        <f>dados_01!G5</f>
        <v>CEMEI DR. PAULO MENDES</v>
      </c>
      <c r="H5" s="1" t="str">
        <f>dados_01!H5</f>
        <v>REGIONAL 7</v>
      </c>
      <c r="I5" s="1" t="str">
        <f>dados_01!I5</f>
        <v/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tr">
        <f>dados_01!A6</f>
        <v>23/06/2026 09:32:02</v>
      </c>
      <c r="B6" s="1" t="str">
        <f>dados_01!B6</f>
        <v>5</v>
      </c>
      <c r="C6" s="1" t="str">
        <f>IFERROR(__xludf.DUMMYFUNCTION("JOIN("". "", ARRAYFORMULA(IFERROR(LEFT(SPLIT(dados_01!C6, "" ""), 1))))"),"M. L. T. D. M")</f>
        <v>M. L. T. D. M</v>
      </c>
      <c r="D6" s="1" t="str">
        <f>dados_01!D6</f>
        <v>25/11/2024</v>
      </c>
      <c r="E6" s="1" t="str">
        <f>CONCATENATE(LEFT(dados_01!E6,3),REPT("*",6),RIGHT(dados_01!E6,2))</f>
        <v>004******93</v>
      </c>
      <c r="F6" s="1" t="str">
        <f>dados_01!F6</f>
        <v>INFANTIL 1</v>
      </c>
      <c r="G6" s="1" t="str">
        <f>dados_01!G6</f>
        <v>CEMEI DR. PAULO MENDES</v>
      </c>
      <c r="H6" s="1" t="str">
        <f>dados_01!H6</f>
        <v>REGIONAL 7</v>
      </c>
      <c r="I6" s="1" t="str">
        <f>dados_01!I6</f>
        <v/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 t="str">
        <f>dados_01!A7</f>
        <v>23/06/2026 09:36:48</v>
      </c>
      <c r="B7" s="1" t="str">
        <f>dados_01!B7</f>
        <v>6</v>
      </c>
      <c r="C7" s="1" t="str">
        <f>IFERROR(__xludf.DUMMYFUNCTION("JOIN("". "", ARRAYFORMULA(IFERROR(LEFT(SPLIT(dados_01!C7, "" ""), 1))))"),"F. L. T. D. M")</f>
        <v>F. L. T. D. M</v>
      </c>
      <c r="D7" s="1" t="str">
        <f>dados_01!D7</f>
        <v>25/11/2024</v>
      </c>
      <c r="E7" s="1" t="str">
        <f>CONCATENATE(LEFT(dados_01!E7,3),REPT("*",6),RIGHT(dados_01!E7,2))</f>
        <v>004******05</v>
      </c>
      <c r="F7" s="1" t="str">
        <f>dados_01!F7</f>
        <v>INFANTIL 1</v>
      </c>
      <c r="G7" s="1" t="str">
        <f>dados_01!G7</f>
        <v>CEMEI DR. PAULO MENDES</v>
      </c>
      <c r="H7" s="1" t="str">
        <f>dados_01!H7</f>
        <v>REGIONAL 7</v>
      </c>
      <c r="I7" s="1" t="str">
        <f>dados_01!I7</f>
        <v/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tr">
        <f>dados_01!A8</f>
        <v>10/06/2026 11:22:14</v>
      </c>
      <c r="B8" s="1" t="str">
        <f>dados_01!B8</f>
        <v>1</v>
      </c>
      <c r="C8" s="1" t="str">
        <f>IFERROR(__xludf.DUMMYFUNCTION("JOIN("". "", ARRAYFORMULA(IFERROR(LEFT(SPLIT(dados_01!C8, "" ""), 1))))"),"B. G. S. D. S")</f>
        <v>B. G. S. D. S</v>
      </c>
      <c r="D8" s="1" t="str">
        <f>dados_01!D8</f>
        <v>10/11/2023</v>
      </c>
      <c r="E8" s="1" t="str">
        <f>CONCATENATE(LEFT(dados_01!E8,3),REPT("*",6),RIGHT(dados_01!E8,2))</f>
        <v>001******18</v>
      </c>
      <c r="F8" s="1" t="str">
        <f>dados_01!F8</f>
        <v>INFANTIL 2</v>
      </c>
      <c r="G8" s="1" t="str">
        <f>dados_01!G8</f>
        <v>CEMEI DR. PAULO MENDES</v>
      </c>
      <c r="H8" s="1" t="str">
        <f>dados_01!H8</f>
        <v>REGIONAL 7</v>
      </c>
      <c r="I8" s="1" t="str">
        <f>dados_01!I8</f>
        <v/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 t="str">
        <f>dados_01!A9</f>
        <v>05/03/2026 14:41:21</v>
      </c>
      <c r="B9" s="1" t="str">
        <f>dados_01!B9</f>
        <v>1</v>
      </c>
      <c r="C9" s="1" t="str">
        <f>IFERROR(__xludf.DUMMYFUNCTION("JOIN("". "", ARRAYFORMULA(IFERROR(LEFT(SPLIT(dados_01!C9, "" ""), 1))))"),"I. L. G. D. S")</f>
        <v>I. L. G. D. S</v>
      </c>
      <c r="D9" s="1" t="str">
        <f>dados_01!D9</f>
        <v>04/03/2023</v>
      </c>
      <c r="E9" s="1" t="str">
        <f>CONCATENATE(LEFT(dados_01!E9,3),REPT("*",6),RIGHT(dados_01!E9,2))</f>
        <v>184******23</v>
      </c>
      <c r="F9" s="1" t="str">
        <f>dados_01!F9</f>
        <v>INFANTIL 3</v>
      </c>
      <c r="G9" s="1" t="str">
        <f>dados_01!G9</f>
        <v>CEMEI DR. PAULO MENDES</v>
      </c>
      <c r="H9" s="1" t="str">
        <f>dados_01!H9</f>
        <v>REGIONAL 7</v>
      </c>
      <c r="I9" s="1" t="str">
        <f>dados_01!I9</f>
        <v/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 t="str">
        <f>dados_01!A10</f>
        <v>15/05/2026 11:07:04</v>
      </c>
      <c r="B10" s="1" t="str">
        <f>dados_01!B10</f>
        <v>2</v>
      </c>
      <c r="C10" s="1" t="str">
        <f>IFERROR(__xludf.DUMMYFUNCTION("JOIN("". "", ARRAYFORMULA(IFERROR(LEFT(SPLIT(dados_01!C10, "" ""), 1))))"),"A. M. D. B")</f>
        <v>A. M. D. B</v>
      </c>
      <c r="D10" s="1" t="str">
        <f>dados_01!D10</f>
        <v>04/08/2022</v>
      </c>
      <c r="E10" s="1" t="str">
        <f>CONCATENATE(LEFT(dados_01!E10,3),REPT("*",6),RIGHT(dados_01!E10,2))</f>
        <v>182******30</v>
      </c>
      <c r="F10" s="1" t="str">
        <f>dados_01!F10</f>
        <v>INFANTIL 3</v>
      </c>
      <c r="G10" s="1" t="str">
        <f>dados_01!G10</f>
        <v>CEMEI DR. PAULO MENDES</v>
      </c>
      <c r="H10" s="1" t="str">
        <f>dados_01!H10</f>
        <v>REGIONAL 7</v>
      </c>
      <c r="I10" s="1" t="str">
        <f>dados_01!I10</f>
        <v/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tr">
        <f>dados_01!A11</f>
        <v>18/05/2026 09:15:19</v>
      </c>
      <c r="B11" s="1" t="str">
        <f>dados_01!B11</f>
        <v>3</v>
      </c>
      <c r="C11" s="1" t="str">
        <f>IFERROR(__xludf.DUMMYFUNCTION("JOIN("". "", ARRAYFORMULA(IFERROR(LEFT(SPLIT(dados_01!C11, "" ""), 1))))"),"H. V. S. D")</f>
        <v>H. V. S. D</v>
      </c>
      <c r="D11" s="1" t="str">
        <f>dados_01!D11</f>
        <v>11/01/2023</v>
      </c>
      <c r="E11" s="1" t="str">
        <f>CONCATENATE(LEFT(dados_01!E11,3),REPT("*",6),RIGHT(dados_01!E11,2))</f>
        <v>184******20</v>
      </c>
      <c r="F11" s="1" t="str">
        <f>dados_01!F11</f>
        <v>INFANTIL 3</v>
      </c>
      <c r="G11" s="1" t="str">
        <f>dados_01!G11</f>
        <v>CEMEI DR. PAULO MENDES</v>
      </c>
      <c r="H11" s="1" t="str">
        <f>dados_01!H11</f>
        <v>REGIONAL 7</v>
      </c>
      <c r="I11" s="1" t="str">
        <f>dados_01!I11</f>
        <v/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 t="str">
        <f>dados_01!A12</f>
        <v>06/02/2026 09:17:41</v>
      </c>
      <c r="B12" s="1" t="str">
        <f>dados_01!B12</f>
        <v>1</v>
      </c>
      <c r="C12" s="1" t="str">
        <f>IFERROR(__xludf.DUMMYFUNCTION("JOIN("". "", ARRAYFORMULA(IFERROR(LEFT(SPLIT(dados_01!C12, "" ""), 1))))"),"J. V. C. C")</f>
        <v>J. V. C. C</v>
      </c>
      <c r="D12" s="1" t="str">
        <f>dados_01!D12</f>
        <v>26/03/2023</v>
      </c>
      <c r="E12" s="1" t="str">
        <f>CONCATENATE(LEFT(dados_01!E12,3),REPT("*",6),RIGHT(dados_01!E12,2))</f>
        <v>184******42</v>
      </c>
      <c r="F12" s="1" t="str">
        <f>dados_01!F12</f>
        <v>INFANTIL 3</v>
      </c>
      <c r="G12" s="1" t="str">
        <f>dados_01!G12</f>
        <v>CEMEI ELIEL EUSTAQUIO DA SILVA</v>
      </c>
      <c r="H12" s="1" t="str">
        <f>dados_01!H12</f>
        <v>REGIONAL 7</v>
      </c>
      <c r="I12" s="1" t="str">
        <f>dados_01!I12</f>
        <v/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 t="str">
        <f>dados_01!A13</f>
        <v>04/05/2026 08:16:17</v>
      </c>
      <c r="B13" s="1" t="str">
        <f>dados_01!B13</f>
        <v>2</v>
      </c>
      <c r="C13" s="1" t="str">
        <f>IFERROR(__xludf.DUMMYFUNCTION("JOIN("". "", ARRAYFORMULA(IFERROR(LEFT(SPLIT(dados_01!C13, "" ""), 1))))"),"A. A. D. P. S")</f>
        <v>A. A. D. P. S</v>
      </c>
      <c r="D13" s="1" t="str">
        <f>dados_01!D13</f>
        <v>24/12/2022</v>
      </c>
      <c r="E13" s="1" t="str">
        <f>CONCATENATE(LEFT(dados_01!E13,3),REPT("*",6),RIGHT(dados_01!E13,2))</f>
        <v>183******09</v>
      </c>
      <c r="F13" s="1" t="str">
        <f>dados_01!F13</f>
        <v>INFANTIL 3</v>
      </c>
      <c r="G13" s="1" t="str">
        <f>dados_01!G13</f>
        <v>CEMEI ELIEL EUSTAQUIO DA SILVA</v>
      </c>
      <c r="H13" s="1" t="str">
        <f>dados_01!H13</f>
        <v>REGIONAL 7</v>
      </c>
      <c r="I13" s="1" t="str">
        <f>dados_01!I13</f>
        <v/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 t="str">
        <f>dados_01!A14</f>
        <v>22/06/2026 14:09:23</v>
      </c>
      <c r="B14" s="1" t="str">
        <f>dados_01!B14</f>
        <v>3</v>
      </c>
      <c r="C14" s="1" t="str">
        <f>IFERROR(__xludf.DUMMYFUNCTION("JOIN("". "", ARRAYFORMULA(IFERROR(LEFT(SPLIT(dados_01!C14, "" ""), 1))))"),"I. V. d. S")</f>
        <v>I. V. d. S</v>
      </c>
      <c r="D14" s="1" t="str">
        <f>dados_01!D14</f>
        <v>07/04/2022</v>
      </c>
      <c r="E14" s="1" t="str">
        <f>CONCATENATE(LEFT(dados_01!E14,3),REPT("*",6),RIGHT(dados_01!E14,2))</f>
        <v>181******03</v>
      </c>
      <c r="F14" s="1" t="str">
        <f>dados_01!F14</f>
        <v>INFANTIL 3</v>
      </c>
      <c r="G14" s="1" t="str">
        <f>dados_01!G14</f>
        <v>CEMEI ELIEL EUSTAQUIO DA SILVA</v>
      </c>
      <c r="H14" s="1" t="str">
        <f>dados_01!H14</f>
        <v>REGIONAL 7</v>
      </c>
      <c r="I14" s="1" t="str">
        <f>dados_01!I14</f>
        <v/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 t="str">
        <f>dados_01!A15</f>
        <v>09/03/2026 17:29:00</v>
      </c>
      <c r="B15" s="1" t="str">
        <f>dados_01!B15</f>
        <v>1</v>
      </c>
      <c r="C15" s="1" t="str">
        <f>IFERROR(__xludf.DUMMYFUNCTION("JOIN("". "", ARRAYFORMULA(IFERROR(LEFT(SPLIT(dados_01!C15, "" ""), 1))))"),"M. D. C. M. C")</f>
        <v>M. D. C. M. C</v>
      </c>
      <c r="D15" s="1" t="str">
        <f>dados_01!D15</f>
        <v>21/05/2024</v>
      </c>
      <c r="E15" s="1" t="str">
        <f>CONCATENATE(LEFT(dados_01!E15,3),REPT("*",6),RIGHT(dados_01!E15,2))</f>
        <v>003******58</v>
      </c>
      <c r="F15" s="1" t="str">
        <f>dados_01!F15</f>
        <v>INFANTIL 1</v>
      </c>
      <c r="G15" s="1" t="str">
        <f>dados_01!G15</f>
        <v>CEMEI LIGIA ARAUJO DE OLIVEIRA</v>
      </c>
      <c r="H15" s="1" t="str">
        <f>dados_01!H15</f>
        <v>REGIONAL 6</v>
      </c>
      <c r="I15" s="1" t="str">
        <f>dados_01!I15</f>
        <v/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 t="str">
        <f>dados_01!A16</f>
        <v>23/03/2026 19:01:28</v>
      </c>
      <c r="B16" s="1" t="str">
        <f>dados_01!B16</f>
        <v>2</v>
      </c>
      <c r="C16" s="1" t="str">
        <f>IFERROR(__xludf.DUMMYFUNCTION("JOIN("". "", ARRAYFORMULA(IFERROR(LEFT(SPLIT(dados_01!C16, "" ""), 1))))"),"L. S. S")</f>
        <v>L. S. S</v>
      </c>
      <c r="D16" s="1" t="str">
        <f>dados_01!D16</f>
        <v>15/05/2024</v>
      </c>
      <c r="E16" s="1" t="str">
        <f>CONCATENATE(LEFT(dados_01!E16,3),REPT("*",6),RIGHT(dados_01!E16,2))</f>
        <v>003******82</v>
      </c>
      <c r="F16" s="1" t="str">
        <f>dados_01!F16</f>
        <v>INFANTIL 1</v>
      </c>
      <c r="G16" s="1" t="str">
        <f>dados_01!G16</f>
        <v>CEMEI LIGIA ARAUJO DE OLIVEIRA</v>
      </c>
      <c r="H16" s="1" t="str">
        <f>dados_01!H16</f>
        <v>REGIONAL 6</v>
      </c>
      <c r="I16" s="1" t="str">
        <f>dados_01!I16</f>
        <v/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 t="str">
        <f>dados_01!A17</f>
        <v>28/01/2026 08:07:40</v>
      </c>
      <c r="B17" s="1" t="str">
        <f>dados_01!B17</f>
        <v>1</v>
      </c>
      <c r="C17" s="1" t="str">
        <f>IFERROR(__xludf.DUMMYFUNCTION("JOIN("". "", ARRAYFORMULA(IFERROR(LEFT(SPLIT(dados_01!C17, "" ""), 1))))"),"Í. M. E. D. S")</f>
        <v>Í. M. E. D. S</v>
      </c>
      <c r="D17" s="1" t="str">
        <f>dados_01!D17</f>
        <v>19/08/2023</v>
      </c>
      <c r="E17" s="1" t="str">
        <f>CONCATENATE(LEFT(dados_01!E17,3),REPT("*",6),RIGHT(dados_01!E17,2))</f>
        <v>001******67</v>
      </c>
      <c r="F17" s="1" t="str">
        <f>dados_01!F17</f>
        <v>INFANTIL 2</v>
      </c>
      <c r="G17" s="1" t="str">
        <f>dados_01!G17</f>
        <v>CEMEI LIGIA ARAUJO DE OLIVEIRA</v>
      </c>
      <c r="H17" s="1" t="str">
        <f>dados_01!H17</f>
        <v>REGIONAL 6</v>
      </c>
      <c r="I17" s="1" t="str">
        <f>dados_01!I17</f>
        <v/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 t="str">
        <f>dados_01!A18</f>
        <v>29/01/2026 10:35:38</v>
      </c>
      <c r="B18" s="1" t="str">
        <f>dados_01!B18</f>
        <v>2</v>
      </c>
      <c r="C18" s="1" t="str">
        <f>IFERROR(__xludf.DUMMYFUNCTION("JOIN("". "", ARRAYFORMULA(IFERROR(LEFT(SPLIT(dados_01!C18, "" ""), 1))))"),"O. H. L. L")</f>
        <v>O. H. L. L</v>
      </c>
      <c r="D18" s="1" t="str">
        <f>dados_01!D18</f>
        <v>27/05/2023</v>
      </c>
      <c r="E18" s="1" t="str">
        <f>CONCATENATE(LEFT(dados_01!E18,3),REPT("*",6),RIGHT(dados_01!E18,2))</f>
        <v>185******18</v>
      </c>
      <c r="F18" s="1" t="str">
        <f>dados_01!F18</f>
        <v>INFANTIL 2</v>
      </c>
      <c r="G18" s="1" t="str">
        <f>dados_01!G18</f>
        <v>CEMEI LIGIA ARAUJO DE OLIVEIRA</v>
      </c>
      <c r="H18" s="1" t="str">
        <f>dados_01!H18</f>
        <v>REGIONAL 6</v>
      </c>
      <c r="I18" s="1" t="str">
        <f>dados_01!I18</f>
        <v/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 t="str">
        <f>dados_01!A19</f>
        <v>11/03/2026 10:19:05</v>
      </c>
      <c r="B19" s="1" t="str">
        <f>dados_01!B19</f>
        <v>3</v>
      </c>
      <c r="C19" s="1" t="str">
        <f>IFERROR(__xludf.DUMMYFUNCTION("JOIN("". "", ARRAYFORMULA(IFERROR(LEFT(SPLIT(dados_01!C19, "" ""), 1))))"),"A. G. D. S. S")</f>
        <v>A. G. D. S. S</v>
      </c>
      <c r="D19" s="1" t="str">
        <f>dados_01!D19</f>
        <v>30/12/2023</v>
      </c>
      <c r="E19" s="1" t="str">
        <f>CONCATENATE(LEFT(dados_01!E19,3),REPT("*",6),RIGHT(dados_01!E19,2))</f>
        <v>001******00</v>
      </c>
      <c r="F19" s="1" t="str">
        <f>dados_01!F19</f>
        <v>INFANTIL 2</v>
      </c>
      <c r="G19" s="1" t="str">
        <f>dados_01!G19</f>
        <v>CEMEI LIGIA ARAUJO DE OLIVEIRA</v>
      </c>
      <c r="H19" s="1" t="str">
        <f>dados_01!H19</f>
        <v>REGIONAL 6</v>
      </c>
      <c r="I19" s="1" t="str">
        <f>dados_01!I19</f>
        <v/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 t="str">
        <f>dados_01!A20</f>
        <v>20/04/2026 12:53:45</v>
      </c>
      <c r="B20" s="1" t="str">
        <f>dados_01!B20</f>
        <v>4</v>
      </c>
      <c r="C20" s="1" t="str">
        <f>IFERROR(__xludf.DUMMYFUNCTION("JOIN("". "", ARRAYFORMULA(IFERROR(LEFT(SPLIT(dados_01!C20, "" ""), 1))))"),"I. M. D. D. S")</f>
        <v>I. M. D. D. S</v>
      </c>
      <c r="D20" s="1" t="str">
        <f>dados_01!D20</f>
        <v>02/05/2023</v>
      </c>
      <c r="E20" s="1" t="str">
        <f>CONCATENATE(LEFT(dados_01!E20,3),REPT("*",6),RIGHT(dados_01!E20,2))</f>
        <v>166******37</v>
      </c>
      <c r="F20" s="1" t="str">
        <f>dados_01!F20</f>
        <v>INFANTIL 2</v>
      </c>
      <c r="G20" s="1" t="str">
        <f>dados_01!G20</f>
        <v>CEMEI LIGIA ARAUJO DE OLIVEIRA</v>
      </c>
      <c r="H20" s="1" t="str">
        <f>dados_01!H20</f>
        <v>REGIONAL 6</v>
      </c>
      <c r="I20" s="1" t="str">
        <f>dados_01!I20</f>
        <v/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tr">
        <f>dados_01!A21</f>
        <v>08/05/2026 07:30:21</v>
      </c>
      <c r="B21" s="1" t="str">
        <f>dados_01!B21</f>
        <v>5</v>
      </c>
      <c r="C21" s="1" t="str">
        <f>IFERROR(__xludf.DUMMYFUNCTION("JOIN("". "", ARRAYFORMULA(IFERROR(LEFT(SPLIT(dados_01!C21, "" ""), 1))))"),"H. G. M. D. S")</f>
        <v>H. G. M. D. S</v>
      </c>
      <c r="D21" s="1" t="str">
        <f>dados_01!D21</f>
        <v>20/05/2023</v>
      </c>
      <c r="E21" s="1" t="str">
        <f>CONCATENATE(LEFT(dados_01!E21,3),REPT("*",6),RIGHT(dados_01!E21,2))</f>
        <v>185******29</v>
      </c>
      <c r="F21" s="1" t="str">
        <f>dados_01!F21</f>
        <v>INFANTIL 2</v>
      </c>
      <c r="G21" s="1" t="str">
        <f>dados_01!G21</f>
        <v>CEMEI LIGIA ARAUJO DE OLIVEIRA</v>
      </c>
      <c r="H21" s="1" t="str">
        <f>dados_01!H21</f>
        <v>REGIONAL 6</v>
      </c>
      <c r="I21" s="1" t="str">
        <f>dados_01!I21</f>
        <v/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tr">
        <f>dados_01!A22</f>
        <v>10/06/2026 09:35:26</v>
      </c>
      <c r="B22" s="1" t="str">
        <f>dados_01!B22</f>
        <v>6</v>
      </c>
      <c r="C22" s="1" t="str">
        <f>IFERROR(__xludf.DUMMYFUNCTION("JOIN("". "", ARRAYFORMULA(IFERROR(LEFT(SPLIT(dados_01!C22, "" ""), 1))))"),"H. L. P. D. S")</f>
        <v>H. L. P. D. S</v>
      </c>
      <c r="D22" s="1" t="str">
        <f>dados_01!D22</f>
        <v>22/06/2023</v>
      </c>
      <c r="E22" s="1" t="str">
        <f>CONCATENATE(LEFT(dados_01!E22,3),REPT("*",6),RIGHT(dados_01!E22,2))</f>
        <v>035******53</v>
      </c>
      <c r="F22" s="1" t="str">
        <f>dados_01!F22</f>
        <v>INFANTIL 2</v>
      </c>
      <c r="G22" s="1" t="str">
        <f>dados_01!G22</f>
        <v>CEMEI LIGIA ARAUJO DE OLIVEIRA</v>
      </c>
      <c r="H22" s="1" t="str">
        <f>dados_01!H22</f>
        <v>REGIONAL 6</v>
      </c>
      <c r="I22" s="1" t="str">
        <f>dados_01!I22</f>
        <v/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tr">
        <f>dados_01!A23</f>
        <v>03/02/2026 14:12:28</v>
      </c>
      <c r="B23" s="1" t="str">
        <f>dados_01!B23</f>
        <v>1</v>
      </c>
      <c r="C23" s="1" t="str">
        <f>IFERROR(__xludf.DUMMYFUNCTION("JOIN("". "", ARRAYFORMULA(IFERROR(LEFT(SPLIT(dados_01!C23, "" ""), 1))))"),"A. F. D. S")</f>
        <v>A. F. D. S</v>
      </c>
      <c r="D23" s="1" t="str">
        <f>dados_01!D23</f>
        <v>22/11/2022</v>
      </c>
      <c r="E23" s="1" t="str">
        <f>CONCATENATE(LEFT(dados_01!E23,3),REPT("*",6),RIGHT(dados_01!E23,2))</f>
        <v>183******05</v>
      </c>
      <c r="F23" s="1" t="str">
        <f>dados_01!F23</f>
        <v>INFANTIL 3</v>
      </c>
      <c r="G23" s="1" t="str">
        <f>dados_01!G23</f>
        <v>CEMEI LIGIA ARAUJO DE OLIVEIRA</v>
      </c>
      <c r="H23" s="1" t="str">
        <f>dados_01!H23</f>
        <v>REGIONAL 6</v>
      </c>
      <c r="I23" s="1" t="str">
        <f>dados_01!I23</f>
        <v/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tr">
        <f>dados_01!A24</f>
        <v>03/02/2026 14:18:57</v>
      </c>
      <c r="B24" s="1" t="str">
        <f>dados_01!B24</f>
        <v>2</v>
      </c>
      <c r="C24" s="1" t="str">
        <f>IFERROR(__xludf.DUMMYFUNCTION("JOIN("". "", ARRAYFORMULA(IFERROR(LEFT(SPLIT(dados_01!C24, "" ""), 1))))"),"A. F. D. S")</f>
        <v>A. F. D. S</v>
      </c>
      <c r="D24" s="1" t="str">
        <f>dados_01!D24</f>
        <v>22/11/2022</v>
      </c>
      <c r="E24" s="1" t="str">
        <f>CONCATENATE(LEFT(dados_01!E24,3),REPT("*",6),RIGHT(dados_01!E24,2))</f>
        <v>183******11</v>
      </c>
      <c r="F24" s="1" t="str">
        <f>dados_01!F24</f>
        <v>INFANTIL 3</v>
      </c>
      <c r="G24" s="1" t="str">
        <f>dados_01!G24</f>
        <v>CEMEI LIGIA ARAUJO DE OLIVEIRA</v>
      </c>
      <c r="H24" s="1" t="str">
        <f>dados_01!H24</f>
        <v>REGIONAL 6</v>
      </c>
      <c r="I24" s="1" t="str">
        <f>dados_01!I24</f>
        <v/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tr">
        <f>dados_01!A25</f>
        <v>23/02/2026 20:39:24</v>
      </c>
      <c r="B25" s="1" t="str">
        <f>dados_01!B25</f>
        <v>3</v>
      </c>
      <c r="C25" s="1" t="str">
        <f>IFERROR(__xludf.DUMMYFUNCTION("JOIN("". "", ARRAYFORMULA(IFERROR(LEFT(SPLIT(dados_01!C25, "" ""), 1))))"),"A. E. P. D. S")</f>
        <v>A. E. P. D. S</v>
      </c>
      <c r="D25" s="1" t="str">
        <f>dados_01!D25</f>
        <v>31/08/2022</v>
      </c>
      <c r="E25" s="1" t="str">
        <f>CONCATENATE(LEFT(dados_01!E25,3),REPT("*",6),RIGHT(dados_01!E25,2))</f>
        <v>182******05</v>
      </c>
      <c r="F25" s="1" t="str">
        <f>dados_01!F25</f>
        <v>INFANTIL 3</v>
      </c>
      <c r="G25" s="1" t="str">
        <f>dados_01!G25</f>
        <v>CEMEI LIGIA ARAUJO DE OLIVEIRA</v>
      </c>
      <c r="H25" s="1" t="str">
        <f>dados_01!H25</f>
        <v>REGIONAL 6</v>
      </c>
      <c r="I25" s="1" t="str">
        <f>dados_01!I25</f>
        <v/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tr">
        <f>dados_01!A26</f>
        <v>19/03/2026 08:28:18</v>
      </c>
      <c r="B26" s="1" t="str">
        <f>dados_01!B26</f>
        <v>1</v>
      </c>
      <c r="C26" s="1" t="str">
        <f>IFERROR(__xludf.DUMMYFUNCTION("JOIN("". "", ARRAYFORMULA(IFERROR(LEFT(SPLIT(dados_01!C26, "" ""), 1))))"),"M. C. D. L")</f>
        <v>M. C. D. L</v>
      </c>
      <c r="D26" s="1" t="str">
        <f>dados_01!D26</f>
        <v>16/12/2024</v>
      </c>
      <c r="E26" s="1" t="str">
        <f>CONCATENATE(LEFT(dados_01!E26,3),REPT("*",6),RIGHT(dados_01!E26,2))</f>
        <v>004******32</v>
      </c>
      <c r="F26" s="1" t="str">
        <f>dados_01!F26</f>
        <v>INFANTIL 1</v>
      </c>
      <c r="G26" s="1" t="str">
        <f>dados_01!G26</f>
        <v>CEMEI PROFª MARIA LUZIA RIO LIMA</v>
      </c>
      <c r="H26" s="1" t="str">
        <f>dados_01!H26</f>
        <v>REGIONAL 5</v>
      </c>
      <c r="I26" s="1" t="str">
        <f>dados_01!I26</f>
        <v/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tr">
        <f>dados_01!A27</f>
        <v>19/03/2026 08:46:18</v>
      </c>
      <c r="B27" s="1" t="str">
        <f>dados_01!B27</f>
        <v>2</v>
      </c>
      <c r="C27" s="1" t="str">
        <f>IFERROR(__xludf.DUMMYFUNCTION("JOIN("". "", ARRAYFORMULA(IFERROR(LEFT(SPLIT(dados_01!C27, "" ""), 1))))"),"M. F. D. L")</f>
        <v>M. F. D. L</v>
      </c>
      <c r="D27" s="1" t="str">
        <f>dados_01!D27</f>
        <v>16/12/2024</v>
      </c>
      <c r="E27" s="1" t="str">
        <f>CONCATENATE(LEFT(dados_01!E27,3),REPT("*",6),RIGHT(dados_01!E27,2))</f>
        <v>004******97</v>
      </c>
      <c r="F27" s="1" t="str">
        <f>dados_01!F27</f>
        <v>INFANTIL 1</v>
      </c>
      <c r="G27" s="1" t="str">
        <f>dados_01!G27</f>
        <v>CEMEI PROFª MARIA LUZIA RIO LIMA</v>
      </c>
      <c r="H27" s="1" t="str">
        <f>dados_01!H27</f>
        <v>REGIONAL 5</v>
      </c>
      <c r="I27" s="1" t="str">
        <f>dados_01!I27</f>
        <v/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tr">
        <f>dados_01!A28</f>
        <v>06/05/2026 15:38:45</v>
      </c>
      <c r="B28" s="1" t="str">
        <f>dados_01!B28</f>
        <v>3</v>
      </c>
      <c r="C28" s="1" t="str">
        <f>IFERROR(__xludf.DUMMYFUNCTION("JOIN("". "", ARRAYFORMULA(IFERROR(LEFT(SPLIT(dados_01!C28, "" ""), 1))))"),"E. L. F. D. S")</f>
        <v>E. L. F. D. S</v>
      </c>
      <c r="D28" s="1" t="str">
        <f>dados_01!D28</f>
        <v>05/09/2024</v>
      </c>
      <c r="E28" s="1" t="str">
        <f>CONCATENATE(LEFT(dados_01!E28,3),REPT("*",6),RIGHT(dados_01!E28,2))</f>
        <v>118******81</v>
      </c>
      <c r="F28" s="1" t="str">
        <f>dados_01!F28</f>
        <v>INFANTIL 1</v>
      </c>
      <c r="G28" s="1" t="str">
        <f>dados_01!G28</f>
        <v>CEMEI PROFª MARIA LUZIA RIO LIMA</v>
      </c>
      <c r="H28" s="1" t="str">
        <f>dados_01!H28</f>
        <v>REGIONAL 5</v>
      </c>
      <c r="I28" s="1" t="str">
        <f>dados_01!I28</f>
        <v/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tr">
        <f>dados_01!A29</f>
        <v>10/06/2026 16:57:35</v>
      </c>
      <c r="B29" s="1" t="str">
        <f>dados_01!B29</f>
        <v>4</v>
      </c>
      <c r="C29" s="1" t="str">
        <f>IFERROR(__xludf.DUMMYFUNCTION("JOIN("". "", ARRAYFORMULA(IFERROR(LEFT(SPLIT(dados_01!C29, "" ""), 1))))"),"E. S. d. m")</f>
        <v>E. S. d. m</v>
      </c>
      <c r="D29" s="1" t="str">
        <f>dados_01!D29</f>
        <v>19/09/2024</v>
      </c>
      <c r="E29" s="1" t="str">
        <f>CONCATENATE(LEFT(dados_01!E29,3),REPT("*",6),RIGHT(dados_01!E29,2))</f>
        <v>004******08</v>
      </c>
      <c r="F29" s="1" t="str">
        <f>dados_01!F29</f>
        <v>INFANTIL 1</v>
      </c>
      <c r="G29" s="1" t="str">
        <f>dados_01!G29</f>
        <v>CEMEI PROFª MARIA LUZIA RIO LIMA</v>
      </c>
      <c r="H29" s="1" t="str">
        <f>dados_01!H29</f>
        <v>REGIONAL 5</v>
      </c>
      <c r="I29" s="1" t="str">
        <f>dados_01!I29</f>
        <v/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tr">
        <f>dados_01!A30</f>
        <v>10/06/2026 17:01:25</v>
      </c>
      <c r="B30" s="1" t="str">
        <f>dados_01!B30</f>
        <v>5</v>
      </c>
      <c r="C30" s="1" t="str">
        <f>IFERROR(__xludf.DUMMYFUNCTION("JOIN("". "", ARRAYFORMULA(IFERROR(LEFT(SPLIT(dados_01!C30, "" ""), 1))))"),"D. S. d. M")</f>
        <v>D. S. d. M</v>
      </c>
      <c r="D30" s="1" t="str">
        <f>dados_01!D30</f>
        <v>19/09/2024</v>
      </c>
      <c r="E30" s="1" t="str">
        <f>CONCATENATE(LEFT(dados_01!E30,3),REPT("*",6),RIGHT(dados_01!E30,2))</f>
        <v>004******92</v>
      </c>
      <c r="F30" s="1" t="str">
        <f>dados_01!F30</f>
        <v>INFANTIL 1</v>
      </c>
      <c r="G30" s="1" t="str">
        <f>dados_01!G30</f>
        <v>CEMEI PROFª MARIA LUZIA RIO LIMA</v>
      </c>
      <c r="H30" s="1" t="str">
        <f>dados_01!H30</f>
        <v>REGIONAL 5</v>
      </c>
      <c r="I30" s="1" t="str">
        <f>dados_01!I30</f>
        <v/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 t="str">
        <f>dados_01!A31</f>
        <v>02/02/2026 09:13:57</v>
      </c>
      <c r="B31" s="1" t="str">
        <f>dados_01!B31</f>
        <v>1</v>
      </c>
      <c r="C31" s="1" t="str">
        <f>IFERROR(__xludf.DUMMYFUNCTION("JOIN("". "", ARRAYFORMULA(IFERROR(LEFT(SPLIT(dados_01!C31, "" ""), 1))))"),"Í. P. S. R")</f>
        <v>Í. P. S. R</v>
      </c>
      <c r="D31" s="1" t="str">
        <f>dados_01!D31</f>
        <v>17/01/2026</v>
      </c>
      <c r="E31" s="1" t="str">
        <f>CONCATENATE(LEFT(dados_01!E31,3),REPT("*",6),RIGHT(dados_01!E31,2))</f>
        <v>041******53</v>
      </c>
      <c r="F31" s="1" t="str">
        <f>dados_01!F31</f>
        <v>INFANTIL 1</v>
      </c>
      <c r="G31" s="1" t="str">
        <f>dados_01!G31</f>
        <v>CEMEI PROFESSORA CIBELE DE ANDRADE MENDES DE AZEVEDO</v>
      </c>
      <c r="H31" s="1" t="str">
        <f>dados_01!H31</f>
        <v>REGIONAL 7</v>
      </c>
      <c r="I31" s="1" t="str">
        <f>dados_01!I31</f>
        <v/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 t="str">
        <f>dados_01!A32</f>
        <v>04/02/2026 08:52:54</v>
      </c>
      <c r="B32" s="1" t="str">
        <f>dados_01!B32</f>
        <v>2</v>
      </c>
      <c r="C32" s="1" t="str">
        <f>IFERROR(__xludf.DUMMYFUNCTION("JOIN("". "", ARRAYFORMULA(IFERROR(LEFT(SPLIT(dados_01!C32, "" ""), 1))))"),"R. J. D. S")</f>
        <v>R. J. D. S</v>
      </c>
      <c r="D32" s="1" t="str">
        <f>dados_01!D32</f>
        <v>18/04/2024</v>
      </c>
      <c r="E32" s="1" t="str">
        <f>CONCATENATE(LEFT(dados_01!E32,3),REPT("*",6),RIGHT(dados_01!E32,2))</f>
        <v>003******54</v>
      </c>
      <c r="F32" s="1" t="str">
        <f>dados_01!F32</f>
        <v>INFANTIL 1</v>
      </c>
      <c r="G32" s="1" t="str">
        <f>dados_01!G32</f>
        <v>CEMEI PROFESSORA CIBELE DE ANDRADE MENDES DE AZEVEDO</v>
      </c>
      <c r="H32" s="1" t="str">
        <f>dados_01!H32</f>
        <v>REGIONAL 7</v>
      </c>
      <c r="I32" s="1" t="str">
        <f>dados_01!I32</f>
        <v/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 t="str">
        <f>dados_01!A33</f>
        <v>05/02/2026 12:22:17</v>
      </c>
      <c r="B33" s="1" t="str">
        <f>dados_01!B33</f>
        <v>3</v>
      </c>
      <c r="C33" s="1" t="str">
        <f>IFERROR(__xludf.DUMMYFUNCTION("JOIN("". "", ARRAYFORMULA(IFERROR(LEFT(SPLIT(dados_01!C33, "" ""), 1))))"),"E. J. N. D. S")</f>
        <v>E. J. N. D. S</v>
      </c>
      <c r="D33" s="1" t="str">
        <f>dados_01!D33</f>
        <v>12/08/2024</v>
      </c>
      <c r="E33" s="1" t="str">
        <f>CONCATENATE(LEFT(dados_01!E33,3),REPT("*",6),RIGHT(dados_01!E33,2))</f>
        <v>003******75</v>
      </c>
      <c r="F33" s="1" t="str">
        <f>dados_01!F33</f>
        <v>INFANTIL 1</v>
      </c>
      <c r="G33" s="1" t="str">
        <f>dados_01!G33</f>
        <v>CEMEI PROFESSORA CIBELE DE ANDRADE MENDES DE AZEVEDO</v>
      </c>
      <c r="H33" s="1" t="str">
        <f>dados_01!H33</f>
        <v>REGIONAL 7</v>
      </c>
      <c r="I33" s="1" t="str">
        <f>dados_01!I33</f>
        <v/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 t="str">
        <f>dados_01!A34</f>
        <v>05/02/2026 13:29:32</v>
      </c>
      <c r="B34" s="1" t="str">
        <f>dados_01!B34</f>
        <v>4</v>
      </c>
      <c r="C34" s="1" t="str">
        <f>IFERROR(__xludf.DUMMYFUNCTION("JOIN("". "", ARRAYFORMULA(IFERROR(LEFT(SPLIT(dados_01!C34, "" ""), 1))))"),"O. L. D. A")</f>
        <v>O. L. D. A</v>
      </c>
      <c r="D34" s="1" t="str">
        <f>dados_01!D34</f>
        <v>16/05/2024</v>
      </c>
      <c r="E34" s="1" t="str">
        <f>CONCATENATE(LEFT(dados_01!E34,3),REPT("*",6),RIGHT(dados_01!E34,2))</f>
        <v>002******90</v>
      </c>
      <c r="F34" s="1" t="str">
        <f>dados_01!F34</f>
        <v>INFANTIL 1</v>
      </c>
      <c r="G34" s="1" t="str">
        <f>dados_01!G34</f>
        <v>CEMEI PROFESSORA CIBELE DE ANDRADE MENDES DE AZEVEDO</v>
      </c>
      <c r="H34" s="1" t="str">
        <f>dados_01!H34</f>
        <v>REGIONAL 7</v>
      </c>
      <c r="I34" s="1" t="str">
        <f>dados_01!I34</f>
        <v/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 t="str">
        <f>dados_01!A35</f>
        <v>05/02/2026 15:38:24</v>
      </c>
      <c r="B35" s="1" t="str">
        <f>dados_01!B35</f>
        <v>5</v>
      </c>
      <c r="C35" s="1" t="str">
        <f>IFERROR(__xludf.DUMMYFUNCTION("JOIN("". "", ARRAYFORMULA(IFERROR(LEFT(SPLIT(dados_01!C35, "" ""), 1))))"),"T. E. R. D. B")</f>
        <v>T. E. R. D. B</v>
      </c>
      <c r="D35" s="1" t="str">
        <f>dados_01!D35</f>
        <v>19/05/2024</v>
      </c>
      <c r="E35" s="1" t="str">
        <f>CONCATENATE(LEFT(dados_01!E35,3),REPT("*",6),RIGHT(dados_01!E35,2))</f>
        <v>003******75</v>
      </c>
      <c r="F35" s="1" t="str">
        <f>dados_01!F35</f>
        <v>INFANTIL 1</v>
      </c>
      <c r="G35" s="1" t="str">
        <f>dados_01!G35</f>
        <v>CEMEI PROFESSORA CIBELE DE ANDRADE MENDES DE AZEVEDO</v>
      </c>
      <c r="H35" s="1" t="str">
        <f>dados_01!H35</f>
        <v>REGIONAL 7</v>
      </c>
      <c r="I35" s="1" t="str">
        <f>dados_01!I35</f>
        <v/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 t="str">
        <f>dados_01!A36</f>
        <v>05/02/2026 20:35:45</v>
      </c>
      <c r="B36" s="1" t="str">
        <f>dados_01!B36</f>
        <v>6</v>
      </c>
      <c r="C36" s="1" t="str">
        <f>IFERROR(__xludf.DUMMYFUNCTION("JOIN("". "", ARRAYFORMULA(IFERROR(LEFT(SPLIT(dados_01!C36, "" ""), 1))))"),"Y. B. D. S. A")</f>
        <v>Y. B. D. S. A</v>
      </c>
      <c r="D36" s="1" t="str">
        <f>dados_01!D36</f>
        <v>14/03/2025</v>
      </c>
      <c r="E36" s="1" t="str">
        <f>CONCATENATE(LEFT(dados_01!E36,3),REPT("*",6),RIGHT(dados_01!E36,2))</f>
        <v>005******33</v>
      </c>
      <c r="F36" s="1" t="str">
        <f>dados_01!F36</f>
        <v>INFANTIL 1</v>
      </c>
      <c r="G36" s="1" t="str">
        <f>dados_01!G36</f>
        <v>CEMEI PROFESSORA CIBELE DE ANDRADE MENDES DE AZEVEDO</v>
      </c>
      <c r="H36" s="1" t="str">
        <f>dados_01!H36</f>
        <v>REGIONAL 7</v>
      </c>
      <c r="I36" s="1" t="str">
        <f>dados_01!I36</f>
        <v/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 t="str">
        <f>dados_01!A37</f>
        <v>23/02/2026 14:03:33</v>
      </c>
      <c r="B37" s="1" t="str">
        <f>dados_01!B37</f>
        <v>7</v>
      </c>
      <c r="C37" s="1" t="str">
        <f>IFERROR(__xludf.DUMMYFUNCTION("JOIN("". "", ARRAYFORMULA(IFERROR(LEFT(SPLIT(dados_01!C37, "" ""), 1))))"),"E. S. D. S")</f>
        <v>E. S. D. S</v>
      </c>
      <c r="D37" s="1" t="str">
        <f>dados_01!D37</f>
        <v>10/04/2024</v>
      </c>
      <c r="E37" s="1" t="str">
        <f>CONCATENATE(LEFT(dados_01!E37,3),REPT("*",6),RIGHT(dados_01!E37,2))</f>
        <v>002******63</v>
      </c>
      <c r="F37" s="1" t="str">
        <f>dados_01!F37</f>
        <v>INFANTIL 1</v>
      </c>
      <c r="G37" s="1" t="str">
        <f>dados_01!G37</f>
        <v>CEMEI PROFESSORA CIBELE DE ANDRADE MENDES DE AZEVEDO</v>
      </c>
      <c r="H37" s="1" t="str">
        <f>dados_01!H37</f>
        <v>REGIONAL 7</v>
      </c>
      <c r="I37" s="1" t="str">
        <f>dados_01!I37</f>
        <v/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 t="str">
        <f>dados_01!A38</f>
        <v>16/03/2026 10:09:54</v>
      </c>
      <c r="B38" s="1" t="str">
        <f>dados_01!B38</f>
        <v>8</v>
      </c>
      <c r="C38" s="1" t="str">
        <f>IFERROR(__xludf.DUMMYFUNCTION("JOIN("". "", ARRAYFORMULA(IFERROR(LEFT(SPLIT(dados_01!C38, "" ""), 1))))"),"H. M. C. M. T")</f>
        <v>H. M. C. M. T</v>
      </c>
      <c r="D38" s="1" t="str">
        <f>dados_01!D38</f>
        <v>15/04/2024</v>
      </c>
      <c r="E38" s="1" t="str">
        <f>CONCATENATE(LEFT(dados_01!E38,3),REPT("*",6),RIGHT(dados_01!E38,2))</f>
        <v>002******57</v>
      </c>
      <c r="F38" s="1" t="str">
        <f>dados_01!F38</f>
        <v>INFANTIL 1</v>
      </c>
      <c r="G38" s="1" t="str">
        <f>dados_01!G38</f>
        <v>CEMEI PROFESSORA CIBELE DE ANDRADE MENDES DE AZEVEDO</v>
      </c>
      <c r="H38" s="1" t="str">
        <f>dados_01!H38</f>
        <v>REGIONAL 7</v>
      </c>
      <c r="I38" s="1" t="str">
        <f>dados_01!I38</f>
        <v/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 t="str">
        <f>dados_01!A39</f>
        <v>18/03/2026 12:28:10</v>
      </c>
      <c r="B39" s="1" t="str">
        <f>dados_01!B39</f>
        <v>9</v>
      </c>
      <c r="C39" s="1" t="str">
        <f>IFERROR(__xludf.DUMMYFUNCTION("JOIN("". "", ARRAYFORMULA(IFERROR(LEFT(SPLIT(dados_01!C39, "" ""), 1))))"),"L. E. S. D. S")</f>
        <v>L. E. S. D. S</v>
      </c>
      <c r="D39" s="1" t="str">
        <f>dados_01!D39</f>
        <v>19/01/2026</v>
      </c>
      <c r="E39" s="1" t="str">
        <f>CONCATENATE(LEFT(dados_01!E39,3),REPT("*",6),RIGHT(dados_01!E39,2))</f>
        <v>045******34</v>
      </c>
      <c r="F39" s="1" t="str">
        <f>dados_01!F39</f>
        <v>INFANTIL 1</v>
      </c>
      <c r="G39" s="1" t="str">
        <f>dados_01!G39</f>
        <v>CEMEI PROFESSORA CIBELE DE ANDRADE MENDES DE AZEVEDO</v>
      </c>
      <c r="H39" s="1" t="str">
        <f>dados_01!H39</f>
        <v>REGIONAL 7</v>
      </c>
      <c r="I39" s="1" t="str">
        <f>dados_01!I39</f>
        <v/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 t="str">
        <f>dados_01!A40</f>
        <v>26/03/2026 18:22:32</v>
      </c>
      <c r="B40" s="1" t="str">
        <f>dados_01!B40</f>
        <v>10</v>
      </c>
      <c r="C40" s="1" t="str">
        <f>IFERROR(__xludf.DUMMYFUNCTION("JOIN("". "", ARRAYFORMULA(IFERROR(LEFT(SPLIT(dados_01!C40, "" ""), 1))))"),"A. M. A. D. B")</f>
        <v>A. M. A. D. B</v>
      </c>
      <c r="D40" s="1" t="str">
        <f>dados_01!D40</f>
        <v>20/11/2024</v>
      </c>
      <c r="E40" s="1" t="str">
        <f>CONCATENATE(LEFT(dados_01!E40,3),REPT("*",6),RIGHT(dados_01!E40,2))</f>
        <v>004******56</v>
      </c>
      <c r="F40" s="1" t="str">
        <f>dados_01!F40</f>
        <v>INFANTIL 1</v>
      </c>
      <c r="G40" s="1" t="str">
        <f>dados_01!G40</f>
        <v>CEMEI PROFESSORA CIBELE DE ANDRADE MENDES DE AZEVEDO</v>
      </c>
      <c r="H40" s="1" t="str">
        <f>dados_01!H40</f>
        <v>REGIONAL 7</v>
      </c>
      <c r="I40" s="1" t="str">
        <f>dados_01!I40</f>
        <v/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 t="str">
        <f>dados_01!A41</f>
        <v>29/04/2026 15:44:18</v>
      </c>
      <c r="B41" s="1" t="str">
        <f>dados_01!B41</f>
        <v>11</v>
      </c>
      <c r="C41" s="1" t="str">
        <f>IFERROR(__xludf.DUMMYFUNCTION("JOIN("". "", ARRAYFORMULA(IFERROR(LEFT(SPLIT(dados_01!C41, "" ""), 1))))"),"A. S. C. D. L")</f>
        <v>A. S. C. D. L</v>
      </c>
      <c r="D41" s="1" t="str">
        <f>dados_01!D41</f>
        <v>06/05/2025</v>
      </c>
      <c r="E41" s="1" t="str">
        <f>CONCATENATE(LEFT(dados_01!E41,3),REPT("*",6),RIGHT(dados_01!E41,2))</f>
        <v>006******16</v>
      </c>
      <c r="F41" s="1" t="str">
        <f>dados_01!F41</f>
        <v>INFANTIL 1</v>
      </c>
      <c r="G41" s="1" t="str">
        <f>dados_01!G41</f>
        <v>CEMEI PROFESSORA CIBELE DE ANDRADE MENDES DE AZEVEDO</v>
      </c>
      <c r="H41" s="1" t="str">
        <f>dados_01!H41</f>
        <v>REGIONAL 7</v>
      </c>
      <c r="I41" s="1" t="str">
        <f>dados_01!I41</f>
        <v/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 t="str">
        <f>dados_01!A42</f>
        <v>19/05/2026 10:34:49</v>
      </c>
      <c r="B42" s="1" t="str">
        <f>dados_01!B42</f>
        <v>12</v>
      </c>
      <c r="C42" s="1" t="str">
        <f>IFERROR(__xludf.DUMMYFUNCTION("JOIN("". "", ARRAYFORMULA(IFERROR(LEFT(SPLIT(dados_01!C42, "" ""), 1))))"),"H. C. C")</f>
        <v>H. C. C</v>
      </c>
      <c r="D42" s="1" t="str">
        <f>dados_01!D42</f>
        <v>25/10/2025</v>
      </c>
      <c r="E42" s="1" t="str">
        <f>CONCATENATE(LEFT(dados_01!E42,3),REPT("*",6),RIGHT(dados_01!E42,2))</f>
        <v>017******72</v>
      </c>
      <c r="F42" s="1" t="str">
        <f>dados_01!F42</f>
        <v>INFANTIL 1</v>
      </c>
      <c r="G42" s="1" t="str">
        <f>dados_01!G42</f>
        <v>CEMEI PROFESSORA CIBELE DE ANDRADE MENDES DE AZEVEDO</v>
      </c>
      <c r="H42" s="1" t="str">
        <f>dados_01!H42</f>
        <v>REGIONAL 7</v>
      </c>
      <c r="I42" s="1" t="str">
        <f>dados_01!I42</f>
        <v/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 t="str">
        <f>dados_01!A43</f>
        <v>25/05/2026 18:01:52</v>
      </c>
      <c r="B43" s="1" t="str">
        <f>dados_01!B43</f>
        <v>13</v>
      </c>
      <c r="C43" s="1" t="str">
        <f>IFERROR(__xludf.DUMMYFUNCTION("JOIN("". "", ARRAYFORMULA(IFERROR(LEFT(SPLIT(dados_01!C43, "" ""), 1))))"),"N. U. A. d. S")</f>
        <v>N. U. A. d. S</v>
      </c>
      <c r="D43" s="1" t="str">
        <f>dados_01!D43</f>
        <v>15/04/2025</v>
      </c>
      <c r="E43" s="1" t="str">
        <f>CONCATENATE(LEFT(dados_01!E43,3),REPT("*",6),RIGHT(dados_01!E43,2))</f>
        <v>005******36</v>
      </c>
      <c r="F43" s="1" t="str">
        <f>dados_01!F43</f>
        <v>INFANTIL 1</v>
      </c>
      <c r="G43" s="1" t="str">
        <f>dados_01!G43</f>
        <v>CEMEI PROFESSORA CIBELE DE ANDRADE MENDES DE AZEVEDO</v>
      </c>
      <c r="H43" s="1" t="str">
        <f>dados_01!H43</f>
        <v>REGIONAL 7</v>
      </c>
      <c r="I43" s="1" t="str">
        <f>dados_01!I43</f>
        <v/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 t="str">
        <f>dados_01!A44</f>
        <v>10/03/2026 12:16:11</v>
      </c>
      <c r="B44" s="1" t="str">
        <f>dados_01!B44</f>
        <v>1</v>
      </c>
      <c r="C44" s="1" t="str">
        <f>IFERROR(__xludf.DUMMYFUNCTION("JOIN("". "", ARRAYFORMULA(IFERROR(LEFT(SPLIT(dados_01!C44, "" ""), 1))))"),"M. V. C. D. L")</f>
        <v>M. V. C. D. L</v>
      </c>
      <c r="D44" s="1" t="str">
        <f>dados_01!D44</f>
        <v>17/01/2024</v>
      </c>
      <c r="E44" s="1" t="str">
        <f>CONCATENATE(LEFT(dados_01!E44,3),REPT("*",6),RIGHT(dados_01!E44,2))</f>
        <v>001******86</v>
      </c>
      <c r="F44" s="1" t="str">
        <f>dados_01!F44</f>
        <v>INFANTIL 2</v>
      </c>
      <c r="G44" s="1" t="str">
        <f>dados_01!G44</f>
        <v>CEMEI PROFESSORA CIBELE DE ANDRADE MENDES DE AZEVEDO</v>
      </c>
      <c r="H44" s="1" t="str">
        <f>dados_01!H44</f>
        <v>REGIONAL 7</v>
      </c>
      <c r="I44" s="1" t="str">
        <f>dados_01!I44</f>
        <v/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 t="str">
        <f>dados_01!A45</f>
        <v>17/03/2026 09:54:44</v>
      </c>
      <c r="B45" s="1" t="str">
        <f>dados_01!B45</f>
        <v>2</v>
      </c>
      <c r="C45" s="1" t="str">
        <f>IFERROR(__xludf.DUMMYFUNCTION("JOIN("". "", ARRAYFORMULA(IFERROR(LEFT(SPLIT(dados_01!C45, "" ""), 1))))"),"E. S. S. D. S")</f>
        <v>E. S. S. D. S</v>
      </c>
      <c r="D45" s="1" t="str">
        <f>dados_01!D45</f>
        <v>03/01/2024</v>
      </c>
      <c r="E45" s="1" t="str">
        <f>CONCATENATE(LEFT(dados_01!E45,3),REPT("*",6),RIGHT(dados_01!E45,2))</f>
        <v>001******28</v>
      </c>
      <c r="F45" s="1" t="str">
        <f>dados_01!F45</f>
        <v>INFANTIL 2</v>
      </c>
      <c r="G45" s="1" t="str">
        <f>dados_01!G45</f>
        <v>CEMEI PROFESSORA CIBELE DE ANDRADE MENDES DE AZEVEDO</v>
      </c>
      <c r="H45" s="1" t="str">
        <f>dados_01!H45</f>
        <v>REGIONAL 7</v>
      </c>
      <c r="I45" s="1" t="str">
        <f>dados_01!I45</f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 t="str">
        <f>dados_01!A46</f>
        <v>05/05/2026 11:36:38</v>
      </c>
      <c r="B46" s="1" t="str">
        <f>dados_01!B46</f>
        <v>3</v>
      </c>
      <c r="C46" s="1" t="str">
        <f>IFERROR(__xludf.DUMMYFUNCTION("JOIN("". "", ARRAYFORMULA(IFERROR(LEFT(SPLIT(dados_01!C46, "" ""), 1))))"),"L. M. G. A")</f>
        <v>L. M. G. A</v>
      </c>
      <c r="D46" s="1" t="str">
        <f>dados_01!D46</f>
        <v>08/01/2024</v>
      </c>
      <c r="E46" s="1" t="str">
        <f>CONCATENATE(LEFT(dados_01!E46,3),REPT("*",6),RIGHT(dados_01!E46,2))</f>
        <v>001******55</v>
      </c>
      <c r="F46" s="1" t="str">
        <f>dados_01!F46</f>
        <v>INFANTIL 2</v>
      </c>
      <c r="G46" s="1" t="str">
        <f>dados_01!G46</f>
        <v>CEMEI PROFESSORA CIBELE DE ANDRADE MENDES DE AZEVEDO</v>
      </c>
      <c r="H46" s="1" t="str">
        <f>dados_01!H46</f>
        <v>REGIONAL 7</v>
      </c>
      <c r="I46" s="1" t="str">
        <f>dados_01!I46</f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 t="str">
        <f>dados_01!A47</f>
        <v>25/05/2026 18:09:35</v>
      </c>
      <c r="B47" s="1" t="str">
        <f>dados_01!B47</f>
        <v>4</v>
      </c>
      <c r="C47" s="1" t="str">
        <f>IFERROR(__xludf.DUMMYFUNCTION("JOIN("". "", ARRAYFORMULA(IFERROR(LEFT(SPLIT(dados_01!C47, "" ""), 1))))"),"A. G. A. T. d. s")</f>
        <v>A. G. A. T. d. s</v>
      </c>
      <c r="D47" s="1" t="str">
        <f>dados_01!D47</f>
        <v>29/02/2024</v>
      </c>
      <c r="E47" s="1" t="str">
        <f>CONCATENATE(LEFT(dados_01!E47,3),REPT("*",6),RIGHT(dados_01!E47,2))</f>
        <v>002******20</v>
      </c>
      <c r="F47" s="1" t="str">
        <f>dados_01!F47</f>
        <v>INFANTIL 2</v>
      </c>
      <c r="G47" s="1" t="str">
        <f>dados_01!G47</f>
        <v>CEMEI PROFESSORA CIBELE DE ANDRADE MENDES DE AZEVEDO</v>
      </c>
      <c r="H47" s="1" t="str">
        <f>dados_01!H47</f>
        <v>REGIONAL 7</v>
      </c>
      <c r="I47" s="1" t="str">
        <f>dados_01!I47</f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 t="str">
        <f>dados_01!A48</f>
        <v>09/03/2026 13:36:35</v>
      </c>
      <c r="B48" s="1" t="str">
        <f>dados_01!B48</f>
        <v>1</v>
      </c>
      <c r="C48" s="1" t="str">
        <f>IFERROR(__xludf.DUMMYFUNCTION("JOIN("". "", ARRAYFORMULA(IFERROR(LEFT(SPLIT(dados_01!C48, "" ""), 1))))"),"B. M")</f>
        <v>B. M</v>
      </c>
      <c r="D48" s="1" t="str">
        <f>dados_01!D48</f>
        <v>07/02/2023</v>
      </c>
      <c r="E48" s="1" t="str">
        <f>CONCATENATE(LEFT(dados_01!E48,3),REPT("*",6),RIGHT(dados_01!E48,2))</f>
        <v>006******11</v>
      </c>
      <c r="F48" s="1" t="str">
        <f>dados_01!F48</f>
        <v>INFANTIL 3</v>
      </c>
      <c r="G48" s="1" t="str">
        <f>dados_01!G48</f>
        <v>CEMEI PROFESSORA CIBELE DE ANDRADE MENDES DE AZEVEDO</v>
      </c>
      <c r="H48" s="1" t="str">
        <f>dados_01!H48</f>
        <v>REGIONAL 7</v>
      </c>
      <c r="I48" s="1" t="str">
        <f>dados_01!I48</f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 t="str">
        <f>dados_01!A49</f>
        <v>23/03/2026 18:55:05</v>
      </c>
      <c r="B49" s="1" t="str">
        <f>dados_01!B49</f>
        <v>2</v>
      </c>
      <c r="C49" s="1" t="str">
        <f>IFERROR(__xludf.DUMMYFUNCTION("JOIN("". "", ARRAYFORMULA(IFERROR(LEFT(SPLIT(dados_01!C49, "" ""), 1))))"),"F. G. C. L")</f>
        <v>F. G. C. L</v>
      </c>
      <c r="D49" s="1" t="str">
        <f>dados_01!D49</f>
        <v>08/06/2022</v>
      </c>
      <c r="E49" s="1" t="str">
        <f>CONCATENATE(LEFT(dados_01!E49,3),REPT("*",6),RIGHT(dados_01!E49,2))</f>
        <v>181******24</v>
      </c>
      <c r="F49" s="1" t="str">
        <f>dados_01!F49</f>
        <v>INFANTIL 3</v>
      </c>
      <c r="G49" s="1" t="str">
        <f>dados_01!G49</f>
        <v>CEMEI PROFESSORA CIBELE DE ANDRADE MENDES DE AZEVEDO</v>
      </c>
      <c r="H49" s="1" t="str">
        <f>dados_01!H49</f>
        <v>REGIONAL 7</v>
      </c>
      <c r="I49" s="1" t="str">
        <f>dados_01!I49</f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 t="str">
        <f>dados_01!A50</f>
        <v>22/04/2026 15:18:51</v>
      </c>
      <c r="B50" s="1" t="str">
        <f>dados_01!B50</f>
        <v>3</v>
      </c>
      <c r="C50" s="1" t="str">
        <f>IFERROR(__xludf.DUMMYFUNCTION("JOIN("". "", ARRAYFORMULA(IFERROR(LEFT(SPLIT(dados_01!C50, "" ""), 1))))"),"A. M. M. D. S")</f>
        <v>A. M. M. D. S</v>
      </c>
      <c r="D50" s="1" t="str">
        <f>dados_01!D50</f>
        <v>05/01/2023</v>
      </c>
      <c r="E50" s="1" t="str">
        <f>CONCATENATE(LEFT(dados_01!E50,3),REPT("*",6),RIGHT(dados_01!E50,2))</f>
        <v>184******20</v>
      </c>
      <c r="F50" s="1" t="str">
        <f>dados_01!F50</f>
        <v>INFANTIL 3</v>
      </c>
      <c r="G50" s="1" t="str">
        <f>dados_01!G50</f>
        <v>CEMEI PROFESSORA CIBELE DE ANDRADE MENDES DE AZEVEDO</v>
      </c>
      <c r="H50" s="1" t="str">
        <f>dados_01!H50</f>
        <v>REGIONAL 7</v>
      </c>
      <c r="I50" s="1" t="str">
        <f>dados_01!I50</f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 t="str">
        <f>dados_01!A51</f>
        <v>23/04/2026 10:57:36</v>
      </c>
      <c r="B51" s="1" t="str">
        <f>dados_01!B51</f>
        <v>4</v>
      </c>
      <c r="C51" s="1" t="str">
        <f>IFERROR(__xludf.DUMMYFUNCTION("JOIN("". "", ARRAYFORMULA(IFERROR(LEFT(SPLIT(dados_01!C51, "" ""), 1))))"),"A. V. S. D. S")</f>
        <v>A. V. S. D. S</v>
      </c>
      <c r="D51" s="1" t="str">
        <f>dados_01!D51</f>
        <v>18/11/2022</v>
      </c>
      <c r="E51" s="1" t="str">
        <f>CONCATENATE(LEFT(dados_01!E51,3),REPT("*",6),RIGHT(dados_01!E51,2))</f>
        <v>183******13</v>
      </c>
      <c r="F51" s="1" t="str">
        <f>dados_01!F51</f>
        <v>INFANTIL 3</v>
      </c>
      <c r="G51" s="1" t="str">
        <f>dados_01!G51</f>
        <v>CEMEI PROFESSORA CIBELE DE ANDRADE MENDES DE AZEVEDO</v>
      </c>
      <c r="H51" s="1" t="str">
        <f>dados_01!H51</f>
        <v>REGIONAL 7</v>
      </c>
      <c r="I51" s="1" t="str">
        <f>dados_01!I51</f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 t="str">
        <f>dados_01!A52</f>
        <v>13/05/2026 10:59:27</v>
      </c>
      <c r="B52" s="1" t="str">
        <f>dados_01!B52</f>
        <v>5</v>
      </c>
      <c r="C52" s="1" t="str">
        <f>IFERROR(__xludf.DUMMYFUNCTION("JOIN("". "", ARRAYFORMULA(IFERROR(LEFT(SPLIT(dados_01!C52, "" ""), 1))))"),"R. L. D. S. M")</f>
        <v>R. L. D. S. M</v>
      </c>
      <c r="D52" s="1" t="str">
        <f>dados_01!D52</f>
        <v>21/09/2022</v>
      </c>
      <c r="E52" s="1" t="str">
        <f>CONCATENATE(LEFT(dados_01!E52,3),REPT("*",6),RIGHT(dados_01!E52,2))</f>
        <v>182******16</v>
      </c>
      <c r="F52" s="1" t="str">
        <f>dados_01!F52</f>
        <v>INFANTIL 3</v>
      </c>
      <c r="G52" s="1" t="str">
        <f>dados_01!G52</f>
        <v>CEMEI PROFESSORA CIBELE DE ANDRADE MENDES DE AZEVEDO</v>
      </c>
      <c r="H52" s="1" t="str">
        <f>dados_01!H52</f>
        <v>REGIONAL 7</v>
      </c>
      <c r="I52" s="1" t="str">
        <f>dados_01!I52</f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 t="str">
        <f>dados_01!A53</f>
        <v>28/01/2026 08:08:23</v>
      </c>
      <c r="B53" s="1" t="str">
        <f>dados_01!B53</f>
        <v>1</v>
      </c>
      <c r="C53" s="1" t="str">
        <f>IFERROR(__xludf.DUMMYFUNCTION("JOIN("". "", ARRAYFORMULA(IFERROR(LEFT(SPLIT(dados_01!C53, "" ""), 1))))"),"L. S. D. S. A")</f>
        <v>L. S. D. S. A</v>
      </c>
      <c r="D53" s="1" t="str">
        <f>dados_01!D53</f>
        <v>07/11/2024</v>
      </c>
      <c r="E53" s="1" t="str">
        <f>CONCATENATE(LEFT(dados_01!E53,3),REPT("*",6),RIGHT(dados_01!E53,2))</f>
        <v>004******67</v>
      </c>
      <c r="F53" s="1" t="str">
        <f>dados_01!F53</f>
        <v>INFANTIL 1</v>
      </c>
      <c r="G53" s="1" t="str">
        <f>dados_01!G53</f>
        <v>CEMEI PROFESSORA LINDOMAR DOMINGOS DA SILVA ANJOS</v>
      </c>
      <c r="H53" s="1" t="str">
        <f>dados_01!H53</f>
        <v>REGIONAL 5</v>
      </c>
      <c r="I53" s="1" t="str">
        <f>dados_01!I53</f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 t="str">
        <f>dados_01!A54</f>
        <v>28/01/2026 08:08:37</v>
      </c>
      <c r="B54" s="1" t="str">
        <f>dados_01!B54</f>
        <v>2</v>
      </c>
      <c r="C54" s="1" t="str">
        <f>IFERROR(__xludf.DUMMYFUNCTION("JOIN("". "", ARRAYFORMULA(IFERROR(LEFT(SPLIT(dados_01!C54, "" ""), 1))))"),"B. A. C. S")</f>
        <v>B. A. C. S</v>
      </c>
      <c r="D54" s="1" t="str">
        <f>dados_01!D54</f>
        <v>13/09/2024</v>
      </c>
      <c r="E54" s="1" t="str">
        <f>CONCATENATE(LEFT(dados_01!E54,3),REPT("*",6),RIGHT(dados_01!E54,2))</f>
        <v>004******74</v>
      </c>
      <c r="F54" s="1" t="str">
        <f>dados_01!F54</f>
        <v>INFANTIL 1</v>
      </c>
      <c r="G54" s="1" t="str">
        <f>dados_01!G54</f>
        <v>CEMEI PROFESSORA LINDOMAR DOMINGOS DA SILVA ANJOS</v>
      </c>
      <c r="H54" s="1" t="str">
        <f>dados_01!H54</f>
        <v>REGIONAL 5</v>
      </c>
      <c r="I54" s="1" t="str">
        <f>dados_01!I54</f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 t="str">
        <f>dados_01!A55</f>
        <v>28/01/2026 08:11:25</v>
      </c>
      <c r="B55" s="1" t="str">
        <f>dados_01!B55</f>
        <v>3</v>
      </c>
      <c r="C55" s="1" t="str">
        <f>IFERROR(__xludf.DUMMYFUNCTION("JOIN("". "", ARRAYFORMULA(IFERROR(LEFT(SPLIT(dados_01!C55, "" ""), 1))))"),"A. L. C. D. S. M")</f>
        <v>A. L. C. D. S. M</v>
      </c>
      <c r="D55" s="1" t="str">
        <f>dados_01!D55</f>
        <v>20/04/2024</v>
      </c>
      <c r="E55" s="1" t="str">
        <f>CONCATENATE(LEFT(dados_01!E55,3),REPT("*",6),RIGHT(dados_01!E55,2))</f>
        <v>170******77</v>
      </c>
      <c r="F55" s="1" t="str">
        <f>dados_01!F55</f>
        <v>INFANTIL 1</v>
      </c>
      <c r="G55" s="1" t="str">
        <f>dados_01!G55</f>
        <v>CEMEI PROFESSORA LINDOMAR DOMINGOS DA SILVA ANJOS</v>
      </c>
      <c r="H55" s="1" t="str">
        <f>dados_01!H55</f>
        <v>REGIONAL 5</v>
      </c>
      <c r="I55" s="1" t="str">
        <f>dados_01!I55</f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 t="str">
        <f>dados_01!A56</f>
        <v>28/01/2026 08:13:45</v>
      </c>
      <c r="B56" s="1" t="str">
        <f>dados_01!B56</f>
        <v>4</v>
      </c>
      <c r="C56" s="1" t="str">
        <f>IFERROR(__xludf.DUMMYFUNCTION("JOIN("". "", ARRAYFORMULA(IFERROR(LEFT(SPLIT(dados_01!C56, "" ""), 1))))"),"G. L. C. D. S")</f>
        <v>G. L. C. D. S</v>
      </c>
      <c r="D56" s="1" t="str">
        <f>dados_01!D56</f>
        <v>18/07/2024</v>
      </c>
      <c r="E56" s="1" t="str">
        <f>CONCATENATE(LEFT(dados_01!E56,3),REPT("*",6),RIGHT(dados_01!E56,2))</f>
        <v>003******31</v>
      </c>
      <c r="F56" s="1" t="str">
        <f>dados_01!F56</f>
        <v>INFANTIL 1</v>
      </c>
      <c r="G56" s="1" t="str">
        <f>dados_01!G56</f>
        <v>CEMEI PROFESSORA LINDOMAR DOMINGOS DA SILVA ANJOS</v>
      </c>
      <c r="H56" s="1" t="str">
        <f>dados_01!H56</f>
        <v>REGIONAL 5</v>
      </c>
      <c r="I56" s="1" t="str">
        <f>dados_01!I56</f>
        <v/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 t="str">
        <f>dados_01!A57</f>
        <v>28/01/2026 08:25:22</v>
      </c>
      <c r="B57" s="1" t="str">
        <f>dados_01!B57</f>
        <v>5</v>
      </c>
      <c r="C57" s="1" t="str">
        <f>IFERROR(__xludf.DUMMYFUNCTION("JOIN("". "", ARRAYFORMULA(IFERROR(LEFT(SPLIT(dados_01!C57, "" ""), 1))))"),"H. M. B. D. S")</f>
        <v>H. M. B. D. S</v>
      </c>
      <c r="D57" s="1" t="str">
        <f>dados_01!D57</f>
        <v>02/11/2024</v>
      </c>
      <c r="E57" s="1" t="str">
        <f>CONCATENATE(LEFT(dados_01!E57,3),REPT("*",6),RIGHT(dados_01!E57,2))</f>
        <v>004******61</v>
      </c>
      <c r="F57" s="1" t="str">
        <f>dados_01!F57</f>
        <v>INFANTIL 1</v>
      </c>
      <c r="G57" s="1" t="str">
        <f>dados_01!G57</f>
        <v>CEMEI PROFESSORA LINDOMAR DOMINGOS DA SILVA ANJOS</v>
      </c>
      <c r="H57" s="1" t="str">
        <f>dados_01!H57</f>
        <v>REGIONAL 5</v>
      </c>
      <c r="I57" s="1" t="str">
        <f>dados_01!I57</f>
        <v/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tr">
        <f>dados_01!A58</f>
        <v>28/01/2026 09:18:21</v>
      </c>
      <c r="B58" s="1" t="str">
        <f>dados_01!B58</f>
        <v>6</v>
      </c>
      <c r="C58" s="1" t="str">
        <f>IFERROR(__xludf.DUMMYFUNCTION("JOIN("". "", ARRAYFORMULA(IFERROR(LEFT(SPLIT(dados_01!C58, "" ""), 1))))"),"H. F. M. D. S")</f>
        <v>H. F. M. D. S</v>
      </c>
      <c r="D58" s="1" t="str">
        <f>dados_01!D58</f>
        <v>15/01/2025</v>
      </c>
      <c r="E58" s="1" t="str">
        <f>CONCATENATE(LEFT(dados_01!E58,3),REPT("*",6),RIGHT(dados_01!E58,2))</f>
        <v>005******11</v>
      </c>
      <c r="F58" s="1" t="str">
        <f>dados_01!F58</f>
        <v>INFANTIL 1</v>
      </c>
      <c r="G58" s="1" t="str">
        <f>dados_01!G58</f>
        <v>CEMEI PROFESSORA LINDOMAR DOMINGOS DA SILVA ANJOS</v>
      </c>
      <c r="H58" s="1" t="str">
        <f>dados_01!H58</f>
        <v>REGIONAL 5</v>
      </c>
      <c r="I58" s="1" t="str">
        <f>dados_01!I58</f>
        <v/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tr">
        <f>dados_01!A59</f>
        <v>28/01/2026 09:33:11</v>
      </c>
      <c r="B59" s="1" t="str">
        <f>dados_01!B59</f>
        <v>7</v>
      </c>
      <c r="C59" s="1" t="str">
        <f>IFERROR(__xludf.DUMMYFUNCTION("JOIN("". "", ARRAYFORMULA(IFERROR(LEFT(SPLIT(dados_01!C59, "" ""), 1))))"),"J. E. D. S")</f>
        <v>J. E. D. S</v>
      </c>
      <c r="D59" s="1" t="str">
        <f>dados_01!D59</f>
        <v>23/06/2024</v>
      </c>
      <c r="E59" s="1" t="str">
        <f>CONCATENATE(LEFT(dados_01!E59,3),REPT("*",6),RIGHT(dados_01!E59,2))</f>
        <v>004******68</v>
      </c>
      <c r="F59" s="1" t="str">
        <f>dados_01!F59</f>
        <v>INFANTIL 1</v>
      </c>
      <c r="G59" s="1" t="str">
        <f>dados_01!G59</f>
        <v>CEMEI PROFESSORA LINDOMAR DOMINGOS DA SILVA ANJOS</v>
      </c>
      <c r="H59" s="1" t="str">
        <f>dados_01!H59</f>
        <v>REGIONAL 5</v>
      </c>
      <c r="I59" s="1" t="str">
        <f>dados_01!I59</f>
        <v/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tr">
        <f>dados_01!A60</f>
        <v>28/01/2026 09:38:34</v>
      </c>
      <c r="B60" s="1" t="str">
        <f>dados_01!B60</f>
        <v>8</v>
      </c>
      <c r="C60" s="1" t="str">
        <f>IFERROR(__xludf.DUMMYFUNCTION("JOIN("". "", ARRAYFORMULA(IFERROR(LEFT(SPLIT(dados_01!C60, "" ""), 1))))"),"A. G. F. S")</f>
        <v>A. G. F. S</v>
      </c>
      <c r="D60" s="1" t="str">
        <f>dados_01!D60</f>
        <v>31/05/2024</v>
      </c>
      <c r="E60" s="1" t="str">
        <f>CONCATENATE(LEFT(dados_01!E60,3),REPT("*",6),RIGHT(dados_01!E60,2))</f>
        <v>003******24</v>
      </c>
      <c r="F60" s="1" t="str">
        <f>dados_01!F60</f>
        <v>INFANTIL 1</v>
      </c>
      <c r="G60" s="1" t="str">
        <f>dados_01!G60</f>
        <v>CEMEI PROFESSORA LINDOMAR DOMINGOS DA SILVA ANJOS</v>
      </c>
      <c r="H60" s="1" t="str">
        <f>dados_01!H60</f>
        <v>REGIONAL 5</v>
      </c>
      <c r="I60" s="1" t="str">
        <f>dados_01!I60</f>
        <v/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tr">
        <f>dados_01!A61</f>
        <v>28/01/2026 10:45:36</v>
      </c>
      <c r="B61" s="1" t="str">
        <f>dados_01!B61</f>
        <v>9</v>
      </c>
      <c r="C61" s="1" t="str">
        <f>IFERROR(__xludf.DUMMYFUNCTION("JOIN("". "", ARRAYFORMULA(IFERROR(LEFT(SPLIT(dados_01!C61, "" ""), 1))))"),"T. M. D. S")</f>
        <v>T. M. D. S</v>
      </c>
      <c r="D61" s="1" t="str">
        <f>dados_01!D61</f>
        <v>25/11/2024</v>
      </c>
      <c r="E61" s="1" t="str">
        <f>CONCATENATE(LEFT(dados_01!E61,3),REPT("*",6),RIGHT(dados_01!E61,2))</f>
        <v>004******16</v>
      </c>
      <c r="F61" s="1" t="str">
        <f>dados_01!F61</f>
        <v>INFANTIL 1</v>
      </c>
      <c r="G61" s="1" t="str">
        <f>dados_01!G61</f>
        <v>CEMEI PROFESSORA LINDOMAR DOMINGOS DA SILVA ANJOS</v>
      </c>
      <c r="H61" s="1" t="str">
        <f>dados_01!H61</f>
        <v>REGIONAL 5</v>
      </c>
      <c r="I61" s="1" t="str">
        <f>dados_01!I61</f>
        <v/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 t="str">
        <f>dados_01!A62</f>
        <v>28/01/2026 12:49:55</v>
      </c>
      <c r="B62" s="1" t="str">
        <f>dados_01!B62</f>
        <v>10</v>
      </c>
      <c r="C62" s="1" t="str">
        <f>IFERROR(__xludf.DUMMYFUNCTION("JOIN("". "", ARRAYFORMULA(IFERROR(LEFT(SPLIT(dados_01!C62, "" ""), 1))))"),"K. C. F. S. D. S")</f>
        <v>K. C. F. S. D. S</v>
      </c>
      <c r="D62" s="1" t="str">
        <f>dados_01!D62</f>
        <v>10/09/2024</v>
      </c>
      <c r="E62" s="1" t="str">
        <f>CONCATENATE(LEFT(dados_01!E62,3),REPT("*",6),RIGHT(dados_01!E62,2))</f>
        <v>004******30</v>
      </c>
      <c r="F62" s="1" t="str">
        <f>dados_01!F62</f>
        <v>INFANTIL 1</v>
      </c>
      <c r="G62" s="1" t="str">
        <f>dados_01!G62</f>
        <v>CEMEI PROFESSORA LINDOMAR DOMINGOS DA SILVA ANJOS</v>
      </c>
      <c r="H62" s="1" t="str">
        <f>dados_01!H62</f>
        <v>REGIONAL 5</v>
      </c>
      <c r="I62" s="1" t="str">
        <f>dados_01!I62</f>
        <v/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tr">
        <f>dados_01!A63</f>
        <v>28/01/2026 20:34:21</v>
      </c>
      <c r="B63" s="1" t="str">
        <f>dados_01!B63</f>
        <v>11</v>
      </c>
      <c r="C63" s="1" t="str">
        <f>IFERROR(__xludf.DUMMYFUNCTION("JOIN("". "", ARRAYFORMULA(IFERROR(LEFT(SPLIT(dados_01!C63, "" ""), 1))))"),"L. H. P. D. S")</f>
        <v>L. H. P. D. S</v>
      </c>
      <c r="D63" s="1" t="str">
        <f>dados_01!D63</f>
        <v>01/04/2024</v>
      </c>
      <c r="E63" s="1" t="str">
        <f>CONCATENATE(LEFT(dados_01!E63,3),REPT("*",6),RIGHT(dados_01!E63,2))</f>
        <v>002******69</v>
      </c>
      <c r="F63" s="1" t="str">
        <f>dados_01!F63</f>
        <v>INFANTIL 1</v>
      </c>
      <c r="G63" s="1" t="str">
        <f>dados_01!G63</f>
        <v>CEMEI PROFESSORA LINDOMAR DOMINGOS DA SILVA ANJOS</v>
      </c>
      <c r="H63" s="1" t="str">
        <f>dados_01!H63</f>
        <v>REGIONAL 5</v>
      </c>
      <c r="I63" s="1" t="str">
        <f>dados_01!I63</f>
        <v/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 t="str">
        <f>dados_01!A64</f>
        <v>06/02/2026 14:12:06</v>
      </c>
      <c r="B64" s="1" t="str">
        <f>dados_01!B64</f>
        <v>12</v>
      </c>
      <c r="C64" s="1" t="str">
        <f>IFERROR(__xludf.DUMMYFUNCTION("JOIN("". "", ARRAYFORMULA(IFERROR(LEFT(SPLIT(dados_01!C64, "" ""), 1))))"),"V. M. D. S. F")</f>
        <v>V. M. D. S. F</v>
      </c>
      <c r="D64" s="1" t="str">
        <f>dados_01!D64</f>
        <v>16/04/2024</v>
      </c>
      <c r="E64" s="1" t="str">
        <f>CONCATENATE(LEFT(dados_01!E64,3),REPT("*",6),RIGHT(dados_01!E64,2))</f>
        <v>003******09</v>
      </c>
      <c r="F64" s="1" t="str">
        <f>dados_01!F64</f>
        <v>INFANTIL 1</v>
      </c>
      <c r="G64" s="1" t="str">
        <f>dados_01!G64</f>
        <v>CEMEI PROFESSORA LINDOMAR DOMINGOS DA SILVA ANJOS</v>
      </c>
      <c r="H64" s="1" t="str">
        <f>dados_01!H64</f>
        <v>REGIONAL 5</v>
      </c>
      <c r="I64" s="1" t="str">
        <f>dados_01!I64</f>
        <v/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 t="str">
        <f>dados_01!A65</f>
        <v>11/02/2026 09:26:12</v>
      </c>
      <c r="B65" s="1" t="str">
        <f>dados_01!B65</f>
        <v>13</v>
      </c>
      <c r="C65" s="1" t="str">
        <f>IFERROR(__xludf.DUMMYFUNCTION("JOIN("". "", ARRAYFORMULA(IFERROR(LEFT(SPLIT(dados_01!C65, "" ""), 1))))"),"K. I. D. S. S")</f>
        <v>K. I. D. S. S</v>
      </c>
      <c r="D65" s="1" t="str">
        <f>dados_01!D65</f>
        <v>13/09/2024</v>
      </c>
      <c r="E65" s="1" t="str">
        <f>CONCATENATE(LEFT(dados_01!E65,3),REPT("*",6),RIGHT(dados_01!E65,2))</f>
        <v>004******62</v>
      </c>
      <c r="F65" s="1" t="str">
        <f>dados_01!F65</f>
        <v>INFANTIL 1</v>
      </c>
      <c r="G65" s="1" t="str">
        <f>dados_01!G65</f>
        <v>CEMEI PROFESSORA LINDOMAR DOMINGOS DA SILVA ANJOS</v>
      </c>
      <c r="H65" s="1" t="str">
        <f>dados_01!H65</f>
        <v>REGIONAL 5</v>
      </c>
      <c r="I65" s="1" t="str">
        <f>dados_01!I65</f>
        <v/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 t="str">
        <f>dados_01!A66</f>
        <v>26/02/2026 23:54:06</v>
      </c>
      <c r="B66" s="1" t="str">
        <f>dados_01!B66</f>
        <v>14</v>
      </c>
      <c r="C66" s="1" t="str">
        <f>IFERROR(__xludf.DUMMYFUNCTION("JOIN("". "", ARRAYFORMULA(IFERROR(LEFT(SPLIT(dados_01!C66, "" ""), 1))))"),"A. M. D. S. R")</f>
        <v>A. M. D. S. R</v>
      </c>
      <c r="D66" s="1" t="str">
        <f>dados_01!D66</f>
        <v>21/01/2025</v>
      </c>
      <c r="E66" s="1" t="str">
        <f>CONCATENATE(LEFT(dados_01!E66,3),REPT("*",6),RIGHT(dados_01!E66,2))</f>
        <v>005******50</v>
      </c>
      <c r="F66" s="1" t="str">
        <f>dados_01!F66</f>
        <v>INFANTIL 1</v>
      </c>
      <c r="G66" s="1" t="str">
        <f>dados_01!G66</f>
        <v>CEMEI PROFESSORA LINDOMAR DOMINGOS DA SILVA ANJOS</v>
      </c>
      <c r="H66" s="1" t="str">
        <f>dados_01!H66</f>
        <v>REGIONAL 5</v>
      </c>
      <c r="I66" s="1" t="str">
        <f>dados_01!I66</f>
        <v/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 t="str">
        <f>dados_01!A67</f>
        <v>03/03/2026 13:59:55</v>
      </c>
      <c r="B67" s="1" t="str">
        <f>dados_01!B67</f>
        <v>15</v>
      </c>
      <c r="C67" s="1" t="str">
        <f>IFERROR(__xludf.DUMMYFUNCTION("JOIN("". "", ARRAYFORMULA(IFERROR(LEFT(SPLIT(dados_01!C67, "" ""), 1))))"),"G. A. D. D. M")</f>
        <v>G. A. D. D. M</v>
      </c>
      <c r="D67" s="1" t="str">
        <f>dados_01!D67</f>
        <v>05/04/2025</v>
      </c>
      <c r="E67" s="1" t="str">
        <f>CONCATENATE(LEFT(dados_01!E67,3),REPT("*",6),RIGHT(dados_01!E67,2))</f>
        <v>005******94</v>
      </c>
      <c r="F67" s="1" t="str">
        <f>dados_01!F67</f>
        <v>INFANTIL 1</v>
      </c>
      <c r="G67" s="1" t="str">
        <f>dados_01!G67</f>
        <v>CEMEI PROFESSORA LINDOMAR DOMINGOS DA SILVA ANJOS</v>
      </c>
      <c r="H67" s="1" t="str">
        <f>dados_01!H67</f>
        <v>REGIONAL 5</v>
      </c>
      <c r="I67" s="1" t="str">
        <f>dados_01!I67</f>
        <v/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 t="str">
        <f>dados_01!A68</f>
        <v>04/03/2026 10:32:01</v>
      </c>
      <c r="B68" s="1" t="str">
        <f>dados_01!B68</f>
        <v>16</v>
      </c>
      <c r="C68" s="1" t="str">
        <f>IFERROR(__xludf.DUMMYFUNCTION("JOIN("". "", ARRAYFORMULA(IFERROR(LEFT(SPLIT(dados_01!C68, "" ""), 1))))"),"N. D. M. D. S")</f>
        <v>N. D. M. D. S</v>
      </c>
      <c r="D68" s="1" t="str">
        <f>dados_01!D68</f>
        <v>21/05/2025</v>
      </c>
      <c r="E68" s="1" t="str">
        <f>CONCATENATE(LEFT(dados_01!E68,3),REPT("*",6),RIGHT(dados_01!E68,2))</f>
        <v>006******45</v>
      </c>
      <c r="F68" s="1" t="str">
        <f>dados_01!F68</f>
        <v>INFANTIL 1</v>
      </c>
      <c r="G68" s="1" t="str">
        <f>dados_01!G68</f>
        <v>CEMEI PROFESSORA LINDOMAR DOMINGOS DA SILVA ANJOS</v>
      </c>
      <c r="H68" s="1" t="str">
        <f>dados_01!H68</f>
        <v>REGIONAL 5</v>
      </c>
      <c r="I68" s="1" t="str">
        <f>dados_01!I68</f>
        <v/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 t="str">
        <f>dados_01!A69</f>
        <v>23/03/2026 12:35:29</v>
      </c>
      <c r="B69" s="1" t="str">
        <f>dados_01!B69</f>
        <v>17</v>
      </c>
      <c r="C69" s="1" t="str">
        <f>IFERROR(__xludf.DUMMYFUNCTION("JOIN("". "", ARRAYFORMULA(IFERROR(LEFT(SPLIT(dados_01!C69, "" ""), 1))))"),"R. G. D. R. P")</f>
        <v>R. G. D. R. P</v>
      </c>
      <c r="D69" s="1" t="str">
        <f>dados_01!D69</f>
        <v>07/11/2025</v>
      </c>
      <c r="E69" s="1" t="str">
        <f>CONCATENATE(LEFT(dados_01!E69,3),REPT("*",6),RIGHT(dados_01!E69,2))</f>
        <v>022******15</v>
      </c>
      <c r="F69" s="1" t="str">
        <f>dados_01!F69</f>
        <v>INFANTIL 1</v>
      </c>
      <c r="G69" s="1" t="str">
        <f>dados_01!G69</f>
        <v>CEMEI PROFESSORA LINDOMAR DOMINGOS DA SILVA ANJOS</v>
      </c>
      <c r="H69" s="1" t="str">
        <f>dados_01!H69</f>
        <v>REGIONAL 5</v>
      </c>
      <c r="I69" s="1" t="str">
        <f>dados_01!I69</f>
        <v/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 t="str">
        <f>dados_01!A70</f>
        <v>30/03/2026 09:26:51</v>
      </c>
      <c r="B70" s="1" t="str">
        <f>dados_01!B70</f>
        <v>18</v>
      </c>
      <c r="C70" s="1" t="str">
        <f>IFERROR(__xludf.DUMMYFUNCTION("JOIN("". "", ARRAYFORMULA(IFERROR(LEFT(SPLIT(dados_01!C70, "" ""), 1))))"),"F. C. M")</f>
        <v>F. C. M</v>
      </c>
      <c r="D70" s="1" t="str">
        <f>dados_01!D70</f>
        <v>26/11/2025</v>
      </c>
      <c r="E70" s="1" t="str">
        <f>CONCATENATE(LEFT(dados_01!E70,3),REPT("*",6),RIGHT(dados_01!E70,2))</f>
        <v>027******72</v>
      </c>
      <c r="F70" s="1" t="str">
        <f>dados_01!F70</f>
        <v>INFANTIL 1</v>
      </c>
      <c r="G70" s="1" t="str">
        <f>dados_01!G70</f>
        <v>CEMEI PROFESSORA LINDOMAR DOMINGOS DA SILVA ANJOS</v>
      </c>
      <c r="H70" s="1" t="str">
        <f>dados_01!H70</f>
        <v>REGIONAL 5</v>
      </c>
      <c r="I70" s="1" t="str">
        <f>dados_01!I70</f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 t="str">
        <f>dados_01!A71</f>
        <v>01/04/2026 11:07:18</v>
      </c>
      <c r="B71" s="1" t="str">
        <f>dados_01!B71</f>
        <v>19</v>
      </c>
      <c r="C71" s="1" t="str">
        <f>IFERROR(__xludf.DUMMYFUNCTION("JOIN("". "", ARRAYFORMULA(IFERROR(LEFT(SPLIT(dados_01!C71, "" ""), 1))))"),"M. I. S. S")</f>
        <v>M. I. S. S</v>
      </c>
      <c r="D71" s="1" t="str">
        <f>dados_01!D71</f>
        <v>03/09/2024</v>
      </c>
      <c r="E71" s="1" t="str">
        <f>CONCATENATE(LEFT(dados_01!E71,3),REPT("*",6),RIGHT(dados_01!E71,2))</f>
        <v>054******71</v>
      </c>
      <c r="F71" s="1" t="str">
        <f>dados_01!F71</f>
        <v>INFANTIL 1</v>
      </c>
      <c r="G71" s="1" t="str">
        <f>dados_01!G71</f>
        <v>CEMEI PROFESSORA LINDOMAR DOMINGOS DA SILVA ANJOS</v>
      </c>
      <c r="H71" s="1" t="str">
        <f>dados_01!H71</f>
        <v>REGIONAL 5</v>
      </c>
      <c r="I71" s="1" t="str">
        <f>dados_01!I71</f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 t="str">
        <f>dados_01!A72</f>
        <v>08/04/2026 16:32:34</v>
      </c>
      <c r="B72" s="1" t="str">
        <f>dados_01!B72</f>
        <v>20</v>
      </c>
      <c r="C72" s="1" t="str">
        <f>IFERROR(__xludf.DUMMYFUNCTION("JOIN("". "", ARRAYFORMULA(IFERROR(LEFT(SPLIT(dados_01!C72, "" ""), 1))))"),"M. B. M. A")</f>
        <v>M. B. M. A</v>
      </c>
      <c r="D72" s="1" t="str">
        <f>dados_01!D72</f>
        <v>01/04/2025</v>
      </c>
      <c r="E72" s="1" t="str">
        <f>CONCATENATE(LEFT(dados_01!E72,3),REPT("*",6),RIGHT(dados_01!E72,2))</f>
        <v>005******85</v>
      </c>
      <c r="F72" s="1" t="str">
        <f>dados_01!F72</f>
        <v>INFANTIL 1</v>
      </c>
      <c r="G72" s="1" t="str">
        <f>dados_01!G72</f>
        <v>CEMEI PROFESSORA LINDOMAR DOMINGOS DA SILVA ANJOS</v>
      </c>
      <c r="H72" s="1" t="str">
        <f>dados_01!H72</f>
        <v>REGIONAL 5</v>
      </c>
      <c r="I72" s="1" t="str">
        <f>dados_01!I72</f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 t="str">
        <f>dados_01!A73</f>
        <v>15/04/2026 13:07:53</v>
      </c>
      <c r="B73" s="1" t="str">
        <f>dados_01!B73</f>
        <v>21</v>
      </c>
      <c r="C73" s="1" t="str">
        <f>IFERROR(__xludf.DUMMYFUNCTION("JOIN("". "", ARRAYFORMULA(IFERROR(LEFT(SPLIT(dados_01!C73, "" ""), 1))))"),"H. R. M")</f>
        <v>H. R. M</v>
      </c>
      <c r="D73" s="1" t="str">
        <f>dados_01!D73</f>
        <v>30/08/2025</v>
      </c>
      <c r="E73" s="1" t="str">
        <f>CONCATENATE(LEFT(dados_01!E73,3),REPT("*",6),RIGHT(dados_01!E73,2))</f>
        <v>007******44</v>
      </c>
      <c r="F73" s="1" t="str">
        <f>dados_01!F73</f>
        <v>INFANTIL 1</v>
      </c>
      <c r="G73" s="1" t="str">
        <f>dados_01!G73</f>
        <v>CEMEI PROFESSORA LINDOMAR DOMINGOS DA SILVA ANJOS</v>
      </c>
      <c r="H73" s="1" t="str">
        <f>dados_01!H73</f>
        <v>REGIONAL 5</v>
      </c>
      <c r="I73" s="1" t="str">
        <f>dados_01!I73</f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 t="str">
        <f>dados_01!A74</f>
        <v>04/05/2026 10:11:49</v>
      </c>
      <c r="B74" s="1" t="str">
        <f>dados_01!B74</f>
        <v>22</v>
      </c>
      <c r="C74" s="1" t="str">
        <f>IFERROR(__xludf.DUMMYFUNCTION("JOIN("". "", ARRAYFORMULA(IFERROR(LEFT(SPLIT(dados_01!C74, "" ""), 1))))"),"M. A. D. A. E")</f>
        <v>M. A. D. A. E</v>
      </c>
      <c r="D74" s="1" t="str">
        <f>dados_01!D74</f>
        <v>11/03/2025</v>
      </c>
      <c r="E74" s="1" t="str">
        <f>CONCATENATE(LEFT(dados_01!E74,3),REPT("*",6),RIGHT(dados_01!E74,2))</f>
        <v>005******59</v>
      </c>
      <c r="F74" s="1" t="str">
        <f>dados_01!F74</f>
        <v>INFANTIL 1</v>
      </c>
      <c r="G74" s="1" t="str">
        <f>dados_01!G74</f>
        <v>CEMEI PROFESSORA LINDOMAR DOMINGOS DA SILVA ANJOS</v>
      </c>
      <c r="H74" s="1" t="str">
        <f>dados_01!H74</f>
        <v>REGIONAL 5</v>
      </c>
      <c r="I74" s="1" t="str">
        <f>dados_01!I74</f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 t="str">
        <f>dados_01!A75</f>
        <v>15/05/2026 11:54:29</v>
      </c>
      <c r="B75" s="1" t="str">
        <f>dados_01!B75</f>
        <v>23</v>
      </c>
      <c r="C75" s="1" t="str">
        <f>IFERROR(__xludf.DUMMYFUNCTION("JOIN("". "", ARRAYFORMULA(IFERROR(LEFT(SPLIT(dados_01!C75, "" ""), 1))))"),"A. M. S. D. S")</f>
        <v>A. M. S. D. S</v>
      </c>
      <c r="D75" s="1" t="str">
        <f>dados_01!D75</f>
        <v>10/09/2024</v>
      </c>
      <c r="E75" s="1" t="str">
        <f>CONCATENATE(LEFT(dados_01!E75,3),REPT("*",6),RIGHT(dados_01!E75,2))</f>
        <v>004******58</v>
      </c>
      <c r="F75" s="1" t="str">
        <f>dados_01!F75</f>
        <v>INFANTIL 1</v>
      </c>
      <c r="G75" s="1" t="str">
        <f>dados_01!G75</f>
        <v>CEMEI PROFESSORA LINDOMAR DOMINGOS DA SILVA ANJOS</v>
      </c>
      <c r="H75" s="1" t="str">
        <f>dados_01!H75</f>
        <v>REGIONAL 5</v>
      </c>
      <c r="I75" s="1" t="str">
        <f>dados_01!I75</f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 t="str">
        <f>dados_01!A76</f>
        <v>15/05/2026 12:03:27</v>
      </c>
      <c r="B76" s="1" t="str">
        <f>dados_01!B76</f>
        <v>24</v>
      </c>
      <c r="C76" s="1" t="str">
        <f>IFERROR(__xludf.DUMMYFUNCTION("JOIN("". "", ARRAYFORMULA(IFERROR(LEFT(SPLIT(dados_01!C76, "" ""), 1))))"),"A. K. S. D. S")</f>
        <v>A. K. S. D. S</v>
      </c>
      <c r="D76" s="1" t="str">
        <f>dados_01!D76</f>
        <v>10/09/2024</v>
      </c>
      <c r="E76" s="1" t="str">
        <f>CONCATENATE(LEFT(dados_01!E76,3),REPT("*",6),RIGHT(dados_01!E76,2))</f>
        <v>004******02</v>
      </c>
      <c r="F76" s="1" t="str">
        <f>dados_01!F76</f>
        <v>INFANTIL 1</v>
      </c>
      <c r="G76" s="1" t="str">
        <f>dados_01!G76</f>
        <v>CEMEI PROFESSORA LINDOMAR DOMINGOS DA SILVA ANJOS</v>
      </c>
      <c r="H76" s="1" t="str">
        <f>dados_01!H76</f>
        <v>REGIONAL 5</v>
      </c>
      <c r="I76" s="1" t="str">
        <f>dados_01!I76</f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 t="str">
        <f>dados_01!A77</f>
        <v>30/05/2026 11:24:31</v>
      </c>
      <c r="B77" s="1" t="str">
        <f>dados_01!B77</f>
        <v>25</v>
      </c>
      <c r="C77" s="1" t="str">
        <f>IFERROR(__xludf.DUMMYFUNCTION("JOIN("". "", ARRAYFORMULA(IFERROR(LEFT(SPLIT(dados_01!C77, "" ""), 1))))"),"N. R. F. d. S")</f>
        <v>N. R. F. d. S</v>
      </c>
      <c r="D77" s="1" t="str">
        <f>dados_01!D77</f>
        <v>10/10/2024</v>
      </c>
      <c r="E77" s="1" t="str">
        <f>CONCATENATE(LEFT(dados_01!E77,3),REPT("*",6),RIGHT(dados_01!E77,2))</f>
        <v>004******85</v>
      </c>
      <c r="F77" s="1" t="str">
        <f>dados_01!F77</f>
        <v>INFANTIL 1</v>
      </c>
      <c r="G77" s="1" t="str">
        <f>dados_01!G77</f>
        <v>CEMEI PROFESSORA LINDOMAR DOMINGOS DA SILVA ANJOS</v>
      </c>
      <c r="H77" s="1" t="str">
        <f>dados_01!H77</f>
        <v>REGIONAL 5</v>
      </c>
      <c r="I77" s="1" t="str">
        <f>dados_01!I77</f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 t="str">
        <f>dados_01!A78</f>
        <v>01/06/2026 13:25:04</v>
      </c>
      <c r="B78" s="1" t="str">
        <f>dados_01!B78</f>
        <v>26</v>
      </c>
      <c r="C78" s="1" t="str">
        <f>IFERROR(__xludf.DUMMYFUNCTION("JOIN("". "", ARRAYFORMULA(IFERROR(LEFT(SPLIT(dados_01!C78, "" ""), 1))))"),"A. l. F. l")</f>
        <v>A. l. F. l</v>
      </c>
      <c r="D78" s="1" t="str">
        <f>dados_01!D78</f>
        <v>02/09/2024</v>
      </c>
      <c r="E78" s="1" t="str">
        <f>CONCATENATE(LEFT(dados_01!E78,3),REPT("*",6),RIGHT(dados_01!E78,2))</f>
        <v>004******03</v>
      </c>
      <c r="F78" s="1" t="str">
        <f>dados_01!F78</f>
        <v>INFANTIL 1</v>
      </c>
      <c r="G78" s="1" t="str">
        <f>dados_01!G78</f>
        <v>CEMEI PROFESSORA LINDOMAR DOMINGOS DA SILVA ANJOS</v>
      </c>
      <c r="H78" s="1" t="str">
        <f>dados_01!H78</f>
        <v>REGIONAL 5</v>
      </c>
      <c r="I78" s="1" t="str">
        <f>dados_01!I78</f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 t="str">
        <f>dados_01!A79</f>
        <v>04/06/2026 10:58:04</v>
      </c>
      <c r="B79" s="1" t="str">
        <f>dados_01!B79</f>
        <v>27</v>
      </c>
      <c r="C79" s="1" t="str">
        <f>IFERROR(__xludf.DUMMYFUNCTION("JOIN("". "", ARRAYFORMULA(IFERROR(LEFT(SPLIT(dados_01!C79, "" ""), 1))))"),"T. J. C. M. d. S")</f>
        <v>T. J. C. M. d. S</v>
      </c>
      <c r="D79" s="1" t="str">
        <f>dados_01!D79</f>
        <v>28/04/2024</v>
      </c>
      <c r="E79" s="1" t="str">
        <f>CONCATENATE(LEFT(dados_01!E79,3),REPT("*",6),RIGHT(dados_01!E79,2))</f>
        <v>002******29</v>
      </c>
      <c r="F79" s="1" t="str">
        <f>dados_01!F79</f>
        <v>INFANTIL 1</v>
      </c>
      <c r="G79" s="1" t="str">
        <f>dados_01!G79</f>
        <v>CEMEI PROFESSORA LINDOMAR DOMINGOS DA SILVA ANJOS</v>
      </c>
      <c r="H79" s="1" t="str">
        <f>dados_01!H79</f>
        <v>REGIONAL 5</v>
      </c>
      <c r="I79" s="1" t="str">
        <f>dados_01!I79</f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 t="str">
        <f>dados_01!A80</f>
        <v>10/06/2026 09:48:38</v>
      </c>
      <c r="B80" s="1" t="str">
        <f>dados_01!B80</f>
        <v>28</v>
      </c>
      <c r="C80" s="1" t="str">
        <f>IFERROR(__xludf.DUMMYFUNCTION("JOIN("". "", ARRAYFORMULA(IFERROR(LEFT(SPLIT(dados_01!C80, "" ""), 1))))"),"T. G. V. D. S")</f>
        <v>T. G. V. D. S</v>
      </c>
      <c r="D80" s="1" t="str">
        <f>dados_01!D80</f>
        <v>22/01/2025</v>
      </c>
      <c r="E80" s="1" t="str">
        <f>CONCATENATE(LEFT(dados_01!E80,3),REPT("*",6),RIGHT(dados_01!E80,2))</f>
        <v>005******35</v>
      </c>
      <c r="F80" s="1" t="str">
        <f>dados_01!F80</f>
        <v>INFANTIL 1</v>
      </c>
      <c r="G80" s="1" t="str">
        <f>dados_01!G80</f>
        <v>CEMEI PROFESSORA LINDOMAR DOMINGOS DA SILVA ANJOS</v>
      </c>
      <c r="H80" s="1" t="str">
        <f>dados_01!H80</f>
        <v>REGIONAL 5</v>
      </c>
      <c r="I80" s="1" t="str">
        <f>dados_01!I80</f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 t="str">
        <f>dados_01!A81</f>
        <v>28/01/2026 08:06:54</v>
      </c>
      <c r="B81" s="1" t="str">
        <f>dados_01!B81</f>
        <v>1</v>
      </c>
      <c r="C81" s="1" t="str">
        <f>IFERROR(__xludf.DUMMYFUNCTION("JOIN("". "", ARRAYFORMULA(IFERROR(LEFT(SPLIT(dados_01!C81, "" ""), 1))))"),"A. M. F. L")</f>
        <v>A. M. F. L</v>
      </c>
      <c r="D81" s="1" t="str">
        <f>dados_01!D81</f>
        <v>06/04/2023</v>
      </c>
      <c r="E81" s="1" t="str">
        <f>CONCATENATE(LEFT(dados_01!E81,3),REPT("*",6),RIGHT(dados_01!E81,2))</f>
        <v>185******07</v>
      </c>
      <c r="F81" s="1" t="str">
        <f>dados_01!F81</f>
        <v>INFANTIL 2</v>
      </c>
      <c r="G81" s="1" t="str">
        <f>dados_01!G81</f>
        <v>CEMEI PROFESSORA LINDOMAR DOMINGOS DA SILVA ANJOS</v>
      </c>
      <c r="H81" s="1" t="str">
        <f>dados_01!H81</f>
        <v>REGIONAL 5</v>
      </c>
      <c r="I81" s="1" t="str">
        <f>dados_01!I81</f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 t="str">
        <f>dados_01!A82</f>
        <v>28/01/2026 08:08:24</v>
      </c>
      <c r="B82" s="1" t="str">
        <f>dados_01!B82</f>
        <v>2</v>
      </c>
      <c r="C82" s="1" t="str">
        <f>IFERROR(__xludf.DUMMYFUNCTION("JOIN("". "", ARRAYFORMULA(IFERROR(LEFT(SPLIT(dados_01!C82, "" ""), 1))))"),"M. O. F. C")</f>
        <v>M. O. F. C</v>
      </c>
      <c r="D82" s="1" t="str">
        <f>dados_01!D82</f>
        <v>23/07/2023</v>
      </c>
      <c r="E82" s="1" t="str">
        <f>CONCATENATE(LEFT(dados_01!E82,3),REPT("*",6),RIGHT(dados_01!E82,2))</f>
        <v>186******04</v>
      </c>
      <c r="F82" s="1" t="str">
        <f>dados_01!F82</f>
        <v>INFANTIL 2</v>
      </c>
      <c r="G82" s="1" t="str">
        <f>dados_01!G82</f>
        <v>CEMEI PROFESSORA LINDOMAR DOMINGOS DA SILVA ANJOS</v>
      </c>
      <c r="H82" s="1" t="str">
        <f>dados_01!H82</f>
        <v>REGIONAL 5</v>
      </c>
      <c r="I82" s="1" t="str">
        <f>dados_01!I82</f>
        <v/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 t="str">
        <f>dados_01!A83</f>
        <v>28/01/2026 08:14:44</v>
      </c>
      <c r="B83" s="1" t="str">
        <f>dados_01!B83</f>
        <v>3</v>
      </c>
      <c r="C83" s="1" t="str">
        <f>IFERROR(__xludf.DUMMYFUNCTION("JOIN("". "", ARRAYFORMULA(IFERROR(LEFT(SPLIT(dados_01!C83, "" ""), 1))))"),"S. B. C. R. D. S")</f>
        <v>S. B. C. R. D. S</v>
      </c>
      <c r="D83" s="1" t="str">
        <f>dados_01!D83</f>
        <v>07/06/2023</v>
      </c>
      <c r="E83" s="1" t="str">
        <f>CONCATENATE(LEFT(dados_01!E83,3),REPT("*",6),RIGHT(dados_01!E83,2))</f>
        <v>185******06</v>
      </c>
      <c r="F83" s="1" t="str">
        <f>dados_01!F83</f>
        <v>INFANTIL 2</v>
      </c>
      <c r="G83" s="1" t="str">
        <f>dados_01!G83</f>
        <v>CEMEI PROFESSORA LINDOMAR DOMINGOS DA SILVA ANJOS</v>
      </c>
      <c r="H83" s="1" t="str">
        <f>dados_01!H83</f>
        <v>REGIONAL 5</v>
      </c>
      <c r="I83" s="1" t="str">
        <f>dados_01!I83</f>
        <v/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 t="str">
        <f>dados_01!A84</f>
        <v>28/01/2026 08:17:19</v>
      </c>
      <c r="B84" s="1" t="str">
        <f>dados_01!B84</f>
        <v>4</v>
      </c>
      <c r="C84" s="1" t="str">
        <f>IFERROR(__xludf.DUMMYFUNCTION("JOIN("". "", ARRAYFORMULA(IFERROR(LEFT(SPLIT(dados_01!C84, "" ""), 1))))"),"L. M. T. S")</f>
        <v>L. M. T. S</v>
      </c>
      <c r="D84" s="1" t="str">
        <f>dados_01!D84</f>
        <v>18/02/2024</v>
      </c>
      <c r="E84" s="1" t="str">
        <f>CONCATENATE(LEFT(dados_01!E84,3),REPT("*",6),RIGHT(dados_01!E84,2))</f>
        <v>002******11</v>
      </c>
      <c r="F84" s="1" t="str">
        <f>dados_01!F84</f>
        <v>INFANTIL 2</v>
      </c>
      <c r="G84" s="1" t="str">
        <f>dados_01!G84</f>
        <v>CEMEI PROFESSORA LINDOMAR DOMINGOS DA SILVA ANJOS</v>
      </c>
      <c r="H84" s="1" t="str">
        <f>dados_01!H84</f>
        <v>REGIONAL 5</v>
      </c>
      <c r="I84" s="1" t="str">
        <f>dados_01!I84</f>
        <v/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 t="str">
        <f>dados_01!A85</f>
        <v>28/01/2026 08:25:56</v>
      </c>
      <c r="B85" s="1" t="str">
        <f>dados_01!B85</f>
        <v>5</v>
      </c>
      <c r="C85" s="1" t="str">
        <f>IFERROR(__xludf.DUMMYFUNCTION("JOIN("". "", ARRAYFORMULA(IFERROR(LEFT(SPLIT(dados_01!C85, "" ""), 1))))"),"M. G. D. S. P. A")</f>
        <v>M. G. D. S. P. A</v>
      </c>
      <c r="D85" s="1" t="str">
        <f>dados_01!D85</f>
        <v>15/05/2023</v>
      </c>
      <c r="E85" s="1" t="str">
        <f>CONCATENATE(LEFT(dados_01!E85,3),REPT("*",6),RIGHT(dados_01!E85,2))</f>
        <v>185******33</v>
      </c>
      <c r="F85" s="1" t="str">
        <f>dados_01!F85</f>
        <v>INFANTIL 2</v>
      </c>
      <c r="G85" s="1" t="str">
        <f>dados_01!G85</f>
        <v>CEMEI PROFESSORA LINDOMAR DOMINGOS DA SILVA ANJOS</v>
      </c>
      <c r="H85" s="1" t="str">
        <f>dados_01!H85</f>
        <v>REGIONAL 5</v>
      </c>
      <c r="I85" s="1" t="str">
        <f>dados_01!I85</f>
        <v/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 t="str">
        <f>dados_01!A86</f>
        <v>28/01/2026 08:25:59</v>
      </c>
      <c r="B86" s="1" t="str">
        <f>dados_01!B86</f>
        <v>6</v>
      </c>
      <c r="C86" s="1" t="str">
        <f>IFERROR(__xludf.DUMMYFUNCTION("JOIN("". "", ARRAYFORMULA(IFERROR(LEFT(SPLIT(dados_01!C86, "" ""), 1))))"),"E. B. S")</f>
        <v>E. B. S</v>
      </c>
      <c r="D86" s="1" t="str">
        <f>dados_01!D86</f>
        <v>12/12/2023</v>
      </c>
      <c r="E86" s="1" t="str">
        <f>CONCATENATE(LEFT(dados_01!E86,3),REPT("*",6),RIGHT(dados_01!E86,2))</f>
        <v>002******25</v>
      </c>
      <c r="F86" s="1" t="str">
        <f>dados_01!F86</f>
        <v>INFANTIL 2</v>
      </c>
      <c r="G86" s="1" t="str">
        <f>dados_01!G86</f>
        <v>CEMEI PROFESSORA LINDOMAR DOMINGOS DA SILVA ANJOS</v>
      </c>
      <c r="H86" s="1" t="str">
        <f>dados_01!H86</f>
        <v>REGIONAL 5</v>
      </c>
      <c r="I86" s="1" t="str">
        <f>dados_01!I86</f>
        <v/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 t="str">
        <f>dados_01!A87</f>
        <v>28/01/2026 08:31:41</v>
      </c>
      <c r="B87" s="1" t="str">
        <f>dados_01!B87</f>
        <v>7</v>
      </c>
      <c r="C87" s="1" t="str">
        <f>IFERROR(__xludf.DUMMYFUNCTION("JOIN("". "", ARRAYFORMULA(IFERROR(LEFT(SPLIT(dados_01!C87, "" ""), 1))))"),"L. M. S. L")</f>
        <v>L. M. S. L</v>
      </c>
      <c r="D87" s="1" t="str">
        <f>dados_01!D87</f>
        <v>25/01/2024</v>
      </c>
      <c r="E87" s="1" t="str">
        <f>CONCATENATE(LEFT(dados_01!E87,3),REPT("*",6),RIGHT(dados_01!E87,2))</f>
        <v>001******03</v>
      </c>
      <c r="F87" s="1" t="str">
        <f>dados_01!F87</f>
        <v>INFANTIL 2</v>
      </c>
      <c r="G87" s="1" t="str">
        <f>dados_01!G87</f>
        <v>CEMEI PROFESSORA LINDOMAR DOMINGOS DA SILVA ANJOS</v>
      </c>
      <c r="H87" s="1" t="str">
        <f>dados_01!H87</f>
        <v>REGIONAL 5</v>
      </c>
      <c r="I87" s="1" t="str">
        <f>dados_01!I87</f>
        <v/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 t="str">
        <f>dados_01!A88</f>
        <v>28/01/2026 09:00:15</v>
      </c>
      <c r="B88" s="1" t="str">
        <f>dados_01!B88</f>
        <v>8</v>
      </c>
      <c r="C88" s="1" t="str">
        <f>IFERROR(__xludf.DUMMYFUNCTION("JOIN("". "", ARRAYFORMULA(IFERROR(LEFT(SPLIT(dados_01!C88, "" ""), 1))))"),"H. M. C. D. L")</f>
        <v>H. M. C. D. L</v>
      </c>
      <c r="D88" s="1" t="str">
        <f>dados_01!D88</f>
        <v>21/12/2023</v>
      </c>
      <c r="E88" s="1" t="str">
        <f>CONCATENATE(LEFT(dados_01!E88,3),REPT("*",6),RIGHT(dados_01!E88,2))</f>
        <v>001******90</v>
      </c>
      <c r="F88" s="1" t="str">
        <f>dados_01!F88</f>
        <v>INFANTIL 2</v>
      </c>
      <c r="G88" s="1" t="str">
        <f>dados_01!G88</f>
        <v>CEMEI PROFESSORA LINDOMAR DOMINGOS DA SILVA ANJOS</v>
      </c>
      <c r="H88" s="1" t="str">
        <f>dados_01!H88</f>
        <v>REGIONAL 5</v>
      </c>
      <c r="I88" s="1" t="str">
        <f>dados_01!I88</f>
        <v/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 t="str">
        <f>dados_01!A89</f>
        <v>28/01/2026 09:08:41</v>
      </c>
      <c r="B89" s="1" t="str">
        <f>dados_01!B89</f>
        <v>9</v>
      </c>
      <c r="C89" s="1" t="str">
        <f>IFERROR(__xludf.DUMMYFUNCTION("JOIN("". "", ARRAYFORMULA(IFERROR(LEFT(SPLIT(dados_01!C89, "" ""), 1))))"),"T. V. D. S. F")</f>
        <v>T. V. D. S. F</v>
      </c>
      <c r="D89" s="1" t="str">
        <f>dados_01!D89</f>
        <v>04/08/2023</v>
      </c>
      <c r="E89" s="1" t="str">
        <f>CONCATENATE(LEFT(dados_01!E89,3),REPT("*",6),RIGHT(dados_01!E89,2))</f>
        <v>186******21</v>
      </c>
      <c r="F89" s="1" t="str">
        <f>dados_01!F89</f>
        <v>INFANTIL 2</v>
      </c>
      <c r="G89" s="1" t="str">
        <f>dados_01!G89</f>
        <v>CEMEI PROFESSORA LINDOMAR DOMINGOS DA SILVA ANJOS</v>
      </c>
      <c r="H89" s="1" t="str">
        <f>dados_01!H89</f>
        <v>REGIONAL 5</v>
      </c>
      <c r="I89" s="1" t="str">
        <f>dados_01!I89</f>
        <v/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 t="str">
        <f>dados_01!A90</f>
        <v>28/01/2026 09:29:37</v>
      </c>
      <c r="B90" s="1" t="str">
        <f>dados_01!B90</f>
        <v>10</v>
      </c>
      <c r="C90" s="1" t="str">
        <f>IFERROR(__xludf.DUMMYFUNCTION("JOIN("". "", ARRAYFORMULA(IFERROR(LEFT(SPLIT(dados_01!C90, "" ""), 1))))"),"M. F. D. S")</f>
        <v>M. F. D. S</v>
      </c>
      <c r="D90" s="1" t="str">
        <f>dados_01!D90</f>
        <v>30/12/2023</v>
      </c>
      <c r="E90" s="1" t="str">
        <f>CONCATENATE(LEFT(dados_01!E90,3),REPT("*",6),RIGHT(dados_01!E90,2))</f>
        <v>001******28</v>
      </c>
      <c r="F90" s="1" t="str">
        <f>dados_01!F90</f>
        <v>INFANTIL 2</v>
      </c>
      <c r="G90" s="1" t="str">
        <f>dados_01!G90</f>
        <v>CEMEI PROFESSORA LINDOMAR DOMINGOS DA SILVA ANJOS</v>
      </c>
      <c r="H90" s="1" t="str">
        <f>dados_01!H90</f>
        <v>REGIONAL 5</v>
      </c>
      <c r="I90" s="1" t="str">
        <f>dados_01!I90</f>
        <v/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 t="str">
        <f>dados_01!A91</f>
        <v>28/01/2026 10:56:41</v>
      </c>
      <c r="B91" s="1" t="str">
        <f>dados_01!B91</f>
        <v>11</v>
      </c>
      <c r="C91" s="1" t="str">
        <f>IFERROR(__xludf.DUMMYFUNCTION("JOIN("". "", ARRAYFORMULA(IFERROR(LEFT(SPLIT(dados_01!C91, "" ""), 1))))"),"Y. S. R")</f>
        <v>Y. S. R</v>
      </c>
      <c r="D91" s="1" t="str">
        <f>dados_01!D91</f>
        <v>11/10/2023</v>
      </c>
      <c r="E91" s="1" t="str">
        <f>CONCATENATE(LEFT(dados_01!E91,3),REPT("*",6),RIGHT(dados_01!E91,2))</f>
        <v>000******55</v>
      </c>
      <c r="F91" s="1" t="str">
        <f>dados_01!F91</f>
        <v>INFANTIL 2</v>
      </c>
      <c r="G91" s="1" t="str">
        <f>dados_01!G91</f>
        <v>CEMEI PROFESSORA LINDOMAR DOMINGOS DA SILVA ANJOS</v>
      </c>
      <c r="H91" s="1" t="str">
        <f>dados_01!H91</f>
        <v>REGIONAL 5</v>
      </c>
      <c r="I91" s="1" t="str">
        <f>dados_01!I91</f>
        <v/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 t="str">
        <f>dados_01!A92</f>
        <v>28/01/2026 11:08:50</v>
      </c>
      <c r="B92" s="1" t="str">
        <f>dados_01!B92</f>
        <v>12</v>
      </c>
      <c r="C92" s="1" t="str">
        <f>IFERROR(__xludf.DUMMYFUNCTION("JOIN("". "", ARRAYFORMULA(IFERROR(LEFT(SPLIT(dados_01!C92, "" ""), 1))))"),"A. V")</f>
        <v>A. V</v>
      </c>
      <c r="D92" s="1" t="str">
        <f>dados_01!D92</f>
        <v>28/07/2023</v>
      </c>
      <c r="E92" s="1" t="str">
        <f>CONCATENATE(LEFT(dados_01!E92,3),REPT("*",6),RIGHT(dados_01!E92,2))</f>
        <v>157******62</v>
      </c>
      <c r="F92" s="1" t="str">
        <f>dados_01!F92</f>
        <v>INFANTIL 2</v>
      </c>
      <c r="G92" s="1" t="str">
        <f>dados_01!G92</f>
        <v>CEMEI PROFESSORA LINDOMAR DOMINGOS DA SILVA ANJOS</v>
      </c>
      <c r="H92" s="1" t="str">
        <f>dados_01!H92</f>
        <v>REGIONAL 5</v>
      </c>
      <c r="I92" s="1" t="str">
        <f>dados_01!I92</f>
        <v/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 t="str">
        <f>dados_01!A93</f>
        <v>28/01/2026 12:27:56</v>
      </c>
      <c r="B93" s="1" t="str">
        <f>dados_01!B93</f>
        <v>13</v>
      </c>
      <c r="C93" s="1" t="str">
        <f>IFERROR(__xludf.DUMMYFUNCTION("JOIN("". "", ARRAYFORMULA(IFERROR(LEFT(SPLIT(dados_01!C93, "" ""), 1))))"),"M. M. D. S. C")</f>
        <v>M. M. D. S. C</v>
      </c>
      <c r="D93" s="1" t="str">
        <f>dados_01!D93</f>
        <v>10/06/2023</v>
      </c>
      <c r="E93" s="1" t="str">
        <f>CONCATENATE(LEFT(dados_01!E93,3),REPT("*",6),RIGHT(dados_01!E93,2))</f>
        <v>185******70</v>
      </c>
      <c r="F93" s="1" t="str">
        <f>dados_01!F93</f>
        <v>INFANTIL 2</v>
      </c>
      <c r="G93" s="1" t="str">
        <f>dados_01!G93</f>
        <v>CEMEI PROFESSORA LINDOMAR DOMINGOS DA SILVA ANJOS</v>
      </c>
      <c r="H93" s="1" t="str">
        <f>dados_01!H93</f>
        <v>REGIONAL 5</v>
      </c>
      <c r="I93" s="1" t="str">
        <f>dados_01!I93</f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 t="str">
        <f>dados_01!A94</f>
        <v>29/01/2026 09:34:00</v>
      </c>
      <c r="B94" s="1" t="str">
        <f>dados_01!B94</f>
        <v>14</v>
      </c>
      <c r="C94" s="1" t="str">
        <f>IFERROR(__xludf.DUMMYFUNCTION("JOIN("". "", ARRAYFORMULA(IFERROR(LEFT(SPLIT(dados_01!C94, "" ""), 1))))"),"L. S. O. D. A")</f>
        <v>L. S. O. D. A</v>
      </c>
      <c r="D94" s="1" t="str">
        <f>dados_01!D94</f>
        <v>13/12/2023</v>
      </c>
      <c r="E94" s="1" t="str">
        <f>CONCATENATE(LEFT(dados_01!E94,3),REPT("*",6),RIGHT(dados_01!E94,2))</f>
        <v>002******11</v>
      </c>
      <c r="F94" s="1" t="str">
        <f>dados_01!F94</f>
        <v>INFANTIL 2</v>
      </c>
      <c r="G94" s="1" t="str">
        <f>dados_01!G94</f>
        <v>CEMEI PROFESSORA LINDOMAR DOMINGOS DA SILVA ANJOS</v>
      </c>
      <c r="H94" s="1" t="str">
        <f>dados_01!H94</f>
        <v>REGIONAL 5</v>
      </c>
      <c r="I94" s="1" t="str">
        <f>dados_01!I94</f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 t="str">
        <f>dados_01!A95</f>
        <v>29/01/2026 19:07:33</v>
      </c>
      <c r="B95" s="1" t="str">
        <f>dados_01!B95</f>
        <v>15</v>
      </c>
      <c r="C95" s="1" t="str">
        <f>IFERROR(__xludf.DUMMYFUNCTION("JOIN("". "", ARRAYFORMULA(IFERROR(LEFT(SPLIT(dados_01!C95, "" ""), 1))))"),"J. P. A. D. S")</f>
        <v>J. P. A. D. S</v>
      </c>
      <c r="D95" s="1" t="str">
        <f>dados_01!D95</f>
        <v>13/05/2023</v>
      </c>
      <c r="E95" s="1" t="str">
        <f>CONCATENATE(LEFT(dados_01!E95,3),REPT("*",6),RIGHT(dados_01!E95,2))</f>
        <v>185******08</v>
      </c>
      <c r="F95" s="1" t="str">
        <f>dados_01!F95</f>
        <v>INFANTIL 2</v>
      </c>
      <c r="G95" s="1" t="str">
        <f>dados_01!G95</f>
        <v>CEMEI PROFESSORA LINDOMAR DOMINGOS DA SILVA ANJOS</v>
      </c>
      <c r="H95" s="1" t="str">
        <f>dados_01!H95</f>
        <v>REGIONAL 5</v>
      </c>
      <c r="I95" s="1" t="str">
        <f>dados_01!I95</f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 t="str">
        <f>dados_01!A96</f>
        <v>03/02/2026 12:10:55</v>
      </c>
      <c r="B96" s="1" t="str">
        <f>dados_01!B96</f>
        <v>16</v>
      </c>
      <c r="C96" s="1" t="str">
        <f>IFERROR(__xludf.DUMMYFUNCTION("JOIN("". "", ARRAYFORMULA(IFERROR(LEFT(SPLIT(dados_01!C96, "" ""), 1))))"),"E. B. M. F. N")</f>
        <v>E. B. M. F. N</v>
      </c>
      <c r="D96" s="1" t="str">
        <f>dados_01!D96</f>
        <v>11/11/2023</v>
      </c>
      <c r="E96" s="1" t="str">
        <f>CONCATENATE(LEFT(dados_01!E96,3),REPT("*",6),RIGHT(dados_01!E96,2))</f>
        <v>001******70</v>
      </c>
      <c r="F96" s="1" t="str">
        <f>dados_01!F96</f>
        <v>INFANTIL 2</v>
      </c>
      <c r="G96" s="1" t="str">
        <f>dados_01!G96</f>
        <v>CEMEI PROFESSORA LINDOMAR DOMINGOS DA SILVA ANJOS</v>
      </c>
      <c r="H96" s="1" t="str">
        <f>dados_01!H96</f>
        <v>REGIONAL 5</v>
      </c>
      <c r="I96" s="1" t="str">
        <f>dados_01!I96</f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 t="str">
        <f>dados_01!A97</f>
        <v>03/02/2026 19:19:03</v>
      </c>
      <c r="B97" s="1" t="str">
        <f>dados_01!B97</f>
        <v>17</v>
      </c>
      <c r="C97" s="1" t="str">
        <f>IFERROR(__xludf.DUMMYFUNCTION("JOIN("". "", ARRAYFORMULA(IFERROR(LEFT(SPLIT(dados_01!C97, "" ""), 1))))"),"A. E. V. D. S")</f>
        <v>A. E. V. D. S</v>
      </c>
      <c r="D97" s="1" t="str">
        <f>dados_01!D97</f>
        <v>22/06/2023</v>
      </c>
      <c r="E97" s="1" t="str">
        <f>CONCATENATE(LEFT(dados_01!E97,3),REPT("*",6),RIGHT(dados_01!E97,2))</f>
        <v>185******00</v>
      </c>
      <c r="F97" s="1" t="str">
        <f>dados_01!F97</f>
        <v>INFANTIL 2</v>
      </c>
      <c r="G97" s="1" t="str">
        <f>dados_01!G97</f>
        <v>CEMEI PROFESSORA LINDOMAR DOMINGOS DA SILVA ANJOS</v>
      </c>
      <c r="H97" s="1" t="str">
        <f>dados_01!H97</f>
        <v>REGIONAL 5</v>
      </c>
      <c r="I97" s="1" t="str">
        <f>dados_01!I97</f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 t="str">
        <f>dados_01!A98</f>
        <v>04/02/2026 09:54:58</v>
      </c>
      <c r="B98" s="1" t="str">
        <f>dados_01!B98</f>
        <v>18</v>
      </c>
      <c r="C98" s="1" t="str">
        <f>IFERROR(__xludf.DUMMYFUNCTION("JOIN("". "", ARRAYFORMULA(IFERROR(LEFT(SPLIT(dados_01!C98, "" ""), 1))))"),"A. M. M. D. L")</f>
        <v>A. M. M. D. L</v>
      </c>
      <c r="D98" s="1" t="str">
        <f>dados_01!D98</f>
        <v>11/07/2023</v>
      </c>
      <c r="E98" s="1" t="str">
        <f>CONCATENATE(LEFT(dados_01!E98,3),REPT("*",6),RIGHT(dados_01!E98,2))</f>
        <v>186******75</v>
      </c>
      <c r="F98" s="1" t="str">
        <f>dados_01!F98</f>
        <v>INFANTIL 2</v>
      </c>
      <c r="G98" s="1" t="str">
        <f>dados_01!G98</f>
        <v>CEMEI PROFESSORA LINDOMAR DOMINGOS DA SILVA ANJOS</v>
      </c>
      <c r="H98" s="1" t="str">
        <f>dados_01!H98</f>
        <v>REGIONAL 5</v>
      </c>
      <c r="I98" s="1" t="str">
        <f>dados_01!I98</f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 t="str">
        <f>dados_01!A99</f>
        <v>04/02/2026 12:41:36</v>
      </c>
      <c r="B99" s="1" t="str">
        <f>dados_01!B99</f>
        <v>19</v>
      </c>
      <c r="C99" s="1" t="str">
        <f>IFERROR(__xludf.DUMMYFUNCTION("JOIN("". "", ARRAYFORMULA(IFERROR(LEFT(SPLIT(dados_01!C99, "" ""), 1))))"),"I. R. D. S")</f>
        <v>I. R. D. S</v>
      </c>
      <c r="D99" s="1" t="str">
        <f>dados_01!D99</f>
        <v>17/04/2023</v>
      </c>
      <c r="E99" s="1" t="str">
        <f>CONCATENATE(LEFT(dados_01!E99,3),REPT("*",6),RIGHT(dados_01!E99,2))</f>
        <v>185******67</v>
      </c>
      <c r="F99" s="1" t="str">
        <f>dados_01!F99</f>
        <v>INFANTIL 2</v>
      </c>
      <c r="G99" s="1" t="str">
        <f>dados_01!G99</f>
        <v>CEMEI PROFESSORA LINDOMAR DOMINGOS DA SILVA ANJOS</v>
      </c>
      <c r="H99" s="1" t="str">
        <f>dados_01!H99</f>
        <v>REGIONAL 5</v>
      </c>
      <c r="I99" s="1" t="str">
        <f>dados_01!I99</f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 t="str">
        <f>dados_01!A100</f>
        <v>04/02/2026 15:23:58</v>
      </c>
      <c r="B100" s="1" t="str">
        <f>dados_01!B100</f>
        <v>20</v>
      </c>
      <c r="C100" s="1" t="str">
        <f>IFERROR(__xludf.DUMMYFUNCTION("JOIN("". "", ARRAYFORMULA(IFERROR(LEFT(SPLIT(dados_01!C100, "" ""), 1))))"),"C. R. L. D. S")</f>
        <v>C. R. L. D. S</v>
      </c>
      <c r="D100" s="1" t="str">
        <f>dados_01!D100</f>
        <v>05/06/2023</v>
      </c>
      <c r="E100" s="1" t="str">
        <f>CONCATENATE(LEFT(dados_01!E100,3),REPT("*",6),RIGHT(dados_01!E100,2))</f>
        <v>185******37</v>
      </c>
      <c r="F100" s="1" t="str">
        <f>dados_01!F100</f>
        <v>INFANTIL 2</v>
      </c>
      <c r="G100" s="1" t="str">
        <f>dados_01!G100</f>
        <v>CEMEI PROFESSORA LINDOMAR DOMINGOS DA SILVA ANJOS</v>
      </c>
      <c r="H100" s="1" t="str">
        <f>dados_01!H100</f>
        <v>REGIONAL 5</v>
      </c>
      <c r="I100" s="1" t="str">
        <f>dados_01!I100</f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 t="str">
        <f>dados_01!A101</f>
        <v>05/02/2026 16:07:06</v>
      </c>
      <c r="B101" s="1" t="str">
        <f>dados_01!B101</f>
        <v>21</v>
      </c>
      <c r="C101" s="1" t="str">
        <f>IFERROR(__xludf.DUMMYFUNCTION("JOIN("". "", ARRAYFORMULA(IFERROR(LEFT(SPLIT(dados_01!C101, "" ""), 1))))"),"C. R. M. A. D. A")</f>
        <v>C. R. M. A. D. A</v>
      </c>
      <c r="D101" s="1" t="str">
        <f>dados_01!D101</f>
        <v>11/08/2023</v>
      </c>
      <c r="E101" s="1" t="str">
        <f>CONCATENATE(LEFT(dados_01!E101,3),REPT("*",6),RIGHT(dados_01!E101,2))</f>
        <v>186******84</v>
      </c>
      <c r="F101" s="1" t="str">
        <f>dados_01!F101</f>
        <v>INFANTIL 2</v>
      </c>
      <c r="G101" s="1" t="str">
        <f>dados_01!G101</f>
        <v>CEMEI PROFESSORA LINDOMAR DOMINGOS DA SILVA ANJOS</v>
      </c>
      <c r="H101" s="1" t="str">
        <f>dados_01!H101</f>
        <v>REGIONAL 5</v>
      </c>
      <c r="I101" s="1" t="str">
        <f>dados_01!I101</f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 t="str">
        <f>dados_01!A102</f>
        <v>09/02/2026 09:40:47</v>
      </c>
      <c r="B102" s="1" t="str">
        <f>dados_01!B102</f>
        <v>22</v>
      </c>
      <c r="C102" s="1" t="str">
        <f>IFERROR(__xludf.DUMMYFUNCTION("JOIN("". "", ARRAYFORMULA(IFERROR(LEFT(SPLIT(dados_01!C102, "" ""), 1))))"),"M. C. D. S")</f>
        <v>M. C. D. S</v>
      </c>
      <c r="D102" s="1" t="str">
        <f>dados_01!D102</f>
        <v>26/01/2024</v>
      </c>
      <c r="E102" s="1" t="str">
        <f>CONCATENATE(LEFT(dados_01!E102,3),REPT("*",6),RIGHT(dados_01!E102,2))</f>
        <v>001******17</v>
      </c>
      <c r="F102" s="1" t="str">
        <f>dados_01!F102</f>
        <v>INFANTIL 2</v>
      </c>
      <c r="G102" s="1" t="str">
        <f>dados_01!G102</f>
        <v>CEMEI PROFESSORA LINDOMAR DOMINGOS DA SILVA ANJOS</v>
      </c>
      <c r="H102" s="1" t="str">
        <f>dados_01!H102</f>
        <v>REGIONAL 5</v>
      </c>
      <c r="I102" s="1" t="str">
        <f>dados_01!I102</f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 t="str">
        <f>dados_01!A103</f>
        <v>10/02/2026 07:55:39</v>
      </c>
      <c r="B103" s="1" t="str">
        <f>dados_01!B103</f>
        <v>23</v>
      </c>
      <c r="C103" s="1" t="str">
        <f>IFERROR(__xludf.DUMMYFUNCTION("JOIN("". "", ARRAYFORMULA(IFERROR(LEFT(SPLIT(dados_01!C103, "" ""), 1))))"),"M. B. G")</f>
        <v>M. B. G</v>
      </c>
      <c r="D103" s="1" t="str">
        <f>dados_01!D103</f>
        <v>07/12/2023</v>
      </c>
      <c r="E103" s="1" t="str">
        <f>CONCATENATE(LEFT(dados_01!E103,3),REPT("*",6),RIGHT(dados_01!E103,2))</f>
        <v>001******44</v>
      </c>
      <c r="F103" s="1" t="str">
        <f>dados_01!F103</f>
        <v>INFANTIL 2</v>
      </c>
      <c r="G103" s="1" t="str">
        <f>dados_01!G103</f>
        <v>CEMEI PROFESSORA LINDOMAR DOMINGOS DA SILVA ANJOS</v>
      </c>
      <c r="H103" s="1" t="str">
        <f>dados_01!H103</f>
        <v>REGIONAL 5</v>
      </c>
      <c r="I103" s="1" t="str">
        <f>dados_01!I103</f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 t="str">
        <f>dados_01!A104</f>
        <v>10/02/2026 08:09:08</v>
      </c>
      <c r="B104" s="1" t="str">
        <f>dados_01!B104</f>
        <v>24</v>
      </c>
      <c r="C104" s="1" t="str">
        <f>IFERROR(__xludf.DUMMYFUNCTION("JOIN("". "", ARRAYFORMULA(IFERROR(LEFT(SPLIT(dados_01!C104, "" ""), 1))))"),"G. L. M. D. L")</f>
        <v>G. L. M. D. L</v>
      </c>
      <c r="D104" s="1" t="str">
        <f>dados_01!D104</f>
        <v>08/06/2023</v>
      </c>
      <c r="E104" s="1" t="str">
        <f>CONCATENATE(LEFT(dados_01!E104,3),REPT("*",6),RIGHT(dados_01!E104,2))</f>
        <v>185******83</v>
      </c>
      <c r="F104" s="1" t="str">
        <f>dados_01!F104</f>
        <v>INFANTIL 2</v>
      </c>
      <c r="G104" s="1" t="str">
        <f>dados_01!G104</f>
        <v>CEMEI PROFESSORA LINDOMAR DOMINGOS DA SILVA ANJOS</v>
      </c>
      <c r="H104" s="1" t="str">
        <f>dados_01!H104</f>
        <v>REGIONAL 5</v>
      </c>
      <c r="I104" s="1" t="str">
        <f>dados_01!I104</f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 t="str">
        <f>dados_01!A105</f>
        <v>10/02/2026 11:18:19</v>
      </c>
      <c r="B105" s="1" t="str">
        <f>dados_01!B105</f>
        <v>25</v>
      </c>
      <c r="C105" s="1" t="str">
        <f>IFERROR(__xludf.DUMMYFUNCTION("JOIN("". "", ARRAYFORMULA(IFERROR(LEFT(SPLIT(dados_01!C105, "" ""), 1))))"),"J. J. A. D. S")</f>
        <v>J. J. A. D. S</v>
      </c>
      <c r="D105" s="1" t="str">
        <f>dados_01!D105</f>
        <v>05/07/2023</v>
      </c>
      <c r="E105" s="1" t="str">
        <f>CONCATENATE(LEFT(dados_01!E105,3),REPT("*",6),RIGHT(dados_01!E105,2))</f>
        <v>185******70</v>
      </c>
      <c r="F105" s="1" t="str">
        <f>dados_01!F105</f>
        <v>INFANTIL 2</v>
      </c>
      <c r="G105" s="1" t="str">
        <f>dados_01!G105</f>
        <v>CEMEI PROFESSORA LINDOMAR DOMINGOS DA SILVA ANJOS</v>
      </c>
      <c r="H105" s="1" t="str">
        <f>dados_01!H105</f>
        <v>REGIONAL 5</v>
      </c>
      <c r="I105" s="1" t="str">
        <f>dados_01!I105</f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 t="str">
        <f>dados_01!A106</f>
        <v>11/02/2026 13:53:52</v>
      </c>
      <c r="B106" s="1" t="str">
        <f>dados_01!B106</f>
        <v>26</v>
      </c>
      <c r="C106" s="1" t="str">
        <f>IFERROR(__xludf.DUMMYFUNCTION("JOIN("". "", ARRAYFORMULA(IFERROR(LEFT(SPLIT(dados_01!C106, "" ""), 1))))"),"Y. M. V. D. S. N")</f>
        <v>Y. M. V. D. S. N</v>
      </c>
      <c r="D106" s="1" t="str">
        <f>dados_01!D106</f>
        <v>10/11/2023</v>
      </c>
      <c r="E106" s="1" t="str">
        <f>CONCATENATE(LEFT(dados_01!E106,3),REPT("*",6),RIGHT(dados_01!E106,2))</f>
        <v>000******22</v>
      </c>
      <c r="F106" s="1" t="str">
        <f>dados_01!F106</f>
        <v>INFANTIL 2</v>
      </c>
      <c r="G106" s="1" t="str">
        <f>dados_01!G106</f>
        <v>CEMEI PROFESSORA LINDOMAR DOMINGOS DA SILVA ANJOS</v>
      </c>
      <c r="H106" s="1" t="str">
        <f>dados_01!H106</f>
        <v>REGIONAL 5</v>
      </c>
      <c r="I106" s="1" t="str">
        <f>dados_01!I106</f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 t="str">
        <f>dados_01!A107</f>
        <v>19/02/2026 09:30:52</v>
      </c>
      <c r="B107" s="1" t="str">
        <f>dados_01!B107</f>
        <v>27</v>
      </c>
      <c r="C107" s="1" t="str">
        <f>IFERROR(__xludf.DUMMYFUNCTION("JOIN("". "", ARRAYFORMULA(IFERROR(LEFT(SPLIT(dados_01!C107, "" ""), 1))))"),"B. D. S. F")</f>
        <v>B. D. S. F</v>
      </c>
      <c r="D107" s="1" t="str">
        <f>dados_01!D107</f>
        <v>25/04/2023</v>
      </c>
      <c r="E107" s="1" t="str">
        <f>CONCATENATE(LEFT(dados_01!E107,3),REPT("*",6),RIGHT(dados_01!E107,2))</f>
        <v>185******70</v>
      </c>
      <c r="F107" s="1" t="str">
        <f>dados_01!F107</f>
        <v>INFANTIL 2</v>
      </c>
      <c r="G107" s="1" t="str">
        <f>dados_01!G107</f>
        <v>CEMEI PROFESSORA LINDOMAR DOMINGOS DA SILVA ANJOS</v>
      </c>
      <c r="H107" s="1" t="str">
        <f>dados_01!H107</f>
        <v>REGIONAL 5</v>
      </c>
      <c r="I107" s="1" t="str">
        <f>dados_01!I107</f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 t="str">
        <f>dados_01!A108</f>
        <v>03/03/2026 12:02:06</v>
      </c>
      <c r="B108" s="1" t="str">
        <f>dados_01!B108</f>
        <v>28</v>
      </c>
      <c r="C108" s="1" t="str">
        <f>IFERROR(__xludf.DUMMYFUNCTION("JOIN("". "", ARRAYFORMULA(IFERROR(LEFT(SPLIT(dados_01!C108, "" ""), 1))))"),"H. B. D. S")</f>
        <v>H. B. D. S</v>
      </c>
      <c r="D108" s="1" t="str">
        <f>dados_01!D108</f>
        <v>27/06/2023</v>
      </c>
      <c r="E108" s="1" t="str">
        <f>CONCATENATE(LEFT(dados_01!E108,3),REPT("*",6),RIGHT(dados_01!E108,2))</f>
        <v>185******04</v>
      </c>
      <c r="F108" s="1" t="str">
        <f>dados_01!F108</f>
        <v>INFANTIL 2</v>
      </c>
      <c r="G108" s="1" t="str">
        <f>dados_01!G108</f>
        <v>CEMEI PROFESSORA LINDOMAR DOMINGOS DA SILVA ANJOS</v>
      </c>
      <c r="H108" s="1" t="str">
        <f>dados_01!H108</f>
        <v>REGIONAL 5</v>
      </c>
      <c r="I108" s="1" t="str">
        <f>dados_01!I108</f>
        <v/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 t="str">
        <f>dados_01!A109</f>
        <v>04/03/2026 07:55:35</v>
      </c>
      <c r="B109" s="1" t="str">
        <f>dados_01!B109</f>
        <v>29</v>
      </c>
      <c r="C109" s="1" t="str">
        <f>IFERROR(__xludf.DUMMYFUNCTION("JOIN("". "", ARRAYFORMULA(IFERROR(LEFT(SPLIT(dados_01!C109, "" ""), 1))))"),"A. G. P. D. S")</f>
        <v>A. G. P. D. S</v>
      </c>
      <c r="D109" s="1" t="str">
        <f>dados_01!D109</f>
        <v>16/11/2023</v>
      </c>
      <c r="E109" s="1" t="str">
        <f>CONCATENATE(LEFT(dados_01!E109,3),REPT("*",6),RIGHT(dados_01!E109,2))</f>
        <v>001******73</v>
      </c>
      <c r="F109" s="1" t="str">
        <f>dados_01!F109</f>
        <v>INFANTIL 2</v>
      </c>
      <c r="G109" s="1" t="str">
        <f>dados_01!G109</f>
        <v>CEMEI PROFESSORA LINDOMAR DOMINGOS DA SILVA ANJOS</v>
      </c>
      <c r="H109" s="1" t="str">
        <f>dados_01!H109</f>
        <v>REGIONAL 5</v>
      </c>
      <c r="I109" s="1" t="str">
        <f>dados_01!I109</f>
        <v/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 t="str">
        <f>dados_01!A110</f>
        <v>12/03/2026 11:41:32</v>
      </c>
      <c r="B110" s="1" t="str">
        <f>dados_01!B110</f>
        <v>30</v>
      </c>
      <c r="C110" s="1" t="str">
        <f>IFERROR(__xludf.DUMMYFUNCTION("JOIN("". "", ARRAYFORMULA(IFERROR(LEFT(SPLIT(dados_01!C110, "" ""), 1))))"),"A. H. S. D. S")</f>
        <v>A. H. S. D. S</v>
      </c>
      <c r="D110" s="1" t="str">
        <f>dados_01!D110</f>
        <v>21/09/2023</v>
      </c>
      <c r="E110" s="1" t="str">
        <f>CONCATENATE(LEFT(dados_01!E110,3),REPT("*",6),RIGHT(dados_01!E110,2))</f>
        <v>186******03</v>
      </c>
      <c r="F110" s="1" t="str">
        <f>dados_01!F110</f>
        <v>INFANTIL 2</v>
      </c>
      <c r="G110" s="1" t="str">
        <f>dados_01!G110</f>
        <v>CEMEI PROFESSORA LINDOMAR DOMINGOS DA SILVA ANJOS</v>
      </c>
      <c r="H110" s="1" t="str">
        <f>dados_01!H110</f>
        <v>REGIONAL 5</v>
      </c>
      <c r="I110" s="1" t="str">
        <f>dados_01!I110</f>
        <v/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 t="str">
        <f>dados_01!A111</f>
        <v>25/04/2026 06:48:05</v>
      </c>
      <c r="B111" s="1" t="str">
        <f>dados_01!B111</f>
        <v>31</v>
      </c>
      <c r="C111" s="1" t="str">
        <f>IFERROR(__xludf.DUMMYFUNCTION("JOIN("". "", ARRAYFORMULA(IFERROR(LEFT(SPLIT(dados_01!C111, "" ""), 1))))"),"C. M. D. A")</f>
        <v>C. M. D. A</v>
      </c>
      <c r="D111" s="1" t="str">
        <f>dados_01!D111</f>
        <v>23/09/2023</v>
      </c>
      <c r="E111" s="1" t="str">
        <f>CONCATENATE(LEFT(dados_01!E111,3),REPT("*",6),RIGHT(dados_01!E111,2))</f>
        <v>000******91</v>
      </c>
      <c r="F111" s="1" t="str">
        <f>dados_01!F111</f>
        <v>INFANTIL 2</v>
      </c>
      <c r="G111" s="1" t="str">
        <f>dados_01!G111</f>
        <v>CEMEI PROFESSORA LINDOMAR DOMINGOS DA SILVA ANJOS</v>
      </c>
      <c r="H111" s="1" t="str">
        <f>dados_01!H111</f>
        <v>REGIONAL 5</v>
      </c>
      <c r="I111" s="1" t="str">
        <f>dados_01!I111</f>
        <v/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 t="str">
        <f>dados_01!A112</f>
        <v>29/06/2026 09:11:46</v>
      </c>
      <c r="B112" s="1" t="str">
        <f>dados_01!B112</f>
        <v>32</v>
      </c>
      <c r="C112" s="1" t="str">
        <f>IFERROR(__xludf.DUMMYFUNCTION("JOIN("". "", ARRAYFORMULA(IFERROR(LEFT(SPLIT(dados_01!C112, "" ""), 1))))"),"K. R. B. D. S")</f>
        <v>K. R. B. D. S</v>
      </c>
      <c r="D112" s="1" t="str">
        <f>dados_01!D112</f>
        <v>16/02/2024</v>
      </c>
      <c r="E112" s="1" t="str">
        <f>CONCATENATE(LEFT(dados_01!E112,3),REPT("*",6),RIGHT(dados_01!E112,2))</f>
        <v>001******30</v>
      </c>
      <c r="F112" s="1" t="str">
        <f>dados_01!F112</f>
        <v>INFANTIL 2</v>
      </c>
      <c r="G112" s="1" t="str">
        <f>dados_01!G112</f>
        <v>CEMEI PROFESSORA LINDOMAR DOMINGOS DA SILVA ANJOS</v>
      </c>
      <c r="H112" s="1" t="str">
        <f>dados_01!H112</f>
        <v>REGIONAL 5</v>
      </c>
      <c r="I112" s="1" t="str">
        <f>dados_01!I112</f>
        <v/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 t="str">
        <f>dados_01!A113</f>
        <v>28/01/2026 08:09:51</v>
      </c>
      <c r="B113" s="1" t="str">
        <f>dados_01!B113</f>
        <v>1</v>
      </c>
      <c r="C113" s="1" t="str">
        <f>IFERROR(__xludf.DUMMYFUNCTION("JOIN("". "", ARRAYFORMULA(IFERROR(LEFT(SPLIT(dados_01!C113, "" ""), 1))))"),"J. V. M. D. S. S")</f>
        <v>J. V. M. D. S. S</v>
      </c>
      <c r="D113" s="1" t="str">
        <f>dados_01!D113</f>
        <v>11/08/2022</v>
      </c>
      <c r="E113" s="1" t="str">
        <f>CONCATENATE(LEFT(dados_01!E113,3),REPT("*",6),RIGHT(dados_01!E113,2))</f>
        <v>182******05</v>
      </c>
      <c r="F113" s="1" t="str">
        <f>dados_01!F113</f>
        <v>INFANTIL 3</v>
      </c>
      <c r="G113" s="1" t="str">
        <f>dados_01!G113</f>
        <v>CEMEI PROFESSORA LINDOMAR DOMINGOS DA SILVA ANJOS</v>
      </c>
      <c r="H113" s="1" t="str">
        <f>dados_01!H113</f>
        <v>REGIONAL 5</v>
      </c>
      <c r="I113" s="1" t="str">
        <f>dados_01!I113</f>
        <v/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 t="str">
        <f>dados_01!A114</f>
        <v>28/01/2026 08:18:50</v>
      </c>
      <c r="B114" s="1" t="str">
        <f>dados_01!B114</f>
        <v>2</v>
      </c>
      <c r="C114" s="1" t="str">
        <f>IFERROR(__xludf.DUMMYFUNCTION("JOIN("". "", ARRAYFORMULA(IFERROR(LEFT(SPLIT(dados_01!C114, "" ""), 1))))"),"T. S. A. S")</f>
        <v>T. S. A. S</v>
      </c>
      <c r="D114" s="1" t="str">
        <f>dados_01!D114</f>
        <v>25/06/2022</v>
      </c>
      <c r="E114" s="1" t="str">
        <f>CONCATENATE(LEFT(dados_01!E114,3),REPT("*",6),RIGHT(dados_01!E114,2))</f>
        <v>182******52</v>
      </c>
      <c r="F114" s="1" t="str">
        <f>dados_01!F114</f>
        <v>INFANTIL 3</v>
      </c>
      <c r="G114" s="1" t="str">
        <f>dados_01!G114</f>
        <v>CEMEI PROFESSORA LINDOMAR DOMINGOS DA SILVA ANJOS</v>
      </c>
      <c r="H114" s="1" t="str">
        <f>dados_01!H114</f>
        <v>REGIONAL 5</v>
      </c>
      <c r="I114" s="1" t="str">
        <f>dados_01!I114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 t="str">
        <f>dados_01!A115</f>
        <v>28/01/2026 08:24:51</v>
      </c>
      <c r="B115" s="1" t="str">
        <f>dados_01!B115</f>
        <v>3</v>
      </c>
      <c r="C115" s="1" t="str">
        <f>IFERROR(__xludf.DUMMYFUNCTION("JOIN("". "", ARRAYFORMULA(IFERROR(LEFT(SPLIT(dados_01!C115, "" ""), 1))))"),"K. L. V. D. S")</f>
        <v>K. L. V. D. S</v>
      </c>
      <c r="D115" s="1" t="str">
        <f>dados_01!D115</f>
        <v>14/01/2023</v>
      </c>
      <c r="E115" s="1" t="str">
        <f>CONCATENATE(LEFT(dados_01!E115,3),REPT("*",6),RIGHT(dados_01!E115,2))</f>
        <v>184******86</v>
      </c>
      <c r="F115" s="1" t="str">
        <f>dados_01!F115</f>
        <v>INFANTIL 3</v>
      </c>
      <c r="G115" s="1" t="str">
        <f>dados_01!G115</f>
        <v>CEMEI PROFESSORA LINDOMAR DOMINGOS DA SILVA ANJOS</v>
      </c>
      <c r="H115" s="1" t="str">
        <f>dados_01!H115</f>
        <v>REGIONAL 5</v>
      </c>
      <c r="I115" s="1" t="str">
        <f>dados_01!I115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 t="str">
        <f>dados_01!A116</f>
        <v>28/01/2026 08:40:24</v>
      </c>
      <c r="B116" s="1" t="str">
        <f>dados_01!B116</f>
        <v>4</v>
      </c>
      <c r="C116" s="1" t="str">
        <f>IFERROR(__xludf.DUMMYFUNCTION("JOIN("". "", ARRAYFORMULA(IFERROR(LEFT(SPLIT(dados_01!C116, "" ""), 1))))"),"A. H. D. O. S")</f>
        <v>A. H. D. O. S</v>
      </c>
      <c r="D116" s="1" t="str">
        <f>dados_01!D116</f>
        <v>16/05/2022</v>
      </c>
      <c r="E116" s="1" t="str">
        <f>CONCATENATE(LEFT(dados_01!E116,3),REPT("*",6),RIGHT(dados_01!E116,2))</f>
        <v>181******57</v>
      </c>
      <c r="F116" s="1" t="str">
        <f>dados_01!F116</f>
        <v>INFANTIL 3</v>
      </c>
      <c r="G116" s="1" t="str">
        <f>dados_01!G116</f>
        <v>CEMEI PROFESSORA LINDOMAR DOMINGOS DA SILVA ANJOS</v>
      </c>
      <c r="H116" s="1" t="str">
        <f>dados_01!H116</f>
        <v>REGIONAL 5</v>
      </c>
      <c r="I116" s="1" t="str">
        <f>dados_01!I116</f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 t="str">
        <f>dados_01!A117</f>
        <v>28/01/2026 08:49:30</v>
      </c>
      <c r="B117" s="1" t="str">
        <f>dados_01!B117</f>
        <v>5</v>
      </c>
      <c r="C117" s="1" t="str">
        <f>IFERROR(__xludf.DUMMYFUNCTION("JOIN("". "", ARRAYFORMULA(IFERROR(LEFT(SPLIT(dados_01!C117, "" ""), 1))))"),"J. B. S. D. S")</f>
        <v>J. B. S. D. S</v>
      </c>
      <c r="D117" s="1" t="str">
        <f>dados_01!D117</f>
        <v>06/03/2023</v>
      </c>
      <c r="E117" s="1" t="str">
        <f>CONCATENATE(LEFT(dados_01!E117,3),REPT("*",6),RIGHT(dados_01!E117,2))</f>
        <v>184******70</v>
      </c>
      <c r="F117" s="1" t="str">
        <f>dados_01!F117</f>
        <v>INFANTIL 3</v>
      </c>
      <c r="G117" s="1" t="str">
        <f>dados_01!G117</f>
        <v>CEMEI PROFESSORA LINDOMAR DOMINGOS DA SILVA ANJOS</v>
      </c>
      <c r="H117" s="1" t="str">
        <f>dados_01!H117</f>
        <v>REGIONAL 5</v>
      </c>
      <c r="I117" s="1" t="str">
        <f>dados_01!I117</f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 t="str">
        <f>dados_01!A118</f>
        <v>28/01/2026 10:50:39</v>
      </c>
      <c r="B118" s="1" t="str">
        <f>dados_01!B118</f>
        <v>6</v>
      </c>
      <c r="C118" s="1" t="str">
        <f>IFERROR(__xludf.DUMMYFUNCTION("JOIN("". "", ARRAYFORMULA(IFERROR(LEFT(SPLIT(dados_01!C118, "" ""), 1))))"),"G. S. R")</f>
        <v>G. S. R</v>
      </c>
      <c r="D118" s="1" t="str">
        <f>dados_01!D118</f>
        <v>14/04/2022</v>
      </c>
      <c r="E118" s="1" t="str">
        <f>CONCATENATE(LEFT(dados_01!E118,3),REPT("*",6),RIGHT(dados_01!E118,2))</f>
        <v>181******84</v>
      </c>
      <c r="F118" s="1" t="str">
        <f>dados_01!F118</f>
        <v>INFANTIL 3</v>
      </c>
      <c r="G118" s="1" t="str">
        <f>dados_01!G118</f>
        <v>CEMEI PROFESSORA LINDOMAR DOMINGOS DA SILVA ANJOS</v>
      </c>
      <c r="H118" s="1" t="str">
        <f>dados_01!H118</f>
        <v>REGIONAL 5</v>
      </c>
      <c r="I118" s="1" t="str">
        <f>dados_01!I118</f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 t="str">
        <f>dados_01!A119</f>
        <v>28/01/2026 15:27:57</v>
      </c>
      <c r="B119" s="1" t="str">
        <f>dados_01!B119</f>
        <v>7</v>
      </c>
      <c r="C119" s="1" t="str">
        <f>IFERROR(__xludf.DUMMYFUNCTION("JOIN("". "", ARRAYFORMULA(IFERROR(LEFT(SPLIT(dados_01!C119, "" ""), 1))))"),"A. B. N. D. S")</f>
        <v>A. B. N. D. S</v>
      </c>
      <c r="D119" s="1" t="str">
        <f>dados_01!D119</f>
        <v>19/04/2022</v>
      </c>
      <c r="E119" s="1" t="str">
        <f>CONCATENATE(LEFT(dados_01!E119,3),REPT("*",6),RIGHT(dados_01!E119,2))</f>
        <v>181******03</v>
      </c>
      <c r="F119" s="1" t="str">
        <f>dados_01!F119</f>
        <v>INFANTIL 3</v>
      </c>
      <c r="G119" s="1" t="str">
        <f>dados_01!G119</f>
        <v>CEMEI PROFESSORA LINDOMAR DOMINGOS DA SILVA ANJOS</v>
      </c>
      <c r="H119" s="1" t="str">
        <f>dados_01!H119</f>
        <v>REGIONAL 5</v>
      </c>
      <c r="I119" s="1" t="str">
        <f>dados_01!I119</f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 t="str">
        <f>dados_01!A120</f>
        <v>28/01/2026 16:26:14</v>
      </c>
      <c r="B120" s="1" t="str">
        <f>dados_01!B120</f>
        <v>8</v>
      </c>
      <c r="C120" s="1" t="str">
        <f>IFERROR(__xludf.DUMMYFUNCTION("JOIN("". "", ARRAYFORMULA(IFERROR(LEFT(SPLIT(dados_01!C120, "" ""), 1))))"),"A. T. S. D. S")</f>
        <v>A. T. S. D. S</v>
      </c>
      <c r="D120" s="1" t="str">
        <f>dados_01!D120</f>
        <v>13/12/2022</v>
      </c>
      <c r="E120" s="1" t="str">
        <f>CONCATENATE(LEFT(dados_01!E120,3),REPT("*",6),RIGHT(dados_01!E120,2))</f>
        <v>184******30</v>
      </c>
      <c r="F120" s="1" t="str">
        <f>dados_01!F120</f>
        <v>INFANTIL 3</v>
      </c>
      <c r="G120" s="1" t="str">
        <f>dados_01!G120</f>
        <v>CEMEI PROFESSORA LINDOMAR DOMINGOS DA SILVA ANJOS</v>
      </c>
      <c r="H120" s="1" t="str">
        <f>dados_01!H120</f>
        <v>REGIONAL 5</v>
      </c>
      <c r="I120" s="1" t="str">
        <f>dados_01!I120</f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 t="str">
        <f>dados_01!A121</f>
        <v>28/01/2026 22:31:23</v>
      </c>
      <c r="B121" s="1" t="str">
        <f>dados_01!B121</f>
        <v>9</v>
      </c>
      <c r="C121" s="1" t="str">
        <f>IFERROR(__xludf.DUMMYFUNCTION("JOIN("". "", ARRAYFORMULA(IFERROR(LEFT(SPLIT(dados_01!C121, "" ""), 1))))"),"L. M. D. H. S")</f>
        <v>L. M. D. H. S</v>
      </c>
      <c r="D121" s="1" t="str">
        <f>dados_01!D121</f>
        <v>26/12/2022</v>
      </c>
      <c r="E121" s="1" t="str">
        <f>CONCATENATE(LEFT(dados_01!E121,3),REPT("*",6),RIGHT(dados_01!E121,2))</f>
        <v>184******90</v>
      </c>
      <c r="F121" s="1" t="str">
        <f>dados_01!F121</f>
        <v>INFANTIL 3</v>
      </c>
      <c r="G121" s="1" t="str">
        <f>dados_01!G121</f>
        <v>CEMEI PROFESSORA LINDOMAR DOMINGOS DA SILVA ANJOS</v>
      </c>
      <c r="H121" s="1" t="str">
        <f>dados_01!H121</f>
        <v>REGIONAL 5</v>
      </c>
      <c r="I121" s="1" t="str">
        <f>dados_01!I121</f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 t="str">
        <f>dados_01!A122</f>
        <v>29/01/2026 13:04:58</v>
      </c>
      <c r="B122" s="1" t="str">
        <f>dados_01!B122</f>
        <v>10</v>
      </c>
      <c r="C122" s="1" t="str">
        <f>IFERROR(__xludf.DUMMYFUNCTION("JOIN("". "", ARRAYFORMULA(IFERROR(LEFT(SPLIT(dados_01!C122, "" ""), 1))))"),"G. A. G. D. S")</f>
        <v>G. A. G. D. S</v>
      </c>
      <c r="D122" s="1" t="str">
        <f>dados_01!D122</f>
        <v>19/02/2023</v>
      </c>
      <c r="E122" s="1" t="str">
        <f>CONCATENATE(LEFT(dados_01!E122,3),REPT("*",6),RIGHT(dados_01!E122,2))</f>
        <v>184******99</v>
      </c>
      <c r="F122" s="1" t="str">
        <f>dados_01!F122</f>
        <v>INFANTIL 3</v>
      </c>
      <c r="G122" s="1" t="str">
        <f>dados_01!G122</f>
        <v>CEMEI PROFESSORA LINDOMAR DOMINGOS DA SILVA ANJOS</v>
      </c>
      <c r="H122" s="1" t="str">
        <f>dados_01!H122</f>
        <v>REGIONAL 5</v>
      </c>
      <c r="I122" s="1" t="str">
        <f>dados_01!I122</f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 t="str">
        <f>dados_01!A123</f>
        <v>29/01/2026 14:26:01</v>
      </c>
      <c r="B123" s="1" t="str">
        <f>dados_01!B123</f>
        <v>11</v>
      </c>
      <c r="C123" s="1" t="str">
        <f>IFERROR(__xludf.DUMMYFUNCTION("JOIN("". "", ARRAYFORMULA(IFERROR(LEFT(SPLIT(dados_01!C123, "" ""), 1))))"),"I. M. C. G")</f>
        <v>I. M. C. G</v>
      </c>
      <c r="D123" s="1" t="str">
        <f>dados_01!D123</f>
        <v>18/02/2023</v>
      </c>
      <c r="E123" s="1" t="str">
        <f>CONCATENATE(LEFT(dados_01!E123,3),REPT("*",6),RIGHT(dados_01!E123,2))</f>
        <v>185******45</v>
      </c>
      <c r="F123" s="1" t="str">
        <f>dados_01!F123</f>
        <v>INFANTIL 3</v>
      </c>
      <c r="G123" s="1" t="str">
        <f>dados_01!G123</f>
        <v>CEMEI PROFESSORA LINDOMAR DOMINGOS DA SILVA ANJOS</v>
      </c>
      <c r="H123" s="1" t="str">
        <f>dados_01!H123</f>
        <v>REGIONAL 5</v>
      </c>
      <c r="I123" s="1" t="str">
        <f>dados_01!I123</f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 t="str">
        <f>dados_01!A124</f>
        <v>01/02/2026 17:23:13</v>
      </c>
      <c r="B124" s="1" t="str">
        <f>dados_01!B124</f>
        <v>12</v>
      </c>
      <c r="C124" s="1" t="str">
        <f>IFERROR(__xludf.DUMMYFUNCTION("JOIN("". "", ARRAYFORMULA(IFERROR(LEFT(SPLIT(dados_01!C124, "" ""), 1))))"),"T. H. G. D. S")</f>
        <v>T. H. G. D. S</v>
      </c>
      <c r="D124" s="1" t="str">
        <f>dados_01!D124</f>
        <v>18/07/2022</v>
      </c>
      <c r="E124" s="1" t="str">
        <f>CONCATENATE(LEFT(dados_01!E124,3),REPT("*",6),RIGHT(dados_01!E124,2))</f>
        <v>182******13</v>
      </c>
      <c r="F124" s="1" t="str">
        <f>dados_01!F124</f>
        <v>INFANTIL 3</v>
      </c>
      <c r="G124" s="1" t="str">
        <f>dados_01!G124</f>
        <v>CEMEI PROFESSORA LINDOMAR DOMINGOS DA SILVA ANJOS</v>
      </c>
      <c r="H124" s="1" t="str">
        <f>dados_01!H124</f>
        <v>REGIONAL 5</v>
      </c>
      <c r="I124" s="1" t="str">
        <f>dados_01!I124</f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 t="str">
        <f>dados_01!A125</f>
        <v>02/02/2026 08:52:36</v>
      </c>
      <c r="B125" s="1" t="str">
        <f>dados_01!B125</f>
        <v>13</v>
      </c>
      <c r="C125" s="1" t="str">
        <f>IFERROR(__xludf.DUMMYFUNCTION("JOIN("". "", ARRAYFORMULA(IFERROR(LEFT(SPLIT(dados_01!C125, "" ""), 1))))"),"N. S. N")</f>
        <v>N. S. N</v>
      </c>
      <c r="D125" s="1" t="str">
        <f>dados_01!D125</f>
        <v>20/09/2022</v>
      </c>
      <c r="E125" s="1" t="str">
        <f>CONCATENATE(LEFT(dados_01!E125,3),REPT("*",6),RIGHT(dados_01!E125,2))</f>
        <v>231******48</v>
      </c>
      <c r="F125" s="1" t="str">
        <f>dados_01!F125</f>
        <v>INFANTIL 3</v>
      </c>
      <c r="G125" s="1" t="str">
        <f>dados_01!G125</f>
        <v>CEMEI PROFESSORA LINDOMAR DOMINGOS DA SILVA ANJOS</v>
      </c>
      <c r="H125" s="1" t="str">
        <f>dados_01!H125</f>
        <v>REGIONAL 5</v>
      </c>
      <c r="I125" s="1" t="str">
        <f>dados_01!I125</f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 t="str">
        <f>dados_01!A126</f>
        <v>04/02/2026 14:48:24</v>
      </c>
      <c r="B126" s="1" t="str">
        <f>dados_01!B126</f>
        <v>14</v>
      </c>
      <c r="C126" s="1" t="str">
        <f>IFERROR(__xludf.DUMMYFUNCTION("JOIN("". "", ARRAYFORMULA(IFERROR(LEFT(SPLIT(dados_01!C126, "" ""), 1))))"),"R. L. A. D. S")</f>
        <v>R. L. A. D. S</v>
      </c>
      <c r="D126" s="1" t="str">
        <f>dados_01!D126</f>
        <v>06/03/2023</v>
      </c>
      <c r="E126" s="1" t="str">
        <f>CONCATENATE(LEFT(dados_01!E126,3),REPT("*",6),RIGHT(dados_01!E126,2))</f>
        <v>184******04</v>
      </c>
      <c r="F126" s="1" t="str">
        <f>dados_01!F126</f>
        <v>INFANTIL 3</v>
      </c>
      <c r="G126" s="1" t="str">
        <f>dados_01!G126</f>
        <v>CEMEI PROFESSORA LINDOMAR DOMINGOS DA SILVA ANJOS</v>
      </c>
      <c r="H126" s="1" t="str">
        <f>dados_01!H126</f>
        <v>REGIONAL 5</v>
      </c>
      <c r="I126" s="1" t="str">
        <f>dados_01!I126</f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 t="str">
        <f>dados_01!A127</f>
        <v>05/02/2026 15:38:25</v>
      </c>
      <c r="B127" s="1" t="str">
        <f>dados_01!B127</f>
        <v>15</v>
      </c>
      <c r="C127" s="1" t="str">
        <f>IFERROR(__xludf.DUMMYFUNCTION("JOIN("". "", ARRAYFORMULA(IFERROR(LEFT(SPLIT(dados_01!C127, "" ""), 1))))"),"A. L. M. S. D. S")</f>
        <v>A. L. M. S. D. S</v>
      </c>
      <c r="D127" s="1" t="str">
        <f>dados_01!D127</f>
        <v>13/06/2022</v>
      </c>
      <c r="E127" s="1" t="str">
        <f>CONCATENATE(LEFT(dados_01!E127,3),REPT("*",6),RIGHT(dados_01!E127,2))</f>
        <v>181******47</v>
      </c>
      <c r="F127" s="1" t="str">
        <f>dados_01!F127</f>
        <v>INFANTIL 3</v>
      </c>
      <c r="G127" s="1" t="str">
        <f>dados_01!G127</f>
        <v>CEMEI PROFESSORA LINDOMAR DOMINGOS DA SILVA ANJOS</v>
      </c>
      <c r="H127" s="1" t="str">
        <f>dados_01!H127</f>
        <v>REGIONAL 5</v>
      </c>
      <c r="I127" s="1" t="str">
        <f>dados_01!I127</f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 t="str">
        <f>dados_01!A128</f>
        <v>06/02/2026 15:36:56</v>
      </c>
      <c r="B128" s="1" t="str">
        <f>dados_01!B128</f>
        <v>16</v>
      </c>
      <c r="C128" s="1" t="str">
        <f>IFERROR(__xludf.DUMMYFUNCTION("JOIN("". "", ARRAYFORMULA(IFERROR(LEFT(SPLIT(dados_01!C128, "" ""), 1))))"),"M. B. D. S")</f>
        <v>M. B. D. S</v>
      </c>
      <c r="D128" s="1" t="str">
        <f>dados_01!D128</f>
        <v>13/11/2022</v>
      </c>
      <c r="E128" s="1" t="str">
        <f>CONCATENATE(LEFT(dados_01!E128,3),REPT("*",6),RIGHT(dados_01!E128,2))</f>
        <v>183******21</v>
      </c>
      <c r="F128" s="1" t="str">
        <f>dados_01!F128</f>
        <v>INFANTIL 3</v>
      </c>
      <c r="G128" s="1" t="str">
        <f>dados_01!G128</f>
        <v>CEMEI PROFESSORA LINDOMAR DOMINGOS DA SILVA ANJOS</v>
      </c>
      <c r="H128" s="1" t="str">
        <f>dados_01!H128</f>
        <v>REGIONAL 5</v>
      </c>
      <c r="I128" s="1" t="str">
        <f>dados_01!I128</f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 t="str">
        <f>dados_01!A129</f>
        <v>10/02/2026 09:04:52</v>
      </c>
      <c r="B129" s="1" t="str">
        <f>dados_01!B129</f>
        <v>17</v>
      </c>
      <c r="C129" s="1" t="str">
        <f>IFERROR(__xludf.DUMMYFUNCTION("JOIN("". "", ARRAYFORMULA(IFERROR(LEFT(SPLIT(dados_01!C129, "" ""), 1))))"),"A. C. M. S. D. S")</f>
        <v>A. C. M. S. D. S</v>
      </c>
      <c r="D129" s="1" t="str">
        <f>dados_01!D129</f>
        <v>13/06/2022</v>
      </c>
      <c r="E129" s="1" t="str">
        <f>CONCATENATE(LEFT(dados_01!E129,3),REPT("*",6),RIGHT(dados_01!E129,2))</f>
        <v>181******43</v>
      </c>
      <c r="F129" s="1" t="str">
        <f>dados_01!F129</f>
        <v>INFANTIL 3</v>
      </c>
      <c r="G129" s="1" t="str">
        <f>dados_01!G129</f>
        <v>CEMEI PROFESSORA LINDOMAR DOMINGOS DA SILVA ANJOS</v>
      </c>
      <c r="H129" s="1" t="str">
        <f>dados_01!H129</f>
        <v>REGIONAL 5</v>
      </c>
      <c r="I129" s="1" t="str">
        <f>dados_01!I129</f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 t="str">
        <f>dados_01!A130</f>
        <v>10/02/2026 10:01:04</v>
      </c>
      <c r="B130" s="1" t="str">
        <f>dados_01!B130</f>
        <v>18</v>
      </c>
      <c r="C130" s="1" t="str">
        <f>IFERROR(__xludf.DUMMYFUNCTION("JOIN("". "", ARRAYFORMULA(IFERROR(LEFT(SPLIT(dados_01!C130, "" ""), 1))))"),"R. V. D. S. M")</f>
        <v>R. V. D. S. M</v>
      </c>
      <c r="D130" s="1" t="str">
        <f>dados_01!D130</f>
        <v>22/08/2022</v>
      </c>
      <c r="E130" s="1" t="str">
        <f>CONCATENATE(LEFT(dados_01!E130,3),REPT("*",6),RIGHT(dados_01!E130,2))</f>
        <v>182******47</v>
      </c>
      <c r="F130" s="1" t="str">
        <f>dados_01!F130</f>
        <v>INFANTIL 3</v>
      </c>
      <c r="G130" s="1" t="str">
        <f>dados_01!G130</f>
        <v>CEMEI PROFESSORA LINDOMAR DOMINGOS DA SILVA ANJOS</v>
      </c>
      <c r="H130" s="1" t="str">
        <f>dados_01!H130</f>
        <v>REGIONAL 5</v>
      </c>
      <c r="I130" s="1" t="str">
        <f>dados_01!I130</f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 t="str">
        <f>dados_01!A131</f>
        <v>19/02/2026 09:51:04</v>
      </c>
      <c r="B131" s="1" t="str">
        <f>dados_01!B131</f>
        <v>19</v>
      </c>
      <c r="C131" s="1" t="str">
        <f>IFERROR(__xludf.DUMMYFUNCTION("JOIN("". "", ARRAYFORMULA(IFERROR(LEFT(SPLIT(dados_01!C131, "" ""), 1))))"),"A. L. B. S")</f>
        <v>A. L. B. S</v>
      </c>
      <c r="D131" s="1" t="str">
        <f>dados_01!D131</f>
        <v>28/08/2022</v>
      </c>
      <c r="E131" s="1" t="str">
        <f>CONCATENATE(LEFT(dados_01!E131,3),REPT("*",6),RIGHT(dados_01!E131,2))</f>
        <v>183******41</v>
      </c>
      <c r="F131" s="1" t="str">
        <f>dados_01!F131</f>
        <v>INFANTIL 3</v>
      </c>
      <c r="G131" s="1" t="str">
        <f>dados_01!G131</f>
        <v>CEMEI PROFESSORA LINDOMAR DOMINGOS DA SILVA ANJOS</v>
      </c>
      <c r="H131" s="1" t="str">
        <f>dados_01!H131</f>
        <v>REGIONAL 5</v>
      </c>
      <c r="I131" s="1" t="str">
        <f>dados_01!I131</f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 t="str">
        <f>dados_01!A132</f>
        <v>19/02/2026 16:10:29</v>
      </c>
      <c r="B132" s="1" t="str">
        <f>dados_01!B132</f>
        <v>20</v>
      </c>
      <c r="C132" s="1" t="str">
        <f>IFERROR(__xludf.DUMMYFUNCTION("JOIN("". "", ARRAYFORMULA(IFERROR(LEFT(SPLIT(dados_01!C132, "" ""), 1))))"),"L. F. L")</f>
        <v>L. F. L</v>
      </c>
      <c r="D132" s="1" t="str">
        <f>dados_01!D132</f>
        <v>19/07/2022</v>
      </c>
      <c r="E132" s="1" t="str">
        <f>CONCATENATE(LEFT(dados_01!E132,3),REPT("*",6),RIGHT(dados_01!E132,2))</f>
        <v>182******54</v>
      </c>
      <c r="F132" s="1" t="str">
        <f>dados_01!F132</f>
        <v>INFANTIL 3</v>
      </c>
      <c r="G132" s="1" t="str">
        <f>dados_01!G132</f>
        <v>CEMEI PROFESSORA LINDOMAR DOMINGOS DA SILVA ANJOS</v>
      </c>
      <c r="H132" s="1" t="str">
        <f>dados_01!H132</f>
        <v>REGIONAL 5</v>
      </c>
      <c r="I132" s="1" t="str">
        <f>dados_01!I132</f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 t="str">
        <f>dados_01!A133</f>
        <v>03/03/2026 13:51:57</v>
      </c>
      <c r="B133" s="1" t="str">
        <f>dados_01!B133</f>
        <v>21</v>
      </c>
      <c r="C133" s="1" t="str">
        <f>IFERROR(__xludf.DUMMYFUNCTION("JOIN("". "", ARRAYFORMULA(IFERROR(LEFT(SPLIT(dados_01!C133, "" ""), 1))))"),"T. R. D. D. M")</f>
        <v>T. R. D. D. M</v>
      </c>
      <c r="D133" s="1" t="str">
        <f>dados_01!D133</f>
        <v>15/03/2023</v>
      </c>
      <c r="E133" s="1" t="str">
        <f>CONCATENATE(LEFT(dados_01!E133,3),REPT("*",6),RIGHT(dados_01!E133,2))</f>
        <v>184******07</v>
      </c>
      <c r="F133" s="1" t="str">
        <f>dados_01!F133</f>
        <v>INFANTIL 3</v>
      </c>
      <c r="G133" s="1" t="str">
        <f>dados_01!G133</f>
        <v>CEMEI PROFESSORA LINDOMAR DOMINGOS DA SILVA ANJOS</v>
      </c>
      <c r="H133" s="1" t="str">
        <f>dados_01!H133</f>
        <v>REGIONAL 5</v>
      </c>
      <c r="I133" s="1" t="str">
        <f>dados_01!I133</f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 t="str">
        <f>dados_01!A134</f>
        <v>24/03/2026 15:33:58</v>
      </c>
      <c r="B134" s="1" t="str">
        <f>dados_01!B134</f>
        <v>22</v>
      </c>
      <c r="C134" s="1" t="str">
        <f>IFERROR(__xludf.DUMMYFUNCTION("JOIN("". "", ARRAYFORMULA(IFERROR(LEFT(SPLIT(dados_01!C134, "" ""), 1))))"),"A. V. C. D. S")</f>
        <v>A. V. C. D. S</v>
      </c>
      <c r="D134" s="1" t="str">
        <f>dados_01!D134</f>
        <v>06/10/2022</v>
      </c>
      <c r="E134" s="1" t="str">
        <f>CONCATENATE(LEFT(dados_01!E134,3),REPT("*",6),RIGHT(dados_01!E134,2))</f>
        <v>093******73</v>
      </c>
      <c r="F134" s="1" t="str">
        <f>dados_01!F134</f>
        <v>INFANTIL 3</v>
      </c>
      <c r="G134" s="1" t="str">
        <f>dados_01!G134</f>
        <v>CEMEI PROFESSORA LINDOMAR DOMINGOS DA SILVA ANJOS</v>
      </c>
      <c r="H134" s="1" t="str">
        <f>dados_01!H134</f>
        <v>REGIONAL 5</v>
      </c>
      <c r="I134" s="1" t="str">
        <f>dados_01!I134</f>
        <v/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 t="str">
        <f>dados_01!A135</f>
        <v>09/04/2026 12:42:59</v>
      </c>
      <c r="B135" s="1" t="str">
        <f>dados_01!B135</f>
        <v>23</v>
      </c>
      <c r="C135" s="1" t="str">
        <f>IFERROR(__xludf.DUMMYFUNCTION("JOIN("". "", ARRAYFORMULA(IFERROR(LEFT(SPLIT(dados_01!C135, "" ""), 1))))"),"T. E. D. S")</f>
        <v>T. E. D. S</v>
      </c>
      <c r="D135" s="1" t="str">
        <f>dados_01!D135</f>
        <v>28/09/2022</v>
      </c>
      <c r="E135" s="1" t="str">
        <f>CONCATENATE(LEFT(dados_01!E135,3),REPT("*",6),RIGHT(dados_01!E135,2))</f>
        <v>183******73</v>
      </c>
      <c r="F135" s="1" t="str">
        <f>dados_01!F135</f>
        <v>INFANTIL 3</v>
      </c>
      <c r="G135" s="1" t="str">
        <f>dados_01!G135</f>
        <v>CEMEI PROFESSORA LINDOMAR DOMINGOS DA SILVA ANJOS</v>
      </c>
      <c r="H135" s="1" t="str">
        <f>dados_01!H135</f>
        <v>REGIONAL 5</v>
      </c>
      <c r="I135" s="1" t="str">
        <f>dados_01!I135</f>
        <v/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 t="str">
        <f>dados_01!A136</f>
        <v>15/04/2026 12:12:34</v>
      </c>
      <c r="B136" s="1" t="str">
        <f>dados_01!B136</f>
        <v>24</v>
      </c>
      <c r="C136" s="1" t="str">
        <f>IFERROR(__xludf.DUMMYFUNCTION("JOIN("". "", ARRAYFORMULA(IFERROR(LEFT(SPLIT(dados_01!C136, "" ""), 1))))"),"L. M. M. D. C")</f>
        <v>L. M. M. D. C</v>
      </c>
      <c r="D136" s="1" t="str">
        <f>dados_01!D136</f>
        <v>15/05/2022</v>
      </c>
      <c r="E136" s="1" t="str">
        <f>CONCATENATE(LEFT(dados_01!E136,3),REPT("*",6),RIGHT(dados_01!E136,2))</f>
        <v>181******39</v>
      </c>
      <c r="F136" s="1" t="str">
        <f>dados_01!F136</f>
        <v>INFANTIL 3</v>
      </c>
      <c r="G136" s="1" t="str">
        <f>dados_01!G136</f>
        <v>CEMEI PROFESSORA LINDOMAR DOMINGOS DA SILVA ANJOS</v>
      </c>
      <c r="H136" s="1" t="str">
        <f>dados_01!H136</f>
        <v>REGIONAL 5</v>
      </c>
      <c r="I136" s="1" t="str">
        <f>dados_01!I136</f>
        <v/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 t="str">
        <f>dados_01!A137</f>
        <v>15/04/2026 20:08:01</v>
      </c>
      <c r="B137" s="1" t="str">
        <f>dados_01!B137</f>
        <v>25</v>
      </c>
      <c r="C137" s="1" t="str">
        <f>IFERROR(__xludf.DUMMYFUNCTION("JOIN("". "", ARRAYFORMULA(IFERROR(LEFT(SPLIT(dados_01!C137, "" ""), 1))))"),"M. L. V. D. S")</f>
        <v>M. L. V. D. S</v>
      </c>
      <c r="D137" s="1" t="str">
        <f>dados_01!D137</f>
        <v>06/03/2023</v>
      </c>
      <c r="E137" s="1" t="str">
        <f>CONCATENATE(LEFT(dados_01!E137,3),REPT("*",6),RIGHT(dados_01!E137,2))</f>
        <v>184******09</v>
      </c>
      <c r="F137" s="1" t="str">
        <f>dados_01!F137</f>
        <v>INFANTIL 3</v>
      </c>
      <c r="G137" s="1" t="str">
        <f>dados_01!G137</f>
        <v>CEMEI PROFESSORA LINDOMAR DOMINGOS DA SILVA ANJOS</v>
      </c>
      <c r="H137" s="1" t="str">
        <f>dados_01!H137</f>
        <v>REGIONAL 5</v>
      </c>
      <c r="I137" s="1" t="str">
        <f>dados_01!I137</f>
        <v/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 t="str">
        <f>dados_01!A138</f>
        <v>24/04/2026 15:30:49</v>
      </c>
      <c r="B138" s="1" t="str">
        <f>dados_01!B138</f>
        <v>26</v>
      </c>
      <c r="C138" s="1" t="str">
        <f>IFERROR(__xludf.DUMMYFUNCTION("JOIN("". "", ARRAYFORMULA(IFERROR(LEFT(SPLIT(dados_01!C138, "" ""), 1))))"),"L. G. D. S. M")</f>
        <v>L. G. D. S. M</v>
      </c>
      <c r="D138" s="1" t="str">
        <f>dados_01!D138</f>
        <v>27/07/2022</v>
      </c>
      <c r="E138" s="1" t="str">
        <f>CONCATENATE(LEFT(dados_01!E138,3),REPT("*",6),RIGHT(dados_01!E138,2))</f>
        <v>182******80</v>
      </c>
      <c r="F138" s="1" t="str">
        <f>dados_01!F138</f>
        <v>INFANTIL 3</v>
      </c>
      <c r="G138" s="1" t="str">
        <f>dados_01!G138</f>
        <v>CEMEI PROFESSORA LINDOMAR DOMINGOS DA SILVA ANJOS</v>
      </c>
      <c r="H138" s="1" t="str">
        <f>dados_01!H138</f>
        <v>REGIONAL 5</v>
      </c>
      <c r="I138" s="1" t="str">
        <f>dados_01!I138</f>
        <v/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 t="str">
        <f>dados_01!A139</f>
        <v>13/05/2026 09:51:31</v>
      </c>
      <c r="B139" s="1" t="str">
        <f>dados_01!B139</f>
        <v>27</v>
      </c>
      <c r="C139" s="1" t="str">
        <f>IFERROR(__xludf.DUMMYFUNCTION("JOIN("". "", ARRAYFORMULA(IFERROR(LEFT(SPLIT(dados_01!C139, "" ""), 1))))"),"A. T. M. D. N")</f>
        <v>A. T. M. D. N</v>
      </c>
      <c r="D139" s="1" t="str">
        <f>dados_01!D139</f>
        <v>23/02/2023</v>
      </c>
      <c r="E139" s="1" t="str">
        <f>CONCATENATE(LEFT(dados_01!E139,3),REPT("*",6),RIGHT(dados_01!E139,2))</f>
        <v>608******29</v>
      </c>
      <c r="F139" s="1" t="str">
        <f>dados_01!F139</f>
        <v>INFANTIL 3</v>
      </c>
      <c r="G139" s="1" t="str">
        <f>dados_01!G139</f>
        <v>CEMEI PROFESSORA LINDOMAR DOMINGOS DA SILVA ANJOS</v>
      </c>
      <c r="H139" s="1" t="str">
        <f>dados_01!H139</f>
        <v>REGIONAL 5</v>
      </c>
      <c r="I139" s="1" t="str">
        <f>dados_01!I139</f>
        <v/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 t="str">
        <f>dados_01!A140</f>
        <v>23/05/2026 20:29:57</v>
      </c>
      <c r="B140" s="1" t="str">
        <f>dados_01!B140</f>
        <v>28</v>
      </c>
      <c r="C140" s="1" t="str">
        <f>IFERROR(__xludf.DUMMYFUNCTION("JOIN("". "", ARRAYFORMULA(IFERROR(LEFT(SPLIT(dados_01!C140, "" ""), 1))))"),"H. M. A. T. M")</f>
        <v>H. M. A. T. M</v>
      </c>
      <c r="D140" s="1" t="str">
        <f>dados_01!D140</f>
        <v>03/11/2022</v>
      </c>
      <c r="E140" s="1" t="str">
        <f>CONCATENATE(LEFT(dados_01!E140,3),REPT("*",6),RIGHT(dados_01!E140,2))</f>
        <v>183******40</v>
      </c>
      <c r="F140" s="1" t="str">
        <f>dados_01!F140</f>
        <v>INFANTIL 3</v>
      </c>
      <c r="G140" s="1" t="str">
        <f>dados_01!G140</f>
        <v>CEMEI PROFESSORA LINDOMAR DOMINGOS DA SILVA ANJOS</v>
      </c>
      <c r="H140" s="1" t="str">
        <f>dados_01!H140</f>
        <v>REGIONAL 5</v>
      </c>
      <c r="I140" s="1" t="str">
        <f>dados_01!I140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 t="str">
        <f>dados_01!A141</f>
        <v>01/06/2026 08:29:45</v>
      </c>
      <c r="B141" s="1" t="str">
        <f>dados_01!B141</f>
        <v>29</v>
      </c>
      <c r="C141" s="1" t="str">
        <f>IFERROR(__xludf.DUMMYFUNCTION("JOIN("". "", ARRAYFORMULA(IFERROR(LEFT(SPLIT(dados_01!C141, "" ""), 1))))"),"B. D. D. A")</f>
        <v>B. D. D. A</v>
      </c>
      <c r="D141" s="1" t="str">
        <f>dados_01!D141</f>
        <v>29/07/2022</v>
      </c>
      <c r="E141" s="1" t="str">
        <f>CONCATENATE(LEFT(dados_01!E141,3),REPT("*",6),RIGHT(dados_01!E141,2))</f>
        <v>182******60</v>
      </c>
      <c r="F141" s="1" t="str">
        <f>dados_01!F141</f>
        <v>INFANTIL 3</v>
      </c>
      <c r="G141" s="1" t="str">
        <f>dados_01!G141</f>
        <v>CEMEI PROFESSORA LINDOMAR DOMINGOS DA SILVA ANJOS</v>
      </c>
      <c r="H141" s="1" t="str">
        <f>dados_01!H141</f>
        <v>REGIONAL 5</v>
      </c>
      <c r="I141" s="1" t="str">
        <f>dados_01!I141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 t="str">
        <f>dados_01!A142</f>
        <v>08/06/2026 14:32:49</v>
      </c>
      <c r="B142" s="1" t="str">
        <f>dados_01!B142</f>
        <v>30</v>
      </c>
      <c r="C142" s="1" t="str">
        <f>IFERROR(__xludf.DUMMYFUNCTION("JOIN("". "", ARRAYFORMULA(IFERROR(LEFT(SPLIT(dados_01!C142, "" ""), 1))))"),"E. T. S. d. M")</f>
        <v>E. T. S. d. M</v>
      </c>
      <c r="D142" s="1" t="str">
        <f>dados_01!D142</f>
        <v>17/05/2022</v>
      </c>
      <c r="E142" s="1" t="str">
        <f>CONCATENATE(LEFT(dados_01!E142,3),REPT("*",6),RIGHT(dados_01!E142,2))</f>
        <v>181******02</v>
      </c>
      <c r="F142" s="1" t="str">
        <f>dados_01!F142</f>
        <v>INFANTIL 3</v>
      </c>
      <c r="G142" s="1" t="str">
        <f>dados_01!G142</f>
        <v>CEMEI PROFESSORA LINDOMAR DOMINGOS DA SILVA ANJOS</v>
      </c>
      <c r="H142" s="1" t="str">
        <f>dados_01!H142</f>
        <v>REGIONAL 5</v>
      </c>
      <c r="I142" s="1" t="str">
        <f>dados_01!I142</f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 t="str">
        <f>dados_01!A143</f>
        <v>11/06/2026 11:18:56</v>
      </c>
      <c r="B143" s="1" t="str">
        <f>dados_01!B143</f>
        <v>31</v>
      </c>
      <c r="C143" s="1" t="str">
        <f>IFERROR(__xludf.DUMMYFUNCTION("JOIN("". "", ARRAYFORMULA(IFERROR(LEFT(SPLIT(dados_01!C143, "" ""), 1))))"),"A. C. D. S")</f>
        <v>A. C. D. S</v>
      </c>
      <c r="D143" s="1" t="str">
        <f>dados_01!D143</f>
        <v>12/01/2023</v>
      </c>
      <c r="E143" s="1" t="str">
        <f>CONCATENATE(LEFT(dados_01!E143,3),REPT("*",6),RIGHT(dados_01!E143,2))</f>
        <v>184******32</v>
      </c>
      <c r="F143" s="1" t="str">
        <f>dados_01!F143</f>
        <v>INFANTIL 3</v>
      </c>
      <c r="G143" s="1" t="str">
        <f>dados_01!G143</f>
        <v>CEMEI PROFESSORA LINDOMAR DOMINGOS DA SILVA ANJOS</v>
      </c>
      <c r="H143" s="1" t="str">
        <f>dados_01!H143</f>
        <v>REGIONAL 5</v>
      </c>
      <c r="I143" s="1" t="str">
        <f>dados_01!I143</f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 t="str">
        <f>dados_01!A144</f>
        <v>24/02/2026 14:04:38</v>
      </c>
      <c r="B144" s="1" t="str">
        <f>dados_01!B144</f>
        <v>1</v>
      </c>
      <c r="C144" s="1" t="str">
        <f>IFERROR(__xludf.DUMMYFUNCTION("JOIN("". "", ARRAYFORMULA(IFERROR(LEFT(SPLIT(dados_01!C144, "" ""), 1))))"),"J. M. F. D. S")</f>
        <v>J. M. F. D. S</v>
      </c>
      <c r="D144" s="1" t="str">
        <f>dados_01!D144</f>
        <v>01/11/2022</v>
      </c>
      <c r="E144" s="1" t="str">
        <f>CONCATENATE(LEFT(dados_01!E144,3),REPT("*",6),RIGHT(dados_01!E144,2))</f>
        <v>185******30</v>
      </c>
      <c r="F144" s="1" t="str">
        <f>dados_01!F144</f>
        <v>INFANTIL 3</v>
      </c>
      <c r="G144" s="1" t="str">
        <f>dados_01!G144</f>
        <v>CEMEI PROFESSORA MARLUCIA EVANGELISTA DE SOUZA</v>
      </c>
      <c r="H144" s="1" t="str">
        <f>dados_01!H144</f>
        <v>REGIONAL 6</v>
      </c>
      <c r="I144" s="1" t="str">
        <f>dados_01!I144</f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 t="str">
        <f>dados_01!A145</f>
        <v>26/03/2026 11:14:13</v>
      </c>
      <c r="B145" s="1" t="str">
        <f>dados_01!B145</f>
        <v>2</v>
      </c>
      <c r="C145" s="1" t="str">
        <f>IFERROR(__xludf.DUMMYFUNCTION("JOIN("". "", ARRAYFORMULA(IFERROR(LEFT(SPLIT(dados_01!C145, "" ""), 1))))"),"E. G. M. D. N")</f>
        <v>E. G. M. D. N</v>
      </c>
      <c r="D145" s="1" t="str">
        <f>dados_01!D145</f>
        <v>19/11/2022</v>
      </c>
      <c r="E145" s="1" t="str">
        <f>CONCATENATE(LEFT(dados_01!E145,3),REPT("*",6),RIGHT(dados_01!E145,2))</f>
        <v>183******10</v>
      </c>
      <c r="F145" s="1" t="str">
        <f>dados_01!F145</f>
        <v>INFANTIL 3</v>
      </c>
      <c r="G145" s="1" t="str">
        <f>dados_01!G145</f>
        <v>CEMEI PROFESSORA MARLUCIA EVANGELISTA DE SOUZA</v>
      </c>
      <c r="H145" s="1" t="str">
        <f>dados_01!H145</f>
        <v>REGIONAL 6</v>
      </c>
      <c r="I145" s="1" t="str">
        <f>dados_01!I145</f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 t="str">
        <f>dados_01!A146</f>
        <v>27/03/2026 08:54:52</v>
      </c>
      <c r="B146" s="1" t="str">
        <f>dados_01!B146</f>
        <v>3</v>
      </c>
      <c r="C146" s="1" t="str">
        <f>IFERROR(__xludf.DUMMYFUNCTION("JOIN("". "", ARRAYFORMULA(IFERROR(LEFT(SPLIT(dados_01!C146, "" ""), 1))))"),"M. H. D. S. L")</f>
        <v>M. H. D. S. L</v>
      </c>
      <c r="D146" s="1" t="str">
        <f>dados_01!D146</f>
        <v>11/05/2022</v>
      </c>
      <c r="E146" s="1" t="str">
        <f>CONCATENATE(LEFT(dados_01!E146,3),REPT("*",6),RIGHT(dados_01!E146,2))</f>
        <v>183******63</v>
      </c>
      <c r="F146" s="1" t="str">
        <f>dados_01!F146</f>
        <v>INFANTIL 3</v>
      </c>
      <c r="G146" s="1" t="str">
        <f>dados_01!G146</f>
        <v>CEMEI PROFESSORA MARLUCIA EVANGELISTA DE SOUZA</v>
      </c>
      <c r="H146" s="1" t="str">
        <f>dados_01!H146</f>
        <v>REGIONAL 6</v>
      </c>
      <c r="I146" s="1" t="str">
        <f>dados_01!I146</f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 t="str">
        <f>dados_01!A147</f>
        <v>09/06/2026 13:23:26</v>
      </c>
      <c r="B147" s="1" t="str">
        <f>dados_01!B147</f>
        <v>4</v>
      </c>
      <c r="C147" s="1" t="str">
        <f>IFERROR(__xludf.DUMMYFUNCTION("JOIN("". "", ARRAYFORMULA(IFERROR(LEFT(SPLIT(dados_01!C147, "" ""), 1))))"),"M. C. L. d. S")</f>
        <v>M. C. L. d. S</v>
      </c>
      <c r="D147" s="1" t="str">
        <f>dados_01!D147</f>
        <v>04/01/2023</v>
      </c>
      <c r="E147" s="1" t="str">
        <f>CONCATENATE(LEFT(dados_01!E147,3),REPT("*",6),RIGHT(dados_01!E147,2))</f>
        <v>184******58</v>
      </c>
      <c r="F147" s="1" t="str">
        <f>dados_01!F147</f>
        <v>INFANTIL 3</v>
      </c>
      <c r="G147" s="1" t="str">
        <f>dados_01!G147</f>
        <v>CEMEI PROFESSORA MARLUCIA EVANGELISTA DE SOUZA</v>
      </c>
      <c r="H147" s="1" t="str">
        <f>dados_01!H147</f>
        <v>REGIONAL 6</v>
      </c>
      <c r="I147" s="1" t="str">
        <f>dados_01!I147</f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 t="str">
        <f>dados_01!A148</f>
        <v>31/03/2026 08:33:16</v>
      </c>
      <c r="B148" s="1" t="str">
        <f>dados_01!B148</f>
        <v>1</v>
      </c>
      <c r="C148" s="1" t="str">
        <f>IFERROR(__xludf.DUMMYFUNCTION("JOIN("". "", ARRAYFORMULA(IFERROR(LEFT(SPLIT(dados_01!C148, "" ""), 1))))"),"A. G. B. D. N")</f>
        <v>A. G. B. D. N</v>
      </c>
      <c r="D148" s="1" t="str">
        <f>dados_01!D148</f>
        <v>03/02/2023</v>
      </c>
      <c r="E148" s="1" t="str">
        <f>CONCATENATE(LEFT(dados_01!E148,3),REPT("*",6),RIGHT(dados_01!E148,2))</f>
        <v>184******02</v>
      </c>
      <c r="F148" s="1" t="str">
        <f>dados_01!F148</f>
        <v>INFANTIL 3</v>
      </c>
      <c r="G148" s="1" t="str">
        <f>dados_01!G148</f>
        <v>CEMEI PROFESSORA MARLUCIA EVANGELISTA DE SOUZA</v>
      </c>
      <c r="H148" s="1" t="str">
        <f>dados_01!H148</f>
        <v>REGIONAL 6</v>
      </c>
      <c r="I148" s="1" t="str">
        <f>dados_01!I148</f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 t="str">
        <f>dados_01!A149</f>
        <v>17/03/2026 11:53:45</v>
      </c>
      <c r="B149" s="1" t="str">
        <f>dados_01!B149</f>
        <v>1</v>
      </c>
      <c r="C149" s="1" t="str">
        <f>IFERROR(__xludf.DUMMYFUNCTION("JOIN("". "", ARRAYFORMULA(IFERROR(LEFT(SPLIT(dados_01!C149, "" ""), 1))))"),"S. B. D. S")</f>
        <v>S. B. D. S</v>
      </c>
      <c r="D149" s="1" t="str">
        <f>dados_01!D149</f>
        <v>09/04/2025</v>
      </c>
      <c r="E149" s="1" t="str">
        <f>CONCATENATE(LEFT(dados_01!E149,3),REPT("*",6),RIGHT(dados_01!E149,2))</f>
        <v>005******50</v>
      </c>
      <c r="F149" s="1" t="str">
        <f>dados_01!F149</f>
        <v>INFANTIL 1</v>
      </c>
      <c r="G149" s="1" t="str">
        <f>dados_01!G149</f>
        <v>CEMEI PROFESSORA RAKELLY NOGUEIRA DO NASCIMENTO</v>
      </c>
      <c r="H149" s="1" t="str">
        <f>dados_01!H149</f>
        <v>REGIONAL 6</v>
      </c>
      <c r="I149" s="1" t="str">
        <f>dados_01!I149</f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 t="str">
        <f>dados_01!A150</f>
        <v>22/05/2026 09:50:12</v>
      </c>
      <c r="B150" s="1" t="str">
        <f>dados_01!B150</f>
        <v>2</v>
      </c>
      <c r="C150" s="1" t="str">
        <f>IFERROR(__xludf.DUMMYFUNCTION("JOIN("". "", ARRAYFORMULA(IFERROR(LEFT(SPLIT(dados_01!C150, "" ""), 1))))"),"T. V. G. d. S")</f>
        <v>T. V. G. d. S</v>
      </c>
      <c r="D150" s="1" t="str">
        <f>dados_01!D150</f>
        <v>28/06/2025</v>
      </c>
      <c r="E150" s="1" t="str">
        <f>CONCATENATE(LEFT(dados_01!E150,3),REPT("*",6),RIGHT(dados_01!E150,2))</f>
        <v>006******61</v>
      </c>
      <c r="F150" s="1" t="str">
        <f>dados_01!F150</f>
        <v>INFANTIL 1</v>
      </c>
      <c r="G150" s="1" t="str">
        <f>dados_01!G150</f>
        <v>CEMEI PROFESSORA RAKELLY NOGUEIRA DO NASCIMENTO</v>
      </c>
      <c r="H150" s="1" t="str">
        <f>dados_01!H150</f>
        <v>REGIONAL 6</v>
      </c>
      <c r="I150" s="1" t="str">
        <f>dados_01!I150</f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 t="str">
        <f>dados_01!A151</f>
        <v>24/03/2026 08:53:08</v>
      </c>
      <c r="B151" s="1" t="str">
        <f>dados_01!B151</f>
        <v>1</v>
      </c>
      <c r="C151" s="1" t="str">
        <f>IFERROR(__xludf.DUMMYFUNCTION("JOIN("". "", ARRAYFORMULA(IFERROR(LEFT(SPLIT(dados_01!C151, "" ""), 1))))"),"A. R. S. V. D. S")</f>
        <v>A. R. S. V. D. S</v>
      </c>
      <c r="D151" s="1" t="str">
        <f>dados_01!D151</f>
        <v>04/09/2023</v>
      </c>
      <c r="E151" s="1" t="str">
        <f>CONCATENATE(LEFT(dados_01!E151,3),REPT("*",6),RIGHT(dados_01!E151,2))</f>
        <v>003******33</v>
      </c>
      <c r="F151" s="1" t="str">
        <f>dados_01!F151</f>
        <v>INFANTIL 2</v>
      </c>
      <c r="G151" s="1" t="str">
        <f>dados_01!G151</f>
        <v>CEMEI PROFESSORA RAKELLY NOGUEIRA DO NASCIMENTO</v>
      </c>
      <c r="H151" s="1" t="str">
        <f>dados_01!H151</f>
        <v>REGIONAL 6</v>
      </c>
      <c r="I151" s="1" t="str">
        <f>dados_01!I151</f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 t="str">
        <f>dados_01!A152</f>
        <v>13/05/2026 07:38:50</v>
      </c>
      <c r="B152" s="1" t="str">
        <f>dados_01!B152</f>
        <v>2</v>
      </c>
      <c r="C152" s="1" t="str">
        <f>IFERROR(__xludf.DUMMYFUNCTION("JOIN("". "", ARRAYFORMULA(IFERROR(LEFT(SPLIT(dados_01!C152, "" ""), 1))))"),"A. G. R. D. O")</f>
        <v>A. G. R. D. O</v>
      </c>
      <c r="D152" s="1" t="str">
        <f>dados_01!D152</f>
        <v>07/07/2023</v>
      </c>
      <c r="E152" s="1" t="str">
        <f>CONCATENATE(LEFT(dados_01!E152,3),REPT("*",6),RIGHT(dados_01!E152,2))</f>
        <v>185******25</v>
      </c>
      <c r="F152" s="1" t="str">
        <f>dados_01!F152</f>
        <v>INFANTIL 2</v>
      </c>
      <c r="G152" s="1" t="str">
        <f>dados_01!G152</f>
        <v>CEMEI PROFESSORA RAKELLY NOGUEIRA DO NASCIMENTO</v>
      </c>
      <c r="H152" s="1" t="str">
        <f>dados_01!H152</f>
        <v>REGIONAL 6</v>
      </c>
      <c r="I152" s="1" t="str">
        <f>dados_01!I152</f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 t="str">
        <f>dados_01!A153</f>
        <v>02/02/2026 15:26:58</v>
      </c>
      <c r="B153" s="1" t="str">
        <f>dados_01!B153</f>
        <v>1</v>
      </c>
      <c r="C153" s="1" t="str">
        <f>IFERROR(__xludf.DUMMYFUNCTION("JOIN("". "", ARRAYFORMULA(IFERROR(LEFT(SPLIT(dados_01!C153, "" ""), 1))))"),"D. L. D. A")</f>
        <v>D. L. D. A</v>
      </c>
      <c r="D153" s="1" t="str">
        <f>dados_01!D153</f>
        <v>14/05/2022</v>
      </c>
      <c r="E153" s="1" t="str">
        <f>CONCATENATE(LEFT(dados_01!E153,3),REPT("*",6),RIGHT(dados_01!E153,2))</f>
        <v>181******32</v>
      </c>
      <c r="F153" s="1" t="str">
        <f>dados_01!F153</f>
        <v>INFANTIL 3</v>
      </c>
      <c r="G153" s="1" t="str">
        <f>dados_01!G153</f>
        <v>CEMEI SANTO AMARO</v>
      </c>
      <c r="H153" s="1" t="str">
        <f>dados_01!H153</f>
        <v>REGIONAL 1</v>
      </c>
      <c r="I153" s="1" t="str">
        <f>dados_01!I153</f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 t="str">
        <f>dados_01!A154</f>
        <v>10/02/2026 08:09:45</v>
      </c>
      <c r="B154" s="1" t="str">
        <f>dados_01!B154</f>
        <v>2</v>
      </c>
      <c r="C154" s="1" t="str">
        <f>IFERROR(__xludf.DUMMYFUNCTION("JOIN("". "", ARRAYFORMULA(IFERROR(LEFT(SPLIT(dados_01!C154, "" ""), 1))))"),"E. S. F. D. S")</f>
        <v>E. S. F. D. S</v>
      </c>
      <c r="D154" s="1" t="str">
        <f>dados_01!D154</f>
        <v>16/05/2022</v>
      </c>
      <c r="E154" s="1" t="str">
        <f>CONCATENATE(LEFT(dados_01!E154,3),REPT("*",6),RIGHT(dados_01!E154,2))</f>
        <v>181******13</v>
      </c>
      <c r="F154" s="1" t="str">
        <f>dados_01!F154</f>
        <v>INFANTIL 3</v>
      </c>
      <c r="G154" s="1" t="str">
        <f>dados_01!G154</f>
        <v>CEMEI SANTO AMARO</v>
      </c>
      <c r="H154" s="1" t="str">
        <f>dados_01!H154</f>
        <v>REGIONAL 1</v>
      </c>
      <c r="I154" s="1" t="str">
        <f>dados_01!I154</f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 t="str">
        <f>dados_01!A155</f>
        <v>24/02/2026 18:34:28</v>
      </c>
      <c r="B155" s="1" t="str">
        <f>dados_01!B155</f>
        <v>3</v>
      </c>
      <c r="C155" s="1" t="str">
        <f>IFERROR(__xludf.DUMMYFUNCTION("JOIN("". "", ARRAYFORMULA(IFERROR(LEFT(SPLIT(dados_01!C155, "" ""), 1))))"),"T. F. L. D. S")</f>
        <v>T. F. L. D. S</v>
      </c>
      <c r="D155" s="1" t="str">
        <f>dados_01!D155</f>
        <v>12/04/2022</v>
      </c>
      <c r="E155" s="1" t="str">
        <f>CONCATENATE(LEFT(dados_01!E155,3),REPT("*",6),RIGHT(dados_01!E155,2))</f>
        <v>181******81</v>
      </c>
      <c r="F155" s="1" t="str">
        <f>dados_01!F155</f>
        <v>INFANTIL 3</v>
      </c>
      <c r="G155" s="1" t="str">
        <f>dados_01!G155</f>
        <v>CEMEI SANTO AMARO</v>
      </c>
      <c r="H155" s="1" t="str">
        <f>dados_01!H155</f>
        <v>REGIONAL 1</v>
      </c>
      <c r="I155" s="1" t="str">
        <f>dados_01!I155</f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 t="str">
        <f>dados_01!A156</f>
        <v>28/01/2026 10:34:12</v>
      </c>
      <c r="B156" s="1" t="str">
        <f>dados_01!B156</f>
        <v>1</v>
      </c>
      <c r="C156" s="1" t="str">
        <f>IFERROR(__xludf.DUMMYFUNCTION("JOIN("". "", ARRAYFORMULA(IFERROR(LEFT(SPLIT(dados_01!C156, "" ""), 1))))"),"S. L")</f>
        <v>S. L</v>
      </c>
      <c r="D156" s="1" t="str">
        <f>dados_01!D156</f>
        <v>30/08/2022</v>
      </c>
      <c r="E156" s="1" t="str">
        <f>CONCATENATE(LEFT(dados_01!E156,3),REPT("*",6),RIGHT(dados_01!E156,2))</f>
        <v>183******56</v>
      </c>
      <c r="F156" s="1" t="str">
        <f>dados_01!F156</f>
        <v>INFANTIL 3</v>
      </c>
      <c r="G156" s="1" t="str">
        <f>dados_01!G156</f>
        <v>CEMEI SANTO AMARO</v>
      </c>
      <c r="H156" s="1" t="str">
        <f>dados_01!H156</f>
        <v>REGIONAL 1</v>
      </c>
      <c r="I156" s="1" t="str">
        <f>dados_01!I156</f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 t="str">
        <f>dados_01!A157</f>
        <v>24/02/2026 13:10:10</v>
      </c>
      <c r="B157" s="1" t="str">
        <f>dados_01!B157</f>
        <v>2</v>
      </c>
      <c r="C157" s="1" t="str">
        <f>IFERROR(__xludf.DUMMYFUNCTION("JOIN("". "", ARRAYFORMULA(IFERROR(LEFT(SPLIT(dados_01!C157, "" ""), 1))))"),"G. G. D. S. R")</f>
        <v>G. G. D. S. R</v>
      </c>
      <c r="D157" s="1" t="str">
        <f>dados_01!D157</f>
        <v>12/12/2022</v>
      </c>
      <c r="E157" s="1" t="str">
        <f>CONCATENATE(LEFT(dados_01!E157,3),REPT("*",6),RIGHT(dados_01!E157,2))</f>
        <v>607******92</v>
      </c>
      <c r="F157" s="1" t="str">
        <f>dados_01!F157</f>
        <v>INFANTIL 3</v>
      </c>
      <c r="G157" s="1" t="str">
        <f>dados_01!G157</f>
        <v>CEMEI SANTO AMARO</v>
      </c>
      <c r="H157" s="1" t="str">
        <f>dados_01!H157</f>
        <v>REGIONAL 1</v>
      </c>
      <c r="I157" s="1" t="str">
        <f>dados_01!I157</f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 t="str">
        <f>dados_01!A158</f>
        <v>13/05/2026 19:48:23</v>
      </c>
      <c r="B158" s="1" t="str">
        <f>dados_01!B158</f>
        <v>3</v>
      </c>
      <c r="C158" s="1" t="str">
        <f>IFERROR(__xludf.DUMMYFUNCTION("JOIN("". "", ARRAYFORMULA(IFERROR(LEFT(SPLIT(dados_01!C158, "" ""), 1))))"),"H. V. S. R")</f>
        <v>H. V. S. R</v>
      </c>
      <c r="D158" s="1" t="str">
        <f>dados_01!D158</f>
        <v>09/06/2022</v>
      </c>
      <c r="E158" s="1" t="str">
        <f>CONCATENATE(LEFT(dados_01!E158,3),REPT("*",6),RIGHT(dados_01!E158,2))</f>
        <v>181******04</v>
      </c>
      <c r="F158" s="1" t="str">
        <f>dados_01!F158</f>
        <v>INFANTIL 3</v>
      </c>
      <c r="G158" s="1" t="str">
        <f>dados_01!G158</f>
        <v>CEMEI SANTO AMARO</v>
      </c>
      <c r="H158" s="1" t="str">
        <f>dados_01!H158</f>
        <v>REGIONAL 1</v>
      </c>
      <c r="I158" s="1" t="str">
        <f>dados_01!I158</f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 t="str">
        <f>dados_01!A159</f>
        <v>20/05/2026 10:33:36</v>
      </c>
      <c r="B159" s="1" t="str">
        <f>dados_01!B159</f>
        <v>4</v>
      </c>
      <c r="C159" s="1" t="str">
        <f>IFERROR(__xludf.DUMMYFUNCTION("JOIN("". "", ARRAYFORMULA(IFERROR(LEFT(SPLIT(dados_01!C159, "" ""), 1))))"),"B. C. D. I. G")</f>
        <v>B. C. D. I. G</v>
      </c>
      <c r="D159" s="1" t="str">
        <f>dados_01!D159</f>
        <v>02/11/2022</v>
      </c>
      <c r="E159" s="1" t="str">
        <f>CONCATENATE(LEFT(dados_01!E159,3),REPT("*",6),RIGHT(dados_01!E159,2))</f>
        <v>183******74</v>
      </c>
      <c r="F159" s="1" t="str">
        <f>dados_01!F159</f>
        <v>INFANTIL 3</v>
      </c>
      <c r="G159" s="1" t="str">
        <f>dados_01!G159</f>
        <v>CEMEI SANTO AMARO</v>
      </c>
      <c r="H159" s="1" t="str">
        <f>dados_01!H159</f>
        <v>REGIONAL 1</v>
      </c>
      <c r="I159" s="1" t="str">
        <f>dados_01!I159</f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 t="str">
        <f>dados_01!A160</f>
        <v>25/05/2026 08:40:05</v>
      </c>
      <c r="B160" s="1" t="str">
        <f>dados_01!B160</f>
        <v>5</v>
      </c>
      <c r="C160" s="1" t="str">
        <f>IFERROR(__xludf.DUMMYFUNCTION("JOIN("". "", ARRAYFORMULA(IFERROR(LEFT(SPLIT(dados_01!C160, "" ""), 1))))"),"E. M. d. M. p")</f>
        <v>E. M. d. M. p</v>
      </c>
      <c r="D160" s="1" t="str">
        <f>dados_01!D160</f>
        <v>25/02/2023</v>
      </c>
      <c r="E160" s="1" t="str">
        <f>CONCATENATE(LEFT(dados_01!E160,3),REPT("*",6),RIGHT(dados_01!E160,2))</f>
        <v>184******28</v>
      </c>
      <c r="F160" s="1" t="str">
        <f>dados_01!F160</f>
        <v>INFANTIL 3</v>
      </c>
      <c r="G160" s="1" t="str">
        <f>dados_01!G160</f>
        <v>CEMEI SANTO AMARO</v>
      </c>
      <c r="H160" s="1" t="str">
        <f>dados_01!H160</f>
        <v>REGIONAL 1</v>
      </c>
      <c r="I160" s="1" t="str">
        <f>dados_01!I160</f>
        <v/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 t="str">
        <f>dados_01!A161</f>
        <v>10/06/2026 07:16:18</v>
      </c>
      <c r="B161" s="1" t="str">
        <f>dados_01!B161</f>
        <v>6</v>
      </c>
      <c r="C161" s="1" t="str">
        <f>IFERROR(__xludf.DUMMYFUNCTION("JOIN("". "", ARRAYFORMULA(IFERROR(LEFT(SPLIT(dados_01!C161, "" ""), 1))))"),"A. F. B. R")</f>
        <v>A. F. B. R</v>
      </c>
      <c r="D161" s="1" t="str">
        <f>dados_01!D161</f>
        <v>17/02/2023</v>
      </c>
      <c r="E161" s="1" t="str">
        <f>CONCATENATE(LEFT(dados_01!E161,3),REPT("*",6),RIGHT(dados_01!E161,2))</f>
        <v>184******12</v>
      </c>
      <c r="F161" s="1" t="str">
        <f>dados_01!F161</f>
        <v>INFANTIL 3</v>
      </c>
      <c r="G161" s="1" t="str">
        <f>dados_01!G161</f>
        <v>CEMEI SANTO AMARO</v>
      </c>
      <c r="H161" s="1" t="str">
        <f>dados_01!H161</f>
        <v>REGIONAL 1</v>
      </c>
      <c r="I161" s="1" t="str">
        <f>dados_01!I161</f>
        <v/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 t="str">
        <f>dados_01!A162</f>
        <v>28/01/2026 21:43:18</v>
      </c>
      <c r="B162" s="1" t="str">
        <f>dados_01!B162</f>
        <v>1</v>
      </c>
      <c r="C162" s="1" t="str">
        <f>IFERROR(__xludf.DUMMYFUNCTION("JOIN("". "", ARRAYFORMULA(IFERROR(LEFT(SPLIT(dados_01!C162, "" ""), 1))))"),"A. D. D. O. A")</f>
        <v>A. D. D. O. A</v>
      </c>
      <c r="D162" s="1" t="str">
        <f>dados_01!D162</f>
        <v>10/10/2024</v>
      </c>
      <c r="E162" s="1" t="str">
        <f>CONCATENATE(LEFT(dados_01!E162,3),REPT("*",6),RIGHT(dados_01!E162,2))</f>
        <v>005******63</v>
      </c>
      <c r="F162" s="1" t="str">
        <f>dados_01!F162</f>
        <v>INFANTIL 1</v>
      </c>
      <c r="G162" s="1" t="str">
        <f>dados_01!G162</f>
        <v>CEMEI SILVIA MARIA DE OLIVEIRA</v>
      </c>
      <c r="H162" s="1" t="str">
        <f>dados_01!H162</f>
        <v>REGIONAL 5</v>
      </c>
      <c r="I162" s="1" t="str">
        <f>dados_01!I162</f>
        <v/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 t="str">
        <f>dados_01!A163</f>
        <v>08/05/2026 18:02:36</v>
      </c>
      <c r="B163" s="1" t="str">
        <f>dados_01!B163</f>
        <v>1</v>
      </c>
      <c r="C163" s="1" t="str">
        <f>IFERROR(__xludf.DUMMYFUNCTION("JOIN("". "", ARRAYFORMULA(IFERROR(LEFT(SPLIT(dados_01!C163, "" ""), 1))))"),"A. G. L. D. S")</f>
        <v>A. G. L. D. S</v>
      </c>
      <c r="D163" s="1" t="str">
        <f>dados_01!D163</f>
        <v>14/03/2024</v>
      </c>
      <c r="E163" s="1" t="str">
        <f>CONCATENATE(LEFT(dados_01!E163,3),REPT("*",6),RIGHT(dados_01!E163,2))</f>
        <v>002******44</v>
      </c>
      <c r="F163" s="1" t="str">
        <f>dados_01!F163</f>
        <v>INFANTIL 2</v>
      </c>
      <c r="G163" s="1" t="str">
        <f>dados_01!G163</f>
        <v>CEMEI SILVIA MARIA DE OLIVEIRA</v>
      </c>
      <c r="H163" s="1" t="str">
        <f>dados_01!H163</f>
        <v>REGIONAL 5</v>
      </c>
      <c r="I163" s="1" t="str">
        <f>dados_01!I163</f>
        <v/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 t="str">
        <f>dados_01!A164</f>
        <v>02/03/2026 13:05:13</v>
      </c>
      <c r="B164" s="1" t="str">
        <f>dados_01!B164</f>
        <v>1</v>
      </c>
      <c r="C164" s="1" t="str">
        <f>IFERROR(__xludf.DUMMYFUNCTION("JOIN("". "", ARRAYFORMULA(IFERROR(LEFT(SPLIT(dados_01!C164, "" ""), 1))))"),"A. V. D. S. L")</f>
        <v>A. V. D. S. L</v>
      </c>
      <c r="D164" s="1" t="str">
        <f>dados_01!D164</f>
        <v>15/11/2025</v>
      </c>
      <c r="E164" s="1" t="str">
        <f>CONCATENATE(LEFT(dados_01!E164,3),REPT("*",6),RIGHT(dados_01!E164,2))</f>
        <v>024******00</v>
      </c>
      <c r="F164" s="1" t="str">
        <f>dados_01!F164</f>
        <v>INFANTIL 1</v>
      </c>
      <c r="G164" s="1" t="str">
        <f>dados_01!G164</f>
        <v>CENTRO MUNICIPAL DE EDUCAÇÃO INFANTIL MARCOS FREIRE</v>
      </c>
      <c r="H164" s="1" t="str">
        <f>dados_01!H164</f>
        <v>REGIONAL 4</v>
      </c>
      <c r="I164" s="1" t="str">
        <f>dados_01!I164</f>
        <v/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 t="str">
        <f>dados_01!A165</f>
        <v>03/03/2026 09:31:27</v>
      </c>
      <c r="B165" s="1" t="str">
        <f>dados_01!B165</f>
        <v>2</v>
      </c>
      <c r="C165" s="1" t="str">
        <f>IFERROR(__xludf.DUMMYFUNCTION("JOIN("". "", ARRAYFORMULA(IFERROR(LEFT(SPLIT(dados_01!C165, "" ""), 1))))"),"J. K. G. D. N")</f>
        <v>J. K. G. D. N</v>
      </c>
      <c r="D165" s="1" t="str">
        <f>dados_01!D165</f>
        <v>25/07/2024</v>
      </c>
      <c r="E165" s="1" t="str">
        <f>CONCATENATE(LEFT(dados_01!E165,3),REPT("*",6),RIGHT(dados_01!E165,2))</f>
        <v>003******88</v>
      </c>
      <c r="F165" s="1" t="str">
        <f>dados_01!F165</f>
        <v>INFANTIL 1</v>
      </c>
      <c r="G165" s="1" t="str">
        <f>dados_01!G165</f>
        <v>CENTRO MUNICIPAL DE EDUCAÇÃO INFANTIL MARCOS FREIRE</v>
      </c>
      <c r="H165" s="1" t="str">
        <f>dados_01!H165</f>
        <v>REGIONAL 4</v>
      </c>
      <c r="I165" s="1" t="str">
        <f>dados_01!I165</f>
        <v/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 t="str">
        <f>dados_01!A166</f>
        <v>11/03/2026 16:45:43</v>
      </c>
      <c r="B166" s="1" t="str">
        <f>dados_01!B166</f>
        <v>3</v>
      </c>
      <c r="C166" s="1" t="str">
        <f>IFERROR(__xludf.DUMMYFUNCTION("JOIN("". "", ARRAYFORMULA(IFERROR(LEFT(SPLIT(dados_01!C166, "" ""), 1))))"),"J. C. D. S")</f>
        <v>J. C. D. S</v>
      </c>
      <c r="D166" s="1" t="str">
        <f>dados_01!D166</f>
        <v>13/08/2025</v>
      </c>
      <c r="E166" s="1" t="str">
        <f>CONCATENATE(LEFT(dados_01!E166,3),REPT("*",6),RIGHT(dados_01!E166,2))</f>
        <v>007******82</v>
      </c>
      <c r="F166" s="1" t="str">
        <f>dados_01!F166</f>
        <v>INFANTIL 1</v>
      </c>
      <c r="G166" s="1" t="str">
        <f>dados_01!G166</f>
        <v>CENTRO MUNICIPAL DE EDUCAÇÃO INFANTIL MARCOS FREIRE</v>
      </c>
      <c r="H166" s="1" t="str">
        <f>dados_01!H166</f>
        <v>REGIONAL 4</v>
      </c>
      <c r="I166" s="1" t="str">
        <f>dados_01!I166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 t="str">
        <f>dados_01!A167</f>
        <v>12/03/2026 06:29:35</v>
      </c>
      <c r="B167" s="1" t="str">
        <f>dados_01!B167</f>
        <v>4</v>
      </c>
      <c r="C167" s="1" t="str">
        <f>IFERROR(__xludf.DUMMYFUNCTION("JOIN("". "", ARRAYFORMULA(IFERROR(LEFT(SPLIT(dados_01!C167, "" ""), 1))))"),"M. I. A. D. S")</f>
        <v>M. I. A. D. S</v>
      </c>
      <c r="D167" s="1" t="str">
        <f>dados_01!D167</f>
        <v>13/02/2025</v>
      </c>
      <c r="E167" s="1" t="str">
        <f>CONCATENATE(LEFT(dados_01!E167,3),REPT("*",6),RIGHT(dados_01!E167,2))</f>
        <v>005******24</v>
      </c>
      <c r="F167" s="1" t="str">
        <f>dados_01!F167</f>
        <v>INFANTIL 1</v>
      </c>
      <c r="G167" s="1" t="str">
        <f>dados_01!G167</f>
        <v>CENTRO MUNICIPAL DE EDUCAÇÃO INFANTIL MARCOS FREIRE</v>
      </c>
      <c r="H167" s="1" t="str">
        <f>dados_01!H167</f>
        <v>REGIONAL 4</v>
      </c>
      <c r="I167" s="1" t="str">
        <f>dados_01!I167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 t="str">
        <f>dados_01!A168</f>
        <v>18/03/2026 11:00:34</v>
      </c>
      <c r="B168" s="1" t="str">
        <f>dados_01!B168</f>
        <v>5</v>
      </c>
      <c r="C168" s="1" t="str">
        <f>IFERROR(__xludf.DUMMYFUNCTION("JOIN("". "", ARRAYFORMULA(IFERROR(LEFT(SPLIT(dados_01!C168, "" ""), 1))))"),"B. C. D. S. C")</f>
        <v>B. C. D. S. C</v>
      </c>
      <c r="D168" s="1" t="str">
        <f>dados_01!D168</f>
        <v>28/05/2025</v>
      </c>
      <c r="E168" s="1" t="str">
        <f>CONCATENATE(LEFT(dados_01!E168,3),REPT("*",6),RIGHT(dados_01!E168,2))</f>
        <v>006******07</v>
      </c>
      <c r="F168" s="1" t="str">
        <f>dados_01!F168</f>
        <v>INFANTIL 1</v>
      </c>
      <c r="G168" s="1" t="str">
        <f>dados_01!G168</f>
        <v>CENTRO MUNICIPAL DE EDUCAÇÃO INFANTIL MARCOS FREIRE</v>
      </c>
      <c r="H168" s="1" t="str">
        <f>dados_01!H168</f>
        <v>REGIONAL 4</v>
      </c>
      <c r="I168" s="1" t="str">
        <f>dados_01!I168</f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 t="str">
        <f>dados_01!A169</f>
        <v>23/03/2026 12:20:04</v>
      </c>
      <c r="B169" s="1" t="str">
        <f>dados_01!B169</f>
        <v>6</v>
      </c>
      <c r="C169" s="1" t="str">
        <f>IFERROR(__xludf.DUMMYFUNCTION("JOIN("". "", ARRAYFORMULA(IFERROR(LEFT(SPLIT(dados_01!C169, "" ""), 1))))"),"D. D. S")</f>
        <v>D. D. S</v>
      </c>
      <c r="D169" s="1" t="str">
        <f>dados_01!D169</f>
        <v>09/04/2024</v>
      </c>
      <c r="E169" s="1" t="str">
        <f>CONCATENATE(LEFT(dados_01!E169,3),REPT("*",6),RIGHT(dados_01!E169,2))</f>
        <v>002******29</v>
      </c>
      <c r="F169" s="1" t="str">
        <f>dados_01!F169</f>
        <v>INFANTIL 1</v>
      </c>
      <c r="G169" s="1" t="str">
        <f>dados_01!G169</f>
        <v>CENTRO MUNICIPAL DE EDUCAÇÃO INFANTIL MARCOS FREIRE</v>
      </c>
      <c r="H169" s="1" t="str">
        <f>dados_01!H169</f>
        <v>REGIONAL 4</v>
      </c>
      <c r="I169" s="1" t="str">
        <f>dados_01!I169</f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 t="str">
        <f>dados_01!A170</f>
        <v>27/03/2026 14:19:05</v>
      </c>
      <c r="B170" s="1" t="str">
        <f>dados_01!B170</f>
        <v>7</v>
      </c>
      <c r="C170" s="1" t="str">
        <f>IFERROR(__xludf.DUMMYFUNCTION("JOIN("". "", ARRAYFORMULA(IFERROR(LEFT(SPLIT(dados_01!C170, "" ""), 1))))"),"R. L. C. A. D. S")</f>
        <v>R. L. C. A. D. S</v>
      </c>
      <c r="D170" s="1" t="str">
        <f>dados_01!D170</f>
        <v>05/12/2024</v>
      </c>
      <c r="E170" s="1" t="str">
        <f>CONCATENATE(LEFT(dados_01!E170,3),REPT("*",6),RIGHT(dados_01!E170,2))</f>
        <v>004******03</v>
      </c>
      <c r="F170" s="1" t="str">
        <f>dados_01!F170</f>
        <v>INFANTIL 1</v>
      </c>
      <c r="G170" s="1" t="str">
        <f>dados_01!G170</f>
        <v>CENTRO MUNICIPAL DE EDUCAÇÃO INFANTIL MARCOS FREIRE</v>
      </c>
      <c r="H170" s="1" t="str">
        <f>dados_01!H170</f>
        <v>REGIONAL 4</v>
      </c>
      <c r="I170" s="1" t="str">
        <f>dados_01!I170</f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 t="str">
        <f>dados_01!A171</f>
        <v>08/04/2026 10:45:14</v>
      </c>
      <c r="B171" s="1" t="str">
        <f>dados_01!B171</f>
        <v>8</v>
      </c>
      <c r="C171" s="1" t="str">
        <f>IFERROR(__xludf.DUMMYFUNCTION("JOIN("". "", ARRAYFORMULA(IFERROR(LEFT(SPLIT(dados_01!C171, "" ""), 1))))"),"T. S. D. L")</f>
        <v>T. S. D. L</v>
      </c>
      <c r="D171" s="1" t="str">
        <f>dados_01!D171</f>
        <v>28/10/2024</v>
      </c>
      <c r="E171" s="1" t="str">
        <f>CONCATENATE(LEFT(dados_01!E171,3),REPT("*",6),RIGHT(dados_01!E171,2))</f>
        <v>004******67</v>
      </c>
      <c r="F171" s="1" t="str">
        <f>dados_01!F171</f>
        <v>INFANTIL 1</v>
      </c>
      <c r="G171" s="1" t="str">
        <f>dados_01!G171</f>
        <v>CENTRO MUNICIPAL DE EDUCAÇÃO INFANTIL MARCOS FREIRE</v>
      </c>
      <c r="H171" s="1" t="str">
        <f>dados_01!H171</f>
        <v>REGIONAL 4</v>
      </c>
      <c r="I171" s="1" t="str">
        <f>dados_01!I171</f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 t="str">
        <f>dados_01!A172</f>
        <v>14/04/2026 09:51:21</v>
      </c>
      <c r="B172" s="1" t="str">
        <f>dados_01!B172</f>
        <v>9</v>
      </c>
      <c r="C172" s="1" t="str">
        <f>IFERROR(__xludf.DUMMYFUNCTION("JOIN("". "", ARRAYFORMULA(IFERROR(LEFT(SPLIT(dados_01!C172, "" ""), 1))))"),"M. G. P. D. L")</f>
        <v>M. G. P. D. L</v>
      </c>
      <c r="D172" s="1" t="str">
        <f>dados_01!D172</f>
        <v>25/08/2025</v>
      </c>
      <c r="E172" s="1" t="str">
        <f>CONCATENATE(LEFT(dados_01!E172,3),REPT("*",6),RIGHT(dados_01!E172,2))</f>
        <v>014******83</v>
      </c>
      <c r="F172" s="1" t="str">
        <f>dados_01!F172</f>
        <v>INFANTIL 1</v>
      </c>
      <c r="G172" s="1" t="str">
        <f>dados_01!G172</f>
        <v>CENTRO MUNICIPAL DE EDUCAÇÃO INFANTIL MARCOS FREIRE</v>
      </c>
      <c r="H172" s="1" t="str">
        <f>dados_01!H172</f>
        <v>REGIONAL 4</v>
      </c>
      <c r="I172" s="1" t="str">
        <f>dados_01!I172</f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 t="str">
        <f>dados_01!A173</f>
        <v>15/04/2026 16:58:08</v>
      </c>
      <c r="B173" s="1" t="str">
        <f>dados_01!B173</f>
        <v>10</v>
      </c>
      <c r="C173" s="1" t="str">
        <f>IFERROR(__xludf.DUMMYFUNCTION("JOIN("". "", ARRAYFORMULA(IFERROR(LEFT(SPLIT(dados_01!C173, "" ""), 1))))"),"E. M. D. S")</f>
        <v>E. M. D. S</v>
      </c>
      <c r="D173" s="1" t="str">
        <f>dados_01!D173</f>
        <v>12/02/2025</v>
      </c>
      <c r="E173" s="1" t="str">
        <f>CONCATENATE(LEFT(dados_01!E173,3),REPT("*",6),RIGHT(dados_01!E173,2))</f>
        <v>050******00</v>
      </c>
      <c r="F173" s="1" t="str">
        <f>dados_01!F173</f>
        <v>INFANTIL 1</v>
      </c>
      <c r="G173" s="1" t="str">
        <f>dados_01!G173</f>
        <v>CENTRO MUNICIPAL DE EDUCAÇÃO INFANTIL MARCOS FREIRE</v>
      </c>
      <c r="H173" s="1" t="str">
        <f>dados_01!H173</f>
        <v>REGIONAL 4</v>
      </c>
      <c r="I173" s="1" t="str">
        <f>dados_01!I173</f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 t="str">
        <f>dados_01!A174</f>
        <v>11/05/2026 14:39:32</v>
      </c>
      <c r="B174" s="1" t="str">
        <f>dados_01!B174</f>
        <v>11</v>
      </c>
      <c r="C174" s="1" t="str">
        <f>IFERROR(__xludf.DUMMYFUNCTION("JOIN("". "", ARRAYFORMULA(IFERROR(LEFT(SPLIT(dados_01!C174, "" ""), 1))))"),"J. H. P. D. A")</f>
        <v>J. H. P. D. A</v>
      </c>
      <c r="D174" s="1" t="str">
        <f>dados_01!D174</f>
        <v>11/07/2024</v>
      </c>
      <c r="E174" s="1" t="str">
        <f>CONCATENATE(LEFT(dados_01!E174,3),REPT("*",6),RIGHT(dados_01!E174,2))</f>
        <v>003******28</v>
      </c>
      <c r="F174" s="1" t="str">
        <f>dados_01!F174</f>
        <v>INFANTIL 1</v>
      </c>
      <c r="G174" s="1" t="str">
        <f>dados_01!G174</f>
        <v>CENTRO MUNICIPAL DE EDUCAÇÃO INFANTIL MARCOS FREIRE</v>
      </c>
      <c r="H174" s="1" t="str">
        <f>dados_01!H174</f>
        <v>REGIONAL 4</v>
      </c>
      <c r="I174" s="1" t="str">
        <f>dados_01!I174</f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 t="str">
        <f>dados_01!A175</f>
        <v>26/05/2026 13:30:04</v>
      </c>
      <c r="B175" s="1" t="str">
        <f>dados_01!B175</f>
        <v>12</v>
      </c>
      <c r="C175" s="1" t="str">
        <f>IFERROR(__xludf.DUMMYFUNCTION("JOIN("". "", ARRAYFORMULA(IFERROR(LEFT(SPLIT(dados_01!C175, "" ""), 1))))"),"M. V. D. S. F")</f>
        <v>M. V. D. S. F</v>
      </c>
      <c r="D175" s="1" t="str">
        <f>dados_01!D175</f>
        <v>14/05/2025</v>
      </c>
      <c r="E175" s="1" t="str">
        <f>CONCATENATE(LEFT(dados_01!E175,3),REPT("*",6),RIGHT(dados_01!E175,2))</f>
        <v>006******85</v>
      </c>
      <c r="F175" s="1" t="str">
        <f>dados_01!F175</f>
        <v>INFANTIL 1</v>
      </c>
      <c r="G175" s="1" t="str">
        <f>dados_01!G175</f>
        <v>CENTRO MUNICIPAL DE EDUCAÇÃO INFANTIL MARCOS FREIRE</v>
      </c>
      <c r="H175" s="1" t="str">
        <f>dados_01!H175</f>
        <v>REGIONAL 4</v>
      </c>
      <c r="I175" s="1" t="str">
        <f>dados_01!I175</f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 t="str">
        <f>dados_01!A176</f>
        <v>03/06/2026 08:39:17</v>
      </c>
      <c r="B176" s="1" t="str">
        <f>dados_01!B176</f>
        <v>13</v>
      </c>
      <c r="C176" s="1" t="str">
        <f>IFERROR(__xludf.DUMMYFUNCTION("JOIN("". "", ARRAYFORMULA(IFERROR(LEFT(SPLIT(dados_01!C176, "" ""), 1))))"),"B. G. C. D. L")</f>
        <v>B. G. C. D. L</v>
      </c>
      <c r="D176" s="1" t="str">
        <f>dados_01!D176</f>
        <v>21/07/2024</v>
      </c>
      <c r="E176" s="1" t="str">
        <f>CONCATENATE(LEFT(dados_01!E176,3),REPT("*",6),RIGHT(dados_01!E176,2))</f>
        <v>003******63</v>
      </c>
      <c r="F176" s="1" t="str">
        <f>dados_01!F176</f>
        <v>INFANTIL 1</v>
      </c>
      <c r="G176" s="1" t="str">
        <f>dados_01!G176</f>
        <v>CENTRO MUNICIPAL DE EDUCAÇÃO INFANTIL MARCOS FREIRE</v>
      </c>
      <c r="H176" s="1" t="str">
        <f>dados_01!H176</f>
        <v>REGIONAL 4</v>
      </c>
      <c r="I176" s="1" t="str">
        <f>dados_01!I176</f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 t="str">
        <f>dados_01!A177</f>
        <v>13/06/2026 12:51:02</v>
      </c>
      <c r="B177" s="1" t="str">
        <f>dados_01!B177</f>
        <v>14</v>
      </c>
      <c r="C177" s="1" t="str">
        <f>IFERROR(__xludf.DUMMYFUNCTION("JOIN("". "", ARRAYFORMULA(IFERROR(LEFT(SPLIT(dados_01!C177, "" ""), 1))))"),"L. H. d. L. F")</f>
        <v>L. H. d. L. F</v>
      </c>
      <c r="D177" s="1" t="str">
        <f>dados_01!D177</f>
        <v>29/05/2025</v>
      </c>
      <c r="E177" s="1" t="str">
        <f>CONCATENATE(LEFT(dados_01!E177,3),REPT("*",6),RIGHT(dados_01!E177,2))</f>
        <v>006******54</v>
      </c>
      <c r="F177" s="1" t="str">
        <f>dados_01!F177</f>
        <v>INFANTIL 1</v>
      </c>
      <c r="G177" s="1" t="str">
        <f>dados_01!G177</f>
        <v>CENTRO MUNICIPAL DE EDUCAÇÃO INFANTIL MARCOS FREIRE</v>
      </c>
      <c r="H177" s="1" t="str">
        <f>dados_01!H177</f>
        <v>REGIONAL 4</v>
      </c>
      <c r="I177" s="1" t="str">
        <f>dados_01!I177</f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 t="str">
        <f>dados_01!A178</f>
        <v>03/03/2026 12:34:10</v>
      </c>
      <c r="B178" s="1" t="str">
        <f>dados_01!B178</f>
        <v>1</v>
      </c>
      <c r="C178" s="1" t="str">
        <f>IFERROR(__xludf.DUMMYFUNCTION("JOIN("". "", ARRAYFORMULA(IFERROR(LEFT(SPLIT(dados_01!C178, "" ""), 1))))"),"G. A. S. D. L")</f>
        <v>G. A. S. D. L</v>
      </c>
      <c r="D178" s="1" t="str">
        <f>dados_01!D178</f>
        <v>16/01/2024</v>
      </c>
      <c r="E178" s="1" t="str">
        <f>CONCATENATE(LEFT(dados_01!E178,3),REPT("*",6),RIGHT(dados_01!E178,2))</f>
        <v>001******51</v>
      </c>
      <c r="F178" s="1" t="str">
        <f>dados_01!F178</f>
        <v>INFANTIL 2</v>
      </c>
      <c r="G178" s="1" t="str">
        <f>dados_01!G178</f>
        <v>CENTRO MUNICIPAL DE EDUCAÇÃO INFANTIL MARCOS FREIRE</v>
      </c>
      <c r="H178" s="1" t="str">
        <f>dados_01!H178</f>
        <v>REGIONAL 4</v>
      </c>
      <c r="I178" s="1" t="str">
        <f>dados_01!I178</f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 t="str">
        <f>dados_01!A179</f>
        <v>04/03/2026 14:46:15</v>
      </c>
      <c r="B179" s="1" t="str">
        <f>dados_01!B179</f>
        <v>2</v>
      </c>
      <c r="C179" s="1" t="str">
        <f>IFERROR(__xludf.DUMMYFUNCTION("JOIN("". "", ARRAYFORMULA(IFERROR(LEFT(SPLIT(dados_01!C179, "" ""), 1))))"),"J. M. D. L. C")</f>
        <v>J. M. D. L. C</v>
      </c>
      <c r="D179" s="1" t="str">
        <f>dados_01!D179</f>
        <v>22/07/2023</v>
      </c>
      <c r="E179" s="1" t="str">
        <f>CONCATENATE(LEFT(dados_01!E179,3),REPT("*",6),RIGHT(dados_01!E179,2))</f>
        <v>234******62</v>
      </c>
      <c r="F179" s="1" t="str">
        <f>dados_01!F179</f>
        <v>INFANTIL 2</v>
      </c>
      <c r="G179" s="1" t="str">
        <f>dados_01!G179</f>
        <v>CENTRO MUNICIPAL DE EDUCAÇÃO INFANTIL MARCOS FREIRE</v>
      </c>
      <c r="H179" s="1" t="str">
        <f>dados_01!H179</f>
        <v>REGIONAL 4</v>
      </c>
      <c r="I179" s="1" t="str">
        <f>dados_01!I179</f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 t="str">
        <f>dados_01!A180</f>
        <v>20/03/2026 08:02:42</v>
      </c>
      <c r="B180" s="1" t="str">
        <f>dados_01!B180</f>
        <v>3</v>
      </c>
      <c r="C180" s="1" t="str">
        <f>IFERROR(__xludf.DUMMYFUNCTION("JOIN("". "", ARRAYFORMULA(IFERROR(LEFT(SPLIT(dados_01!C180, "" ""), 1))))"),"D. P. D. S. B")</f>
        <v>D. P. D. S. B</v>
      </c>
      <c r="D180" s="1" t="str">
        <f>dados_01!D180</f>
        <v>17/01/2024</v>
      </c>
      <c r="E180" s="1" t="str">
        <f>CONCATENATE(LEFT(dados_01!E180,3),REPT("*",6),RIGHT(dados_01!E180,2))</f>
        <v>001******32</v>
      </c>
      <c r="F180" s="1" t="str">
        <f>dados_01!F180</f>
        <v>INFANTIL 2</v>
      </c>
      <c r="G180" s="1" t="str">
        <f>dados_01!G180</f>
        <v>CENTRO MUNICIPAL DE EDUCAÇÃO INFANTIL MARCOS FREIRE</v>
      </c>
      <c r="H180" s="1" t="str">
        <f>dados_01!H180</f>
        <v>REGIONAL 4</v>
      </c>
      <c r="I180" s="1" t="str">
        <f>dados_01!I180</f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 t="str">
        <f>dados_01!A181</f>
        <v>20/03/2026 23:02:44</v>
      </c>
      <c r="B181" s="1" t="str">
        <f>dados_01!B181</f>
        <v>4</v>
      </c>
      <c r="C181" s="1" t="str">
        <f>IFERROR(__xludf.DUMMYFUNCTION("JOIN("". "", ARRAYFORMULA(IFERROR(LEFT(SPLIT(dados_01!C181, "" ""), 1))))"),"L. B. D. O. R")</f>
        <v>L. B. D. O. R</v>
      </c>
      <c r="D181" s="1" t="str">
        <f>dados_01!D181</f>
        <v>22/02/2024</v>
      </c>
      <c r="E181" s="1" t="str">
        <f>CONCATENATE(LEFT(dados_01!E181,3),REPT("*",6),RIGHT(dados_01!E181,2))</f>
        <v>002******40</v>
      </c>
      <c r="F181" s="1" t="str">
        <f>dados_01!F181</f>
        <v>INFANTIL 2</v>
      </c>
      <c r="G181" s="1" t="str">
        <f>dados_01!G181</f>
        <v>CENTRO MUNICIPAL DE EDUCAÇÃO INFANTIL MARCOS FREIRE</v>
      </c>
      <c r="H181" s="1" t="str">
        <f>dados_01!H181</f>
        <v>REGIONAL 4</v>
      </c>
      <c r="I181" s="1" t="str">
        <f>dados_01!I181</f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 t="str">
        <f>dados_01!A182</f>
        <v>08/04/2026 13:49:21</v>
      </c>
      <c r="B182" s="1" t="str">
        <f>dados_01!B182</f>
        <v>5</v>
      </c>
      <c r="C182" s="1" t="str">
        <f>IFERROR(__xludf.DUMMYFUNCTION("JOIN("". "", ARRAYFORMULA(IFERROR(LEFT(SPLIT(dados_01!C182, "" ""), 1))))"),"J. M. D. S. N")</f>
        <v>J. M. D. S. N</v>
      </c>
      <c r="D182" s="1" t="str">
        <f>dados_01!D182</f>
        <v>23/07/2023</v>
      </c>
      <c r="E182" s="1" t="str">
        <f>CONCATENATE(LEFT(dados_01!E182,3),REPT("*",6),RIGHT(dados_01!E182,2))</f>
        <v>186******21</v>
      </c>
      <c r="F182" s="1" t="str">
        <f>dados_01!F182</f>
        <v>INFANTIL 2</v>
      </c>
      <c r="G182" s="1" t="str">
        <f>dados_01!G182</f>
        <v>CENTRO MUNICIPAL DE EDUCAÇÃO INFANTIL MARCOS FREIRE</v>
      </c>
      <c r="H182" s="1" t="str">
        <f>dados_01!H182</f>
        <v>REGIONAL 4</v>
      </c>
      <c r="I182" s="1" t="str">
        <f>dados_01!I182</f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 t="str">
        <f>dados_01!A183</f>
        <v>17/03/2026 12:24:13</v>
      </c>
      <c r="B183" s="1" t="str">
        <f>dados_01!B183</f>
        <v>1</v>
      </c>
      <c r="C183" s="1" t="str">
        <f>IFERROR(__xludf.DUMMYFUNCTION("JOIN("". "", ARRAYFORMULA(IFERROR(LEFT(SPLIT(dados_01!C183, "" ""), 1))))"),"H. V. D. S. N")</f>
        <v>H. V. D. S. N</v>
      </c>
      <c r="D183" s="1" t="str">
        <f>dados_01!D183</f>
        <v>30/03/2023</v>
      </c>
      <c r="E183" s="1" t="str">
        <f>CONCATENATE(LEFT(dados_01!E183,3),REPT("*",6),RIGHT(dados_01!E183,2))</f>
        <v>185******64</v>
      </c>
      <c r="F183" s="1" t="str">
        <f>dados_01!F183</f>
        <v>INFANTIL 3</v>
      </c>
      <c r="G183" s="1" t="str">
        <f>dados_01!G183</f>
        <v>CENTRO MUNICIPAL DE EDUCAÇÃO INFANTIL MARCOS FREIRE</v>
      </c>
      <c r="H183" s="1" t="str">
        <f>dados_01!H183</f>
        <v>REGIONAL 4</v>
      </c>
      <c r="I183" s="1" t="str">
        <f>dados_01!I183</f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 t="str">
        <f>dados_01!A184</f>
        <v>19/03/2026 09:22:32</v>
      </c>
      <c r="B184" s="1" t="str">
        <f>dados_01!B184</f>
        <v>2</v>
      </c>
      <c r="C184" s="1" t="str">
        <f>IFERROR(__xludf.DUMMYFUNCTION("JOIN("". "", ARRAYFORMULA(IFERROR(LEFT(SPLIT(dados_01!C184, "" ""), 1))))"),"T. L. A")</f>
        <v>T. L. A</v>
      </c>
      <c r="D184" s="1" t="str">
        <f>dados_01!D184</f>
        <v>28/09/2022</v>
      </c>
      <c r="E184" s="1" t="str">
        <f>CONCATENATE(LEFT(dados_01!E184,3),REPT("*",6),RIGHT(dados_01!E184,2))</f>
        <v>605******52</v>
      </c>
      <c r="F184" s="1" t="str">
        <f>dados_01!F184</f>
        <v>INFANTIL 3</v>
      </c>
      <c r="G184" s="1" t="str">
        <f>dados_01!G184</f>
        <v>CENTRO MUNICIPAL DE EDUCAÇÃO INFANTIL MARCOS FREIRE</v>
      </c>
      <c r="H184" s="1" t="str">
        <f>dados_01!H184</f>
        <v>REGIONAL 4</v>
      </c>
      <c r="I184" s="1" t="str">
        <f>dados_01!I184</f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 t="str">
        <f>dados_01!A185</f>
        <v>06/04/2026 11:03:43</v>
      </c>
      <c r="B185" s="1" t="str">
        <f>dados_01!B185</f>
        <v>3</v>
      </c>
      <c r="C185" s="1" t="str">
        <f>IFERROR(__xludf.DUMMYFUNCTION("JOIN("". "", ARRAYFORMULA(IFERROR(LEFT(SPLIT(dados_01!C185, "" ""), 1))))"),"S. C. B. D. S")</f>
        <v>S. C. B. D. S</v>
      </c>
      <c r="D185" s="1" t="str">
        <f>dados_01!D185</f>
        <v>13/06/2022</v>
      </c>
      <c r="E185" s="1" t="str">
        <f>CONCATENATE(LEFT(dados_01!E185,3),REPT("*",6),RIGHT(dados_01!E185,2))</f>
        <v>181******80</v>
      </c>
      <c r="F185" s="1" t="str">
        <f>dados_01!F185</f>
        <v>INFANTIL 3</v>
      </c>
      <c r="G185" s="1" t="str">
        <f>dados_01!G185</f>
        <v>CENTRO MUNICIPAL DE EDUCAÇÃO INFANTIL MARCOS FREIRE</v>
      </c>
      <c r="H185" s="1" t="str">
        <f>dados_01!H185</f>
        <v>REGIONAL 4</v>
      </c>
      <c r="I185" s="1" t="str">
        <f>dados_01!I185</f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 t="str">
        <f>dados_01!A186</f>
        <v>25/02/2026 12:49:56</v>
      </c>
      <c r="B186" s="1" t="str">
        <f>dados_01!B186</f>
        <v>1</v>
      </c>
      <c r="C186" s="1" t="str">
        <f>IFERROR(__xludf.DUMMYFUNCTION("JOIN("". "", ARRAYFORMULA(IFERROR(LEFT(SPLIT(dados_01!C186, "" ""), 1))))"),"C")</f>
        <v>C</v>
      </c>
      <c r="D186" s="1" t="str">
        <f>dados_01!D186</f>
        <v>03/07/2025</v>
      </c>
      <c r="E186" s="1" t="str">
        <f>CONCATENATE(LEFT(dados_01!E186,3),REPT("*",6),RIGHT(dados_01!E186,2))</f>
        <v>006******51</v>
      </c>
      <c r="F186" s="1" t="str">
        <f>dados_01!F186</f>
        <v>INFANTIL 1</v>
      </c>
      <c r="G186" s="1" t="str">
        <f>dados_01!G186</f>
        <v>CRECHE ALAYDE MARIA DA CONCEICAO</v>
      </c>
      <c r="H186" s="1" t="str">
        <f>dados_01!H186</f>
        <v>REGIONAL 2</v>
      </c>
      <c r="I186" s="1" t="str">
        <f>dados_01!I186</f>
        <v/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 t="str">
        <f>dados_01!A187</f>
        <v>25/03/2026 16:34:54</v>
      </c>
      <c r="B187" s="1" t="str">
        <f>dados_01!B187</f>
        <v>2</v>
      </c>
      <c r="C187" s="1" t="str">
        <f>IFERROR(__xludf.DUMMYFUNCTION("JOIN("". "", ARRAYFORMULA(IFERROR(LEFT(SPLIT(dados_01!C187, "" ""), 1))))"),"D. A. D. S")</f>
        <v>D. A. D. S</v>
      </c>
      <c r="D187" s="1" t="str">
        <f>dados_01!D187</f>
        <v>27/05/2025</v>
      </c>
      <c r="E187" s="1" t="str">
        <f>CONCATENATE(LEFT(dados_01!E187,3),REPT("*",6),RIGHT(dados_01!E187,2))</f>
        <v>003******10</v>
      </c>
      <c r="F187" s="1" t="str">
        <f>dados_01!F187</f>
        <v>INFANTIL 1</v>
      </c>
      <c r="G187" s="1" t="str">
        <f>dados_01!G187</f>
        <v>CRECHE ALAYDE MARIA DA CONCEICAO</v>
      </c>
      <c r="H187" s="1" t="str">
        <f>dados_01!H187</f>
        <v>REGIONAL 2</v>
      </c>
      <c r="I187" s="1" t="str">
        <f>dados_01!I187</f>
        <v/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 t="str">
        <f>dados_01!A188</f>
        <v>18/06/2026 11:42:52</v>
      </c>
      <c r="B188" s="1" t="str">
        <f>dados_01!B188</f>
        <v>3</v>
      </c>
      <c r="C188" s="1" t="str">
        <f>IFERROR(__xludf.DUMMYFUNCTION("JOIN("". "", ARRAYFORMULA(IFERROR(LEFT(SPLIT(dados_01!C188, "" ""), 1))))"),"H. S. S. d. S")</f>
        <v>H. S. S. d. S</v>
      </c>
      <c r="D188" s="1" t="str">
        <f>dados_01!D188</f>
        <v>04/04/2025</v>
      </c>
      <c r="E188" s="1" t="str">
        <f>CONCATENATE(LEFT(dados_01!E188,3),REPT("*",6),RIGHT(dados_01!E188,2))</f>
        <v>005******23</v>
      </c>
      <c r="F188" s="1" t="str">
        <f>dados_01!F188</f>
        <v>INFANTIL 1</v>
      </c>
      <c r="G188" s="1" t="str">
        <f>dados_01!G188</f>
        <v>CRECHE ALAYDE MARIA DA CONCEICAO</v>
      </c>
      <c r="H188" s="1" t="str">
        <f>dados_01!H188</f>
        <v>REGIONAL 2</v>
      </c>
      <c r="I188" s="1" t="str">
        <f>dados_01!I188</f>
        <v/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 t="str">
        <f>dados_01!A189</f>
        <v>23/06/2026 08:34:26</v>
      </c>
      <c r="B189" s="1" t="str">
        <f>dados_01!B189</f>
        <v>4</v>
      </c>
      <c r="C189" s="1" t="str">
        <f>IFERROR(__xludf.DUMMYFUNCTION("JOIN("". "", ARRAYFORMULA(IFERROR(LEFT(SPLIT(dados_01!C189, "" ""), 1))))"),"E. S. p. d. O")</f>
        <v>E. S. p. d. O</v>
      </c>
      <c r="D189" s="1" t="str">
        <f>dados_01!D189</f>
        <v>08/07/2024</v>
      </c>
      <c r="E189" s="1" t="str">
        <f>CONCATENATE(LEFT(dados_01!E189,3),REPT("*",6),RIGHT(dados_01!E189,2))</f>
        <v>003******67</v>
      </c>
      <c r="F189" s="1" t="str">
        <f>dados_01!F189</f>
        <v>INFANTIL 1</v>
      </c>
      <c r="G189" s="1" t="str">
        <f>dados_01!G189</f>
        <v>CRECHE ALAYDE MARIA DA CONCEICAO</v>
      </c>
      <c r="H189" s="1" t="str">
        <f>dados_01!H189</f>
        <v>REGIONAL 2</v>
      </c>
      <c r="I189" s="1" t="str">
        <f>dados_01!I189</f>
        <v/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 t="str">
        <f>dados_01!A190</f>
        <v>19/03/2026 10:36:55</v>
      </c>
      <c r="B190" s="1" t="str">
        <f>dados_01!B190</f>
        <v>1</v>
      </c>
      <c r="C190" s="1" t="str">
        <f>IFERROR(__xludf.DUMMYFUNCTION("JOIN("". "", ARRAYFORMULA(IFERROR(LEFT(SPLIT(dados_01!C190, "" ""), 1))))"),"E. E. M. D. L")</f>
        <v>E. E. M. D. L</v>
      </c>
      <c r="D190" s="1" t="str">
        <f>dados_01!D190</f>
        <v>21/04/2023</v>
      </c>
      <c r="E190" s="1" t="str">
        <f>CONCATENATE(LEFT(dados_01!E190,3),REPT("*",6),RIGHT(dados_01!E190,2))</f>
        <v>185******93</v>
      </c>
      <c r="F190" s="1" t="str">
        <f>dados_01!F190</f>
        <v>INFANTIL 2</v>
      </c>
      <c r="G190" s="1" t="str">
        <f>dados_01!G190</f>
        <v>CRECHE ALAYDE MARIA DA CONCEICAO</v>
      </c>
      <c r="H190" s="1" t="str">
        <f>dados_01!H190</f>
        <v>REGIONAL 2</v>
      </c>
      <c r="I190" s="1" t="str">
        <f>dados_01!I190</f>
        <v/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 t="str">
        <f>dados_01!A191</f>
        <v>31/03/2026 12:14:35</v>
      </c>
      <c r="B191" s="1" t="str">
        <f>dados_01!B191</f>
        <v>2</v>
      </c>
      <c r="C191" s="1" t="str">
        <f>IFERROR(__xludf.DUMMYFUNCTION("JOIN("". "", ARRAYFORMULA(IFERROR(LEFT(SPLIT(dados_01!C191, "" ""), 1))))"),"H. D. A. F")</f>
        <v>H. D. A. F</v>
      </c>
      <c r="D191" s="1" t="str">
        <f>dados_01!D191</f>
        <v>04/03/2024</v>
      </c>
      <c r="E191" s="1" t="str">
        <f>CONCATENATE(LEFT(dados_01!E191,3),REPT("*",6),RIGHT(dados_01!E191,2))</f>
        <v>002******10</v>
      </c>
      <c r="F191" s="1" t="str">
        <f>dados_01!F191</f>
        <v>INFANTIL 2</v>
      </c>
      <c r="G191" s="1" t="str">
        <f>dados_01!G191</f>
        <v>CRECHE ALAYDE MARIA DA CONCEICAO</v>
      </c>
      <c r="H191" s="1" t="str">
        <f>dados_01!H191</f>
        <v>REGIONAL 2</v>
      </c>
      <c r="I191" s="1" t="str">
        <f>dados_01!I191</f>
        <v/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 t="str">
        <f>dados_01!A192</f>
        <v>27/04/2026 15:51:32</v>
      </c>
      <c r="B192" s="1" t="str">
        <f>dados_01!B192</f>
        <v>3</v>
      </c>
      <c r="C192" s="1" t="str">
        <f>IFERROR(__xludf.DUMMYFUNCTION("JOIN("". "", ARRAYFORMULA(IFERROR(LEFT(SPLIT(dados_01!C192, "" ""), 1))))"),"E. F. M. D. S. R")</f>
        <v>E. F. M. D. S. R</v>
      </c>
      <c r="D192" s="1" t="str">
        <f>dados_01!D192</f>
        <v>11/02/2024</v>
      </c>
      <c r="E192" s="1" t="str">
        <f>CONCATENATE(LEFT(dados_01!E192,3),REPT("*",6),RIGHT(dados_01!E192,2))</f>
        <v>001******22</v>
      </c>
      <c r="F192" s="1" t="str">
        <f>dados_01!F192</f>
        <v>INFANTIL 2</v>
      </c>
      <c r="G192" s="1" t="str">
        <f>dados_01!G192</f>
        <v>CRECHE ALAYDE MARIA DA CONCEICAO</v>
      </c>
      <c r="H192" s="1" t="str">
        <f>dados_01!H192</f>
        <v>REGIONAL 2</v>
      </c>
      <c r="I192" s="1" t="str">
        <f>dados_01!I192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 t="str">
        <f>dados_01!A193</f>
        <v>19/02/2026 09:00:23</v>
      </c>
      <c r="B193" s="1" t="str">
        <f>dados_01!B193</f>
        <v>1</v>
      </c>
      <c r="C193" s="1" t="str">
        <f>IFERROR(__xludf.DUMMYFUNCTION("JOIN("". "", ARRAYFORMULA(IFERROR(LEFT(SPLIT(dados_01!C193, "" ""), 1))))"),"R. L. D. S. S")</f>
        <v>R. L. D. S. S</v>
      </c>
      <c r="D193" s="1" t="str">
        <f>dados_01!D193</f>
        <v>12/05/2025</v>
      </c>
      <c r="E193" s="1" t="str">
        <f>CONCATENATE(LEFT(dados_01!E193,3),REPT("*",6),RIGHT(dados_01!E193,2))</f>
        <v>006******35</v>
      </c>
      <c r="F193" s="1" t="str">
        <f>dados_01!F193</f>
        <v>INFANTIL 1</v>
      </c>
      <c r="G193" s="1" t="str">
        <f>dados_01!G193</f>
        <v>CRECHE CIRANDA CIRANDINHA</v>
      </c>
      <c r="H193" s="1" t="str">
        <f>dados_01!H193</f>
        <v>REGIONAL 1</v>
      </c>
      <c r="I193" s="1" t="str">
        <f>dados_01!I193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 t="str">
        <f>dados_01!A194</f>
        <v>14/03/2026 10:04:37</v>
      </c>
      <c r="B194" s="1" t="str">
        <f>dados_01!B194</f>
        <v>2</v>
      </c>
      <c r="C194" s="1" t="str">
        <f>IFERROR(__xludf.DUMMYFUNCTION("JOIN("". "", ARRAYFORMULA(IFERROR(LEFT(SPLIT(dados_01!C194, "" ""), 1))))"),"B. C")</f>
        <v>B. C</v>
      </c>
      <c r="D194" s="1" t="str">
        <f>dados_01!D194</f>
        <v>27/06/2024</v>
      </c>
      <c r="E194" s="1" t="str">
        <f>CONCATENATE(LEFT(dados_01!E194,3),REPT("*",6),RIGHT(dados_01!E194,2))</f>
        <v>003******01</v>
      </c>
      <c r="F194" s="1" t="str">
        <f>dados_01!F194</f>
        <v>INFANTIL 1</v>
      </c>
      <c r="G194" s="1" t="str">
        <f>dados_01!G194</f>
        <v>CRECHE CIRANDA CIRANDINHA</v>
      </c>
      <c r="H194" s="1" t="str">
        <f>dados_01!H194</f>
        <v>REGIONAL 1</v>
      </c>
      <c r="I194" s="1" t="str">
        <f>dados_01!I194</f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 t="str">
        <f>dados_01!A195</f>
        <v>30/03/2026 09:26:32</v>
      </c>
      <c r="B195" s="1" t="str">
        <f>dados_01!B195</f>
        <v>3</v>
      </c>
      <c r="C195" s="1" t="str">
        <f>IFERROR(__xludf.DUMMYFUNCTION("JOIN("". "", ARRAYFORMULA(IFERROR(LEFT(SPLIT(dados_01!C195, "" ""), 1))))"),"B. M. D. S. A")</f>
        <v>B. M. D. S. A</v>
      </c>
      <c r="D195" s="1" t="str">
        <f>dados_01!D195</f>
        <v>03/04/2024</v>
      </c>
      <c r="E195" s="1" t="str">
        <f>CONCATENATE(LEFT(dados_01!E195,3),REPT("*",6),RIGHT(dados_01!E195,2))</f>
        <v>002******88</v>
      </c>
      <c r="F195" s="1" t="str">
        <f>dados_01!F195</f>
        <v>INFANTIL 1</v>
      </c>
      <c r="G195" s="1" t="str">
        <f>dados_01!G195</f>
        <v>CRECHE CIRANDA CIRANDINHA</v>
      </c>
      <c r="H195" s="1" t="str">
        <f>dados_01!H195</f>
        <v>REGIONAL 1</v>
      </c>
      <c r="I195" s="1" t="str">
        <f>dados_01!I195</f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 t="str">
        <f>dados_01!A196</f>
        <v>30/03/2026 09:26:32</v>
      </c>
      <c r="B196" s="1" t="str">
        <f>dados_01!B196</f>
        <v>4</v>
      </c>
      <c r="C196" s="1" t="str">
        <f>IFERROR(__xludf.DUMMYFUNCTION("JOIN("". "", ARRAYFORMULA(IFERROR(LEFT(SPLIT(dados_01!C196, "" ""), 1))))"),"B. J. D. S. A")</f>
        <v>B. J. D. S. A</v>
      </c>
      <c r="D196" s="1" t="str">
        <f>dados_01!D196</f>
        <v>03/04/2024</v>
      </c>
      <c r="E196" s="1" t="str">
        <f>CONCATENATE(LEFT(dados_01!E196,3),REPT("*",6),RIGHT(dados_01!E196,2))</f>
        <v>002******32</v>
      </c>
      <c r="F196" s="1" t="str">
        <f>dados_01!F196</f>
        <v>INFANTIL 1</v>
      </c>
      <c r="G196" s="1" t="str">
        <f>dados_01!G196</f>
        <v>CRECHE CIRANDA CIRANDINHA</v>
      </c>
      <c r="H196" s="1" t="str">
        <f>dados_01!H196</f>
        <v>REGIONAL 1</v>
      </c>
      <c r="I196" s="1" t="str">
        <f>dados_01!I196</f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 t="str">
        <f>dados_01!A197</f>
        <v>29/04/2026 14:37:28</v>
      </c>
      <c r="B197" s="1" t="str">
        <f>dados_01!B197</f>
        <v>5</v>
      </c>
      <c r="C197" s="1" t="str">
        <f>IFERROR(__xludf.DUMMYFUNCTION("JOIN("". "", ARRAYFORMULA(IFERROR(LEFT(SPLIT(dados_01!C197, "" ""), 1))))"),"K. R. B. D. B")</f>
        <v>K. R. B. D. B</v>
      </c>
      <c r="D197" s="1" t="str">
        <f>dados_01!D197</f>
        <v>14/01/2025</v>
      </c>
      <c r="E197" s="1" t="str">
        <f>CONCATENATE(LEFT(dados_01!E197,3),REPT("*",6),RIGHT(dados_01!E197,2))</f>
        <v>006******40</v>
      </c>
      <c r="F197" s="1" t="str">
        <f>dados_01!F197</f>
        <v>INFANTIL 1</v>
      </c>
      <c r="G197" s="1" t="str">
        <f>dados_01!G197</f>
        <v>CRECHE CIRANDA CIRANDINHA</v>
      </c>
      <c r="H197" s="1" t="str">
        <f>dados_01!H197</f>
        <v>REGIONAL 1</v>
      </c>
      <c r="I197" s="1" t="str">
        <f>dados_01!I197</f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 t="str">
        <f>dados_01!A198</f>
        <v>28/05/2026 16:17:10</v>
      </c>
      <c r="B198" s="1" t="str">
        <f>dados_01!B198</f>
        <v>6</v>
      </c>
      <c r="C198" s="1" t="str">
        <f>IFERROR(__xludf.DUMMYFUNCTION("JOIN("". "", ARRAYFORMULA(IFERROR(LEFT(SPLIT(dados_01!C198, "" ""), 1))))"),"H. C. R. G")</f>
        <v>H. C. R. G</v>
      </c>
      <c r="D198" s="1" t="str">
        <f>dados_01!D198</f>
        <v>02/12/2024</v>
      </c>
      <c r="E198" s="1" t="str">
        <f>CONCATENATE(LEFT(dados_01!E198,3),REPT("*",6),RIGHT(dados_01!E198,2))</f>
        <v>004******08</v>
      </c>
      <c r="F198" s="1" t="str">
        <f>dados_01!F198</f>
        <v>INFANTIL 1</v>
      </c>
      <c r="G198" s="1" t="str">
        <f>dados_01!G198</f>
        <v>CRECHE CIRANDA CIRANDINHA</v>
      </c>
      <c r="H198" s="1" t="str">
        <f>dados_01!H198</f>
        <v>REGIONAL 1</v>
      </c>
      <c r="I198" s="1" t="str">
        <f>dados_01!I198</f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 t="str">
        <f>dados_01!A199</f>
        <v>01/06/2026 12:23:26</v>
      </c>
      <c r="B199" s="1" t="str">
        <f>dados_01!B199</f>
        <v>7</v>
      </c>
      <c r="C199" s="1" t="str">
        <f>IFERROR(__xludf.DUMMYFUNCTION("JOIN("". "", ARRAYFORMULA(IFERROR(LEFT(SPLIT(dados_01!C199, "" ""), 1))))"),"A. B. F. R")</f>
        <v>A. B. F. R</v>
      </c>
      <c r="D199" s="1" t="str">
        <f>dados_01!D199</f>
        <v>27/06/2025</v>
      </c>
      <c r="E199" s="1" t="str">
        <f>CONCATENATE(LEFT(dados_01!E199,3),REPT("*",6),RIGHT(dados_01!E199,2))</f>
        <v>006******01</v>
      </c>
      <c r="F199" s="1" t="str">
        <f>dados_01!F199</f>
        <v>INFANTIL 1</v>
      </c>
      <c r="G199" s="1" t="str">
        <f>dados_01!G199</f>
        <v>CRECHE CIRANDA CIRANDINHA</v>
      </c>
      <c r="H199" s="1" t="str">
        <f>dados_01!H199</f>
        <v>REGIONAL 1</v>
      </c>
      <c r="I199" s="1" t="str">
        <f>dados_01!I199</f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 t="str">
        <f>dados_01!A200</f>
        <v>19/06/2026 10:54:15</v>
      </c>
      <c r="B200" s="1" t="str">
        <f>dados_01!B200</f>
        <v>8</v>
      </c>
      <c r="C200" s="1" t="str">
        <f>IFERROR(__xludf.DUMMYFUNCTION("JOIN("". "", ARRAYFORMULA(IFERROR(LEFT(SPLIT(dados_01!C200, "" ""), 1))))"),"M. L. c. f")</f>
        <v>M. L. c. f</v>
      </c>
      <c r="D200" s="1" t="str">
        <f>dados_01!D200</f>
        <v>28/07/2025</v>
      </c>
      <c r="E200" s="1" t="str">
        <f>CONCATENATE(LEFT(dados_01!E200,3),REPT("*",6),RIGHT(dados_01!E200,2))</f>
        <v>007******42</v>
      </c>
      <c r="F200" s="1" t="str">
        <f>dados_01!F200</f>
        <v>INFANTIL 1</v>
      </c>
      <c r="G200" s="1" t="str">
        <f>dados_01!G200</f>
        <v>CRECHE CIRANDA CIRANDINHA</v>
      </c>
      <c r="H200" s="1" t="str">
        <f>dados_01!H200</f>
        <v>REGIONAL 1</v>
      </c>
      <c r="I200" s="1" t="str">
        <f>dados_01!I200</f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 t="str">
        <f>dados_01!A201</f>
        <v>02/02/2026 14:50:25</v>
      </c>
      <c r="B201" s="1" t="str">
        <f>dados_01!B201</f>
        <v>1</v>
      </c>
      <c r="C201" s="1" t="str">
        <f>IFERROR(__xludf.DUMMYFUNCTION("JOIN("". "", ARRAYFORMULA(IFERROR(LEFT(SPLIT(dados_01!C201, "" ""), 1))))"),"A. T. A. M. D. M")</f>
        <v>A. T. A. M. D. M</v>
      </c>
      <c r="D201" s="1" t="str">
        <f>dados_01!D201</f>
        <v>04/10/2023</v>
      </c>
      <c r="E201" s="1" t="str">
        <f>CONCATENATE(LEFT(dados_01!E201,3),REPT("*",6),RIGHT(dados_01!E201,2))</f>
        <v>000******96</v>
      </c>
      <c r="F201" s="1" t="str">
        <f>dados_01!F201</f>
        <v>INFANTIL 2</v>
      </c>
      <c r="G201" s="1" t="str">
        <f>dados_01!G201</f>
        <v>CRECHE CIRANDA CIRANDINHA</v>
      </c>
      <c r="H201" s="1" t="str">
        <f>dados_01!H201</f>
        <v>REGIONAL 1</v>
      </c>
      <c r="I201" s="1" t="str">
        <f>dados_01!I201</f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 t="str">
        <f>dados_01!A202</f>
        <v>09/02/2026 08:21:00</v>
      </c>
      <c r="B202" s="1" t="str">
        <f>dados_01!B202</f>
        <v>2</v>
      </c>
      <c r="C202" s="1" t="str">
        <f>IFERROR(__xludf.DUMMYFUNCTION("JOIN("". "", ARRAYFORMULA(IFERROR(LEFT(SPLIT(dados_01!C202, "" ""), 1))))"),"E. V. G. V")</f>
        <v>E. V. G. V</v>
      </c>
      <c r="D202" s="1" t="str">
        <f>dados_01!D202</f>
        <v>15/07/2023</v>
      </c>
      <c r="E202" s="1" t="str">
        <f>CONCATENATE(LEFT(dados_01!E202,3),REPT("*",6),RIGHT(dados_01!E202,2))</f>
        <v>186******70</v>
      </c>
      <c r="F202" s="1" t="str">
        <f>dados_01!F202</f>
        <v>INFANTIL 2</v>
      </c>
      <c r="G202" s="1" t="str">
        <f>dados_01!G202</f>
        <v>CRECHE CIRANDA CIRANDINHA</v>
      </c>
      <c r="H202" s="1" t="str">
        <f>dados_01!H202</f>
        <v>REGIONAL 1</v>
      </c>
      <c r="I202" s="1" t="str">
        <f>dados_01!I202</f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 t="str">
        <f>dados_01!A203</f>
        <v>15/05/2026 16:29:07</v>
      </c>
      <c r="B203" s="1" t="str">
        <f>dados_01!B203</f>
        <v>3</v>
      </c>
      <c r="C203" s="1" t="str">
        <f>IFERROR(__xludf.DUMMYFUNCTION("JOIN("". "", ARRAYFORMULA(IFERROR(LEFT(SPLIT(dados_01!C203, "" ""), 1))))"),"A. M. L. D. S")</f>
        <v>A. M. L. D. S</v>
      </c>
      <c r="D203" s="1" t="str">
        <f>dados_01!D203</f>
        <v>18/02/2024</v>
      </c>
      <c r="E203" s="1" t="str">
        <f>CONCATENATE(LEFT(dados_01!E203,3),REPT("*",6),RIGHT(dados_01!E203,2))</f>
        <v>002******01</v>
      </c>
      <c r="F203" s="1" t="str">
        <f>dados_01!F203</f>
        <v>INFANTIL 2</v>
      </c>
      <c r="G203" s="1" t="str">
        <f>dados_01!G203</f>
        <v>CRECHE CIRANDA CIRANDINHA</v>
      </c>
      <c r="H203" s="1" t="str">
        <f>dados_01!H203</f>
        <v>REGIONAL 1</v>
      </c>
      <c r="I203" s="1" t="str">
        <f>dados_01!I203</f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 t="str">
        <f>dados_01!A204</f>
        <v>26/05/2026 14:30:52</v>
      </c>
      <c r="B204" s="1" t="str">
        <f>dados_01!B204</f>
        <v>4</v>
      </c>
      <c r="C204" s="1" t="str">
        <f>IFERROR(__xludf.DUMMYFUNCTION("JOIN("". "", ARRAYFORMULA(IFERROR(LEFT(SPLIT(dados_01!C204, "" ""), 1))))"),"R. V. R. D. N")</f>
        <v>R. V. R. D. N</v>
      </c>
      <c r="D204" s="1" t="str">
        <f>dados_01!D204</f>
        <v>20/05/2023</v>
      </c>
      <c r="E204" s="1" t="str">
        <f>CONCATENATE(LEFT(dados_01!E204,3),REPT("*",6),RIGHT(dados_01!E204,2))</f>
        <v>000******78</v>
      </c>
      <c r="F204" s="1" t="str">
        <f>dados_01!F204</f>
        <v>INFANTIL 2</v>
      </c>
      <c r="G204" s="1" t="str">
        <f>dados_01!G204</f>
        <v>CRECHE CIRANDA CIRANDINHA</v>
      </c>
      <c r="H204" s="1" t="str">
        <f>dados_01!H204</f>
        <v>REGIONAL 1</v>
      </c>
      <c r="I204" s="1" t="str">
        <f>dados_01!I204</f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 t="str">
        <f>dados_01!A205</f>
        <v>28/01/2026 08:23:25</v>
      </c>
      <c r="B205" s="1" t="str">
        <f>dados_01!B205</f>
        <v>1</v>
      </c>
      <c r="C205" s="1" t="str">
        <f>IFERROR(__xludf.DUMMYFUNCTION("JOIN("". "", ARRAYFORMULA(IFERROR(LEFT(SPLIT(dados_01!C205, "" ""), 1))))"),"L. M. D. S. N")</f>
        <v>L. M. D. S. N</v>
      </c>
      <c r="D205" s="1" t="str">
        <f>dados_01!D205</f>
        <v>18/02/2023</v>
      </c>
      <c r="E205" s="1" t="str">
        <f>CONCATENATE(LEFT(dados_01!E205,3),REPT("*",6),RIGHT(dados_01!E205,2))</f>
        <v>184******96</v>
      </c>
      <c r="F205" s="1" t="str">
        <f>dados_01!F205</f>
        <v>INFANTIL 3</v>
      </c>
      <c r="G205" s="1" t="str">
        <f>dados_01!G205</f>
        <v>CRECHE CIRANDA CIRANDINHA</v>
      </c>
      <c r="H205" s="1" t="str">
        <f>dados_01!H205</f>
        <v>REGIONAL 1</v>
      </c>
      <c r="I205" s="1" t="str">
        <f>dados_01!I205</f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 t="str">
        <f>dados_01!A206</f>
        <v>30/01/2026 09:24:54</v>
      </c>
      <c r="B206" s="1" t="str">
        <f>dados_01!B206</f>
        <v>2</v>
      </c>
      <c r="C206" s="1" t="str">
        <f>IFERROR(__xludf.DUMMYFUNCTION("JOIN("". "", ARRAYFORMULA(IFERROR(LEFT(SPLIT(dados_01!C206, "" ""), 1))))"),"K. V. M. D. S")</f>
        <v>K. V. M. D. S</v>
      </c>
      <c r="D206" s="1" t="str">
        <f>dados_01!D206</f>
        <v>27/06/2022</v>
      </c>
      <c r="E206" s="1" t="str">
        <f>CONCATENATE(LEFT(dados_01!E206,3),REPT("*",6),RIGHT(dados_01!E206,2))</f>
        <v>182******26</v>
      </c>
      <c r="F206" s="1" t="str">
        <f>dados_01!F206</f>
        <v>INFANTIL 3</v>
      </c>
      <c r="G206" s="1" t="str">
        <f>dados_01!G206</f>
        <v>CRECHE CIRANDA CIRANDINHA</v>
      </c>
      <c r="H206" s="1" t="str">
        <f>dados_01!H206</f>
        <v>REGIONAL 1</v>
      </c>
      <c r="I206" s="1" t="str">
        <f>dados_01!I206</f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 t="str">
        <f>dados_01!A207</f>
        <v>02/02/2026 11:47:44</v>
      </c>
      <c r="B207" s="1" t="str">
        <f>dados_01!B207</f>
        <v>3</v>
      </c>
      <c r="C207" s="1" t="str">
        <f>IFERROR(__xludf.DUMMYFUNCTION("JOIN("". "", ARRAYFORMULA(IFERROR(LEFT(SPLIT(dados_01!C207, "" ""), 1))))"),"C. H. A. F")</f>
        <v>C. H. A. F</v>
      </c>
      <c r="D207" s="1" t="str">
        <f>dados_01!D207</f>
        <v>29/01/2023</v>
      </c>
      <c r="E207" s="1" t="str">
        <f>CONCATENATE(LEFT(dados_01!E207,3),REPT("*",6),RIGHT(dados_01!E207,2))</f>
        <v>185******90</v>
      </c>
      <c r="F207" s="1" t="str">
        <f>dados_01!F207</f>
        <v>INFANTIL 3</v>
      </c>
      <c r="G207" s="1" t="str">
        <f>dados_01!G207</f>
        <v>CRECHE CIRANDA CIRANDINHA</v>
      </c>
      <c r="H207" s="1" t="str">
        <f>dados_01!H207</f>
        <v>REGIONAL 1</v>
      </c>
      <c r="I207" s="1" t="str">
        <f>dados_01!I207</f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 t="str">
        <f>dados_01!A208</f>
        <v>09/02/2026 19:24:03</v>
      </c>
      <c r="B208" s="1" t="str">
        <f>dados_01!B208</f>
        <v>4</v>
      </c>
      <c r="C208" s="1" t="str">
        <f>IFERROR(__xludf.DUMMYFUNCTION("JOIN("". "", ARRAYFORMULA(IFERROR(LEFT(SPLIT(dados_01!C208, "" ""), 1))))"),"T. A. O. S")</f>
        <v>T. A. O. S</v>
      </c>
      <c r="D208" s="1" t="str">
        <f>dados_01!D208</f>
        <v>29/01/2023</v>
      </c>
      <c r="E208" s="1" t="str">
        <f>CONCATENATE(LEFT(dados_01!E208,3),REPT("*",6),RIGHT(dados_01!E208,2))</f>
        <v>184******12</v>
      </c>
      <c r="F208" s="1" t="str">
        <f>dados_01!F208</f>
        <v>INFANTIL 3</v>
      </c>
      <c r="G208" s="1" t="str">
        <f>dados_01!G208</f>
        <v>CRECHE CIRANDA CIRANDINHA</v>
      </c>
      <c r="H208" s="1" t="str">
        <f>dados_01!H208</f>
        <v>REGIONAL 1</v>
      </c>
      <c r="I208" s="1" t="str">
        <f>dados_01!I208</f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 t="str">
        <f>dados_01!A209</f>
        <v>26/02/2026 23:38:28</v>
      </c>
      <c r="B209" s="1" t="str">
        <f>dados_01!B209</f>
        <v>5</v>
      </c>
      <c r="C209" s="1" t="str">
        <f>IFERROR(__xludf.DUMMYFUNCTION("JOIN("". "", ARRAYFORMULA(IFERROR(LEFT(SPLIT(dados_01!C209, "" ""), 1))))"),"C. E. D. S. R")</f>
        <v>C. E. D. S. R</v>
      </c>
      <c r="D209" s="1" t="str">
        <f>dados_01!D209</f>
        <v>04/06/2022</v>
      </c>
      <c r="E209" s="1" t="str">
        <f>CONCATENATE(LEFT(dados_01!E209,3),REPT("*",6),RIGHT(dados_01!E209,2))</f>
        <v>181******48</v>
      </c>
      <c r="F209" s="1" t="str">
        <f>dados_01!F209</f>
        <v>INFANTIL 3</v>
      </c>
      <c r="G209" s="1" t="str">
        <f>dados_01!G209</f>
        <v>CRECHE CIRANDA CIRANDINHA</v>
      </c>
      <c r="H209" s="1" t="str">
        <f>dados_01!H209</f>
        <v>REGIONAL 1</v>
      </c>
      <c r="I209" s="1" t="str">
        <f>dados_01!I209</f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 t="str">
        <f>dados_01!A210</f>
        <v>24/03/2026 10:37:29</v>
      </c>
      <c r="B210" s="1" t="str">
        <f>dados_01!B210</f>
        <v>6</v>
      </c>
      <c r="C210" s="1" t="str">
        <f>IFERROR(__xludf.DUMMYFUNCTION("JOIN("". "", ARRAYFORMULA(IFERROR(LEFT(SPLIT(dados_01!C210, "" ""), 1))))"),"R. M. S. C. F")</f>
        <v>R. M. S. C. F</v>
      </c>
      <c r="D210" s="1" t="str">
        <f>dados_01!D210</f>
        <v>20/08/2022</v>
      </c>
      <c r="E210" s="1" t="str">
        <f>CONCATENATE(LEFT(dados_01!E210,3),REPT("*",6),RIGHT(dados_01!E210,2))</f>
        <v>182******17</v>
      </c>
      <c r="F210" s="1" t="str">
        <f>dados_01!F210</f>
        <v>INFANTIL 3</v>
      </c>
      <c r="G210" s="1" t="str">
        <f>dados_01!G210</f>
        <v>CRECHE CIRANDA CIRANDINHA</v>
      </c>
      <c r="H210" s="1" t="str">
        <f>dados_01!H210</f>
        <v>REGIONAL 1</v>
      </c>
      <c r="I210" s="1" t="str">
        <f>dados_01!I210</f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 t="str">
        <f>dados_01!A211</f>
        <v>23/04/2026 12:52:15</v>
      </c>
      <c r="B211" s="1" t="str">
        <f>dados_01!B211</f>
        <v>7</v>
      </c>
      <c r="C211" s="1" t="str">
        <f>IFERROR(__xludf.DUMMYFUNCTION("JOIN("". "", ARRAYFORMULA(IFERROR(LEFT(SPLIT(dados_01!C211, "" ""), 1))))"),"Y. M. D. S. G")</f>
        <v>Y. M. D. S. G</v>
      </c>
      <c r="D211" s="1" t="str">
        <f>dados_01!D211</f>
        <v>20/05/2022</v>
      </c>
      <c r="E211" s="1" t="str">
        <f>CONCATENATE(LEFT(dados_01!E211,3),REPT("*",6),RIGHT(dados_01!E211,2))</f>
        <v>181******04</v>
      </c>
      <c r="F211" s="1" t="str">
        <f>dados_01!F211</f>
        <v>INFANTIL 3</v>
      </c>
      <c r="G211" s="1" t="str">
        <f>dados_01!G211</f>
        <v>CRECHE CIRANDA CIRANDINHA</v>
      </c>
      <c r="H211" s="1" t="str">
        <f>dados_01!H211</f>
        <v>REGIONAL 1</v>
      </c>
      <c r="I211" s="1" t="str">
        <f>dados_01!I211</f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 t="str">
        <f>dados_01!A212</f>
        <v>08/04/2026 10:22:51</v>
      </c>
      <c r="B212" s="1" t="str">
        <f>dados_01!B212</f>
        <v>1</v>
      </c>
      <c r="C212" s="1" t="str">
        <f>IFERROR(__xludf.DUMMYFUNCTION("JOIN("". "", ARRAYFORMULA(IFERROR(LEFT(SPLIT(dados_01!C212, "" ""), 1))))"),"A. A. R. D. S")</f>
        <v>A. A. R. D. S</v>
      </c>
      <c r="D212" s="1" t="str">
        <f>dados_01!D212</f>
        <v>29/07/2025</v>
      </c>
      <c r="E212" s="1" t="str">
        <f>CONCATENATE(LEFT(dados_01!E212,3),REPT("*",6),RIGHT(dados_01!E212,2))</f>
        <v>006******82</v>
      </c>
      <c r="F212" s="1" t="str">
        <f>dados_01!F212</f>
        <v>INFANTIL 1</v>
      </c>
      <c r="G212" s="1" t="str">
        <f>dados_01!G212</f>
        <v>CRECHE MERCIA DE ALBUQUERQUE</v>
      </c>
      <c r="H212" s="1" t="str">
        <f>dados_01!H212</f>
        <v>REGIONAL 6</v>
      </c>
      <c r="I212" s="1" t="str">
        <f>dados_01!I212</f>
        <v/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 t="str">
        <f>dados_01!A213</f>
        <v>11/04/2026 18:35:35</v>
      </c>
      <c r="B213" s="1" t="str">
        <f>dados_01!B213</f>
        <v>2</v>
      </c>
      <c r="C213" s="1" t="str">
        <f>IFERROR(__xludf.DUMMYFUNCTION("JOIN("". "", ARRAYFORMULA(IFERROR(LEFT(SPLIT(dados_01!C213, "" ""), 1))))"),"E. G. O. D. S")</f>
        <v>E. G. O. D. S</v>
      </c>
      <c r="D213" s="1" t="str">
        <f>dados_01!D213</f>
        <v>24/08/2025</v>
      </c>
      <c r="E213" s="1" t="str">
        <f>CONCATENATE(LEFT(dados_01!E213,3),REPT("*",6),RIGHT(dados_01!E213,2))</f>
        <v>713******82</v>
      </c>
      <c r="F213" s="1" t="str">
        <f>dados_01!F213</f>
        <v>INFANTIL 1</v>
      </c>
      <c r="G213" s="1" t="str">
        <f>dados_01!G213</f>
        <v>CRECHE MERCIA DE ALBUQUERQUE</v>
      </c>
      <c r="H213" s="1" t="str">
        <f>dados_01!H213</f>
        <v>REGIONAL 6</v>
      </c>
      <c r="I213" s="1" t="str">
        <f>dados_01!I213</f>
        <v/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 t="str">
        <f>dados_01!A214</f>
        <v>04/05/2026 08:16:27</v>
      </c>
      <c r="B214" s="1" t="str">
        <f>dados_01!B214</f>
        <v>3</v>
      </c>
      <c r="C214" s="1" t="str">
        <f>IFERROR(__xludf.DUMMYFUNCTION("JOIN("". "", ARRAYFORMULA(IFERROR(LEFT(SPLIT(dados_01!C214, "" ""), 1))))"),"K. C. T. L. B")</f>
        <v>K. C. T. L. B</v>
      </c>
      <c r="D214" s="1" t="str">
        <f>dados_01!D214</f>
        <v>24/08/2024</v>
      </c>
      <c r="E214" s="1" t="str">
        <f>CONCATENATE(LEFT(dados_01!E214,3),REPT("*",6),RIGHT(dados_01!E214,2))</f>
        <v>003******44</v>
      </c>
      <c r="F214" s="1" t="str">
        <f>dados_01!F214</f>
        <v>INFANTIL 1</v>
      </c>
      <c r="G214" s="1" t="str">
        <f>dados_01!G214</f>
        <v>CRECHE MERCIA DE ALBUQUERQUE</v>
      </c>
      <c r="H214" s="1" t="str">
        <f>dados_01!H214</f>
        <v>REGIONAL 6</v>
      </c>
      <c r="I214" s="1" t="str">
        <f>dados_01!I214</f>
        <v/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 t="str">
        <f>dados_01!A215</f>
        <v>21/05/2026 14:53:13</v>
      </c>
      <c r="B215" s="1" t="str">
        <f>dados_01!B215</f>
        <v>4</v>
      </c>
      <c r="C215" s="1" t="str">
        <f>IFERROR(__xludf.DUMMYFUNCTION("JOIN("". "", ARRAYFORMULA(IFERROR(LEFT(SPLIT(dados_01!C215, "" ""), 1))))"),"E. P. d. M. F")</f>
        <v>E. P. d. M. F</v>
      </c>
      <c r="D215" s="1" t="str">
        <f>dados_01!D215</f>
        <v>30/12/2025</v>
      </c>
      <c r="E215" s="1" t="str">
        <f>CONCATENATE(LEFT(dados_01!E215,3),REPT("*",6),RIGHT(dados_01!E215,2))</f>
        <v>034******72</v>
      </c>
      <c r="F215" s="1" t="str">
        <f>dados_01!F215</f>
        <v>INFANTIL 1</v>
      </c>
      <c r="G215" s="1" t="str">
        <f>dados_01!G215</f>
        <v>CRECHE MERCIA DE ALBUQUERQUE</v>
      </c>
      <c r="H215" s="1" t="str">
        <f>dados_01!H215</f>
        <v>REGIONAL 6</v>
      </c>
      <c r="I215" s="1" t="str">
        <f>dados_01!I215</f>
        <v/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 t="str">
        <f>dados_01!A216</f>
        <v>08/06/2026 13:47:18</v>
      </c>
      <c r="B216" s="1" t="str">
        <f>dados_01!B216</f>
        <v>5</v>
      </c>
      <c r="C216" s="1" t="str">
        <f>IFERROR(__xludf.DUMMYFUNCTION("JOIN("". "", ARRAYFORMULA(IFERROR(LEFT(SPLIT(dados_01!C216, "" ""), 1))))"),"L. M. B. B")</f>
        <v>L. M. B. B</v>
      </c>
      <c r="D216" s="1" t="str">
        <f>dados_01!D216</f>
        <v>11/02/2025</v>
      </c>
      <c r="E216" s="1" t="str">
        <f>CONCATENATE(LEFT(dados_01!E216,3),REPT("*",6),RIGHT(dados_01!E216,2))</f>
        <v>005******01</v>
      </c>
      <c r="F216" s="1" t="str">
        <f>dados_01!F216</f>
        <v>INFANTIL 1</v>
      </c>
      <c r="G216" s="1" t="str">
        <f>dados_01!G216</f>
        <v>CRECHE MERCIA DE ALBUQUERQUE</v>
      </c>
      <c r="H216" s="1" t="str">
        <f>dados_01!H216</f>
        <v>REGIONAL 6</v>
      </c>
      <c r="I216" s="1" t="str">
        <f>dados_01!I216</f>
        <v/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 t="str">
        <f>dados_01!A217</f>
        <v>30/01/2026 10:49:18</v>
      </c>
      <c r="B217" s="1" t="str">
        <f>dados_01!B217</f>
        <v>1</v>
      </c>
      <c r="C217" s="1" t="str">
        <f>IFERROR(__xludf.DUMMYFUNCTION("JOIN("". "", ARRAYFORMULA(IFERROR(LEFT(SPLIT(dados_01!C217, "" ""), 1))))"),"E. C")</f>
        <v>E. C</v>
      </c>
      <c r="D217" s="1" t="str">
        <f>dados_01!D217</f>
        <v>25/09/2023</v>
      </c>
      <c r="E217" s="1" t="str">
        <f>CONCATENATE(LEFT(dados_01!E217,3),REPT("*",6),RIGHT(dados_01!E217,2))</f>
        <v>002******62</v>
      </c>
      <c r="F217" s="1" t="str">
        <f>dados_01!F217</f>
        <v>INFANTIL 2</v>
      </c>
      <c r="G217" s="1" t="str">
        <f>dados_01!G217</f>
        <v>CRECHE MERCIA DE ALBUQUERQUE</v>
      </c>
      <c r="H217" s="1" t="str">
        <f>dados_01!H217</f>
        <v>REGIONAL 6</v>
      </c>
      <c r="I217" s="1" t="str">
        <f>dados_01!I217</f>
        <v/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 t="str">
        <f>dados_01!A218</f>
        <v>02/03/2026 15:50:23</v>
      </c>
      <c r="B218" s="1" t="str">
        <f>dados_01!B218</f>
        <v>2</v>
      </c>
      <c r="C218" s="1" t="str">
        <f>IFERROR(__xludf.DUMMYFUNCTION("JOIN("". "", ARRAYFORMULA(IFERROR(LEFT(SPLIT(dados_01!C218, "" ""), 1))))"),"J. H. D. S. F")</f>
        <v>J. H. D. S. F</v>
      </c>
      <c r="D218" s="1" t="str">
        <f>dados_01!D218</f>
        <v>25/07/2023</v>
      </c>
      <c r="E218" s="1" t="str">
        <f>CONCATENATE(LEFT(dados_01!E218,3),REPT("*",6),RIGHT(dados_01!E218,2))</f>
        <v>186******29</v>
      </c>
      <c r="F218" s="1" t="str">
        <f>dados_01!F218</f>
        <v>INFANTIL 2</v>
      </c>
      <c r="G218" s="1" t="str">
        <f>dados_01!G218</f>
        <v>CRECHE MERCIA DE ALBUQUERQUE</v>
      </c>
      <c r="H218" s="1" t="str">
        <f>dados_01!H218</f>
        <v>REGIONAL 6</v>
      </c>
      <c r="I218" s="1" t="str">
        <f>dados_01!I218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 t="str">
        <f>dados_01!A219</f>
        <v>11/03/2026 07:47:14</v>
      </c>
      <c r="B219" s="1" t="str">
        <f>dados_01!B219</f>
        <v>3</v>
      </c>
      <c r="C219" s="1" t="str">
        <f>IFERROR(__xludf.DUMMYFUNCTION("JOIN("". "", ARRAYFORMULA(IFERROR(LEFT(SPLIT(dados_01!C219, "" ""), 1))))"),"T. D. B. D. S")</f>
        <v>T. D. B. D. S</v>
      </c>
      <c r="D219" s="1" t="str">
        <f>dados_01!D219</f>
        <v>22/09/2023</v>
      </c>
      <c r="E219" s="1" t="str">
        <f>CONCATENATE(LEFT(dados_01!E219,3),REPT("*",6),RIGHT(dados_01!E219,2))</f>
        <v>000******40</v>
      </c>
      <c r="F219" s="1" t="str">
        <f>dados_01!F219</f>
        <v>INFANTIL 2</v>
      </c>
      <c r="G219" s="1" t="str">
        <f>dados_01!G219</f>
        <v>CRECHE MERCIA DE ALBUQUERQUE</v>
      </c>
      <c r="H219" s="1" t="str">
        <f>dados_01!H219</f>
        <v>REGIONAL 6</v>
      </c>
      <c r="I219" s="1" t="str">
        <f>dados_01!I219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 t="str">
        <f>dados_01!A220</f>
        <v>25/03/2026 13:04:37</v>
      </c>
      <c r="B220" s="1" t="str">
        <f>dados_01!B220</f>
        <v>4</v>
      </c>
      <c r="C220" s="1" t="str">
        <f>IFERROR(__xludf.DUMMYFUNCTION("JOIN("". "", ARRAYFORMULA(IFERROR(LEFT(SPLIT(dados_01!C220, "" ""), 1))))"),"B. L. S. D. S")</f>
        <v>B. L. S. D. S</v>
      </c>
      <c r="D220" s="1" t="str">
        <f>dados_01!D220</f>
        <v>14/10/2023</v>
      </c>
      <c r="E220" s="1" t="str">
        <f>CONCATENATE(LEFT(dados_01!E220,3),REPT("*",6),RIGHT(dados_01!E220,2))</f>
        <v>000******08</v>
      </c>
      <c r="F220" s="1" t="str">
        <f>dados_01!F220</f>
        <v>INFANTIL 2</v>
      </c>
      <c r="G220" s="1" t="str">
        <f>dados_01!G220</f>
        <v>CRECHE MERCIA DE ALBUQUERQUE</v>
      </c>
      <c r="H220" s="1" t="str">
        <f>dados_01!H220</f>
        <v>REGIONAL 6</v>
      </c>
      <c r="I220" s="1" t="str">
        <f>dados_01!I220</f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 t="str">
        <f>dados_01!A221</f>
        <v>29/01/2026 13:35:30</v>
      </c>
      <c r="B221" s="1" t="str">
        <f>dados_01!B221</f>
        <v>1</v>
      </c>
      <c r="C221" s="1" t="str">
        <f>IFERROR(__xludf.DUMMYFUNCTION("JOIN("". "", ARRAYFORMULA(IFERROR(LEFT(SPLIT(dados_01!C221, "" ""), 1))))"),"J. D. D. S")</f>
        <v>J. D. D. S</v>
      </c>
      <c r="D221" s="1" t="str">
        <f>dados_01!D221</f>
        <v>26/08/2024</v>
      </c>
      <c r="E221" s="1" t="str">
        <f>CONCATENATE(LEFT(dados_01!E221,3),REPT("*",6),RIGHT(dados_01!E221,2))</f>
        <v>003******39</v>
      </c>
      <c r="F221" s="1" t="str">
        <f>dados_01!F221</f>
        <v>INFANTIL 1</v>
      </c>
      <c r="G221" s="1" t="str">
        <f>dados_01!G221</f>
        <v>CRECHE MUNDO ENCANTADO</v>
      </c>
      <c r="H221" s="1" t="str">
        <f>dados_01!H221</f>
        <v>REGIONAL 3</v>
      </c>
      <c r="I221" s="1" t="str">
        <f>dados_01!I221</f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 t="str">
        <f>dados_01!A222</f>
        <v>29/01/2026 14:12:29</v>
      </c>
      <c r="B222" s="1" t="str">
        <f>dados_01!B222</f>
        <v>2</v>
      </c>
      <c r="C222" s="1" t="str">
        <f>IFERROR(__xludf.DUMMYFUNCTION("JOIN("". "", ARRAYFORMULA(IFERROR(LEFT(SPLIT(dados_01!C222, "" ""), 1))))"),"J. F. B. D. S. C")</f>
        <v>J. F. B. D. S. C</v>
      </c>
      <c r="D222" s="1" t="str">
        <f>dados_01!D222</f>
        <v>13/03/2025</v>
      </c>
      <c r="E222" s="1" t="str">
        <f>CONCATENATE(LEFT(dados_01!E222,3),REPT("*",6),RIGHT(dados_01!E222,2))</f>
        <v>006******02</v>
      </c>
      <c r="F222" s="1" t="str">
        <f>dados_01!F222</f>
        <v>INFANTIL 1</v>
      </c>
      <c r="G222" s="1" t="str">
        <f>dados_01!G222</f>
        <v>CRECHE MUNDO ENCANTADO</v>
      </c>
      <c r="H222" s="1" t="str">
        <f>dados_01!H222</f>
        <v>REGIONAL 3</v>
      </c>
      <c r="I222" s="1" t="str">
        <f>dados_01!I222</f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 t="str">
        <f>dados_01!A223</f>
        <v>19/02/2026 21:16:01</v>
      </c>
      <c r="B223" s="1" t="str">
        <f>dados_01!B223</f>
        <v>3</v>
      </c>
      <c r="C223" s="1" t="str">
        <f>IFERROR(__xludf.DUMMYFUNCTION("JOIN("". "", ARRAYFORMULA(IFERROR(LEFT(SPLIT(dados_01!C223, "" ""), 1))))"),"H. A. D. S")</f>
        <v>H. A. D. S</v>
      </c>
      <c r="D223" s="1" t="str">
        <f>dados_01!D223</f>
        <v>19/05/2024</v>
      </c>
      <c r="E223" s="1" t="str">
        <f>CONCATENATE(LEFT(dados_01!E223,3),REPT("*",6),RIGHT(dados_01!E223,2))</f>
        <v>003******24</v>
      </c>
      <c r="F223" s="1" t="str">
        <f>dados_01!F223</f>
        <v>INFANTIL 1</v>
      </c>
      <c r="G223" s="1" t="str">
        <f>dados_01!G223</f>
        <v>CRECHE MUNDO ENCANTADO</v>
      </c>
      <c r="H223" s="1" t="str">
        <f>dados_01!H223</f>
        <v>REGIONAL 3</v>
      </c>
      <c r="I223" s="1" t="str">
        <f>dados_01!I223</f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 t="str">
        <f>dados_01!A224</f>
        <v>28/02/2026 20:58:43</v>
      </c>
      <c r="B224" s="1" t="str">
        <f>dados_01!B224</f>
        <v>4</v>
      </c>
      <c r="C224" s="1" t="str">
        <f>IFERROR(__xludf.DUMMYFUNCTION("JOIN("". "", ARRAYFORMULA(IFERROR(LEFT(SPLIT(dados_01!C224, "" ""), 1))))"),"L. G. P. D. S")</f>
        <v>L. G. P. D. S</v>
      </c>
      <c r="D224" s="1" t="str">
        <f>dados_01!D224</f>
        <v>12/04/2025</v>
      </c>
      <c r="E224" s="1" t="str">
        <f>CONCATENATE(LEFT(dados_01!E224,3),REPT("*",6),RIGHT(dados_01!E224,2))</f>
        <v>005******46</v>
      </c>
      <c r="F224" s="1" t="str">
        <f>dados_01!F224</f>
        <v>INFANTIL 1</v>
      </c>
      <c r="G224" s="1" t="str">
        <f>dados_01!G224</f>
        <v>CRECHE MUNDO ENCANTADO</v>
      </c>
      <c r="H224" s="1" t="str">
        <f>dados_01!H224</f>
        <v>REGIONAL 3</v>
      </c>
      <c r="I224" s="1" t="str">
        <f>dados_01!I224</f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 t="str">
        <f>dados_01!A225</f>
        <v>28/04/2026 11:00:10</v>
      </c>
      <c r="B225" s="1" t="str">
        <f>dados_01!B225</f>
        <v>5</v>
      </c>
      <c r="C225" s="1" t="str">
        <f>IFERROR(__xludf.DUMMYFUNCTION("JOIN("". "", ARRAYFORMULA(IFERROR(LEFT(SPLIT(dados_01!C225, "" ""), 1))))"),"M. G. S. G")</f>
        <v>M. G. S. G</v>
      </c>
      <c r="D225" s="1" t="str">
        <f>dados_01!D225</f>
        <v>11/04/2025</v>
      </c>
      <c r="E225" s="1" t="str">
        <f>CONCATENATE(LEFT(dados_01!E225,3),REPT("*",6),RIGHT(dados_01!E225,2))</f>
        <v>005******19</v>
      </c>
      <c r="F225" s="1" t="str">
        <f>dados_01!F225</f>
        <v>INFANTIL 1</v>
      </c>
      <c r="G225" s="1" t="str">
        <f>dados_01!G225</f>
        <v>CRECHE MUNDO ENCANTADO</v>
      </c>
      <c r="H225" s="1" t="str">
        <f>dados_01!H225</f>
        <v>REGIONAL 3</v>
      </c>
      <c r="I225" s="1" t="str">
        <f>dados_01!I225</f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 t="str">
        <f>dados_01!A226</f>
        <v>25/05/2026 18:39:15</v>
      </c>
      <c r="B226" s="1" t="str">
        <f>dados_01!B226</f>
        <v>6</v>
      </c>
      <c r="C226" s="1" t="str">
        <f>IFERROR(__xludf.DUMMYFUNCTION("JOIN("". "", ARRAYFORMULA(IFERROR(LEFT(SPLIT(dados_01!C226, "" ""), 1))))"),"M. Y. R. M. V")</f>
        <v>M. Y. R. M. V</v>
      </c>
      <c r="D226" s="1" t="str">
        <f>dados_01!D226</f>
        <v>29/12/2024</v>
      </c>
      <c r="E226" s="1" t="str">
        <f>CONCATENATE(LEFT(dados_01!E226,3),REPT("*",6),RIGHT(dados_01!E226,2))</f>
        <v>004******67</v>
      </c>
      <c r="F226" s="1" t="str">
        <f>dados_01!F226</f>
        <v>INFANTIL 1</v>
      </c>
      <c r="G226" s="1" t="str">
        <f>dados_01!G226</f>
        <v>CRECHE MUNDO ENCANTADO</v>
      </c>
      <c r="H226" s="1" t="str">
        <f>dados_01!H226</f>
        <v>REGIONAL 3</v>
      </c>
      <c r="I226" s="1" t="str">
        <f>dados_01!I226</f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 t="str">
        <f>dados_01!A227</f>
        <v>04/02/2026 15:08:15</v>
      </c>
      <c r="B227" s="1" t="str">
        <f>dados_01!B227</f>
        <v>1</v>
      </c>
      <c r="C227" s="1" t="str">
        <f>IFERROR(__xludf.DUMMYFUNCTION("JOIN("". "", ARRAYFORMULA(IFERROR(LEFT(SPLIT(dados_01!C227, "" ""), 1))))"),"D. L. D. S. D. N")</f>
        <v>D. L. D. S. D. N</v>
      </c>
      <c r="D227" s="1" t="str">
        <f>dados_01!D227</f>
        <v>27/09/2023</v>
      </c>
      <c r="E227" s="1" t="str">
        <f>CONCATENATE(LEFT(dados_01!E227,3),REPT("*",6),RIGHT(dados_01!E227,2))</f>
        <v>000******32</v>
      </c>
      <c r="F227" s="1" t="str">
        <f>dados_01!F227</f>
        <v>INFANTIL 2</v>
      </c>
      <c r="G227" s="1" t="str">
        <f>dados_01!G227</f>
        <v>CRECHE MUNDO ENCANTADO</v>
      </c>
      <c r="H227" s="1" t="str">
        <f>dados_01!H227</f>
        <v>REGIONAL 3</v>
      </c>
      <c r="I227" s="1" t="str">
        <f>dados_01!I227</f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 t="str">
        <f>dados_01!A228</f>
        <v>09/02/2026 08:21:31</v>
      </c>
      <c r="B228" s="1" t="str">
        <f>dados_01!B228</f>
        <v>2</v>
      </c>
      <c r="C228" s="1" t="str">
        <f>IFERROR(__xludf.DUMMYFUNCTION("JOIN("". "", ARRAYFORMULA(IFERROR(LEFT(SPLIT(dados_01!C228, "" ""), 1))))"),"A. P. C. D. S")</f>
        <v>A. P. C. D. S</v>
      </c>
      <c r="D228" s="1" t="str">
        <f>dados_01!D228</f>
        <v>16/12/2023</v>
      </c>
      <c r="E228" s="1" t="str">
        <f>CONCATENATE(LEFT(dados_01!E228,3),REPT("*",6),RIGHT(dados_01!E228,2))</f>
        <v>001******77</v>
      </c>
      <c r="F228" s="1" t="str">
        <f>dados_01!F228</f>
        <v>INFANTIL 2</v>
      </c>
      <c r="G228" s="1" t="str">
        <f>dados_01!G228</f>
        <v>CRECHE MUNDO ENCANTADO</v>
      </c>
      <c r="H228" s="1" t="str">
        <f>dados_01!H228</f>
        <v>REGIONAL 3</v>
      </c>
      <c r="I228" s="1" t="str">
        <f>dados_01!I228</f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 t="str">
        <f>dados_01!A229</f>
        <v>04/03/2026 22:04:48</v>
      </c>
      <c r="B229" s="1" t="str">
        <f>dados_01!B229</f>
        <v>3</v>
      </c>
      <c r="C229" s="1" t="str">
        <f>IFERROR(__xludf.DUMMYFUNCTION("JOIN("". "", ARRAYFORMULA(IFERROR(LEFT(SPLIT(dados_01!C229, "" ""), 1))))"),"J. L. P. D. S")</f>
        <v>J. L. P. D. S</v>
      </c>
      <c r="D229" s="1" t="str">
        <f>dados_01!D229</f>
        <v>19/12/2023</v>
      </c>
      <c r="E229" s="1" t="str">
        <f>CONCATENATE(LEFT(dados_01!E229,3),REPT("*",6),RIGHT(dados_01!E229,2))</f>
        <v>001******10</v>
      </c>
      <c r="F229" s="1" t="str">
        <f>dados_01!F229</f>
        <v>INFANTIL 2</v>
      </c>
      <c r="G229" s="1" t="str">
        <f>dados_01!G229</f>
        <v>CRECHE MUNDO ENCANTADO</v>
      </c>
      <c r="H229" s="1" t="str">
        <f>dados_01!H229</f>
        <v>REGIONAL 3</v>
      </c>
      <c r="I229" s="1" t="str">
        <f>dados_01!I229</f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 t="str">
        <f>dados_01!A230</f>
        <v>23/02/2026 09:25:20</v>
      </c>
      <c r="B230" s="1" t="str">
        <f>dados_01!B230</f>
        <v>1</v>
      </c>
      <c r="C230" s="1" t="str">
        <f>IFERROR(__xludf.DUMMYFUNCTION("JOIN("". "", ARRAYFORMULA(IFERROR(LEFT(SPLIT(dados_01!C230, "" ""), 1))))"),"L. E. C. D. O")</f>
        <v>L. E. C. D. O</v>
      </c>
      <c r="D230" s="1" t="str">
        <f>dados_01!D230</f>
        <v>08/07/2024</v>
      </c>
      <c r="E230" s="1" t="str">
        <f>CONCATENATE(LEFT(dados_01!E230,3),REPT("*",6),RIGHT(dados_01!E230,2))</f>
        <v>003******55</v>
      </c>
      <c r="F230" s="1" t="str">
        <f>dados_01!F230</f>
        <v>INFANTIL 1</v>
      </c>
      <c r="G230" s="1" t="str">
        <f>dados_01!G230</f>
        <v>CRECHE MUNICIPAL PROFESSORA MARIA RITA LINS MARTINS</v>
      </c>
      <c r="H230" s="1" t="str">
        <f>dados_01!H230</f>
        <v>REGIONAL 1</v>
      </c>
      <c r="I230" s="1" t="str">
        <f>dados_01!I230</f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 t="str">
        <f>dados_01!A231</f>
        <v>23/02/2026 22:06:49</v>
      </c>
      <c r="B231" s="1" t="str">
        <f>dados_01!B231</f>
        <v>2</v>
      </c>
      <c r="C231" s="1" t="str">
        <f>IFERROR(__xludf.DUMMYFUNCTION("JOIN("". "", ARRAYFORMULA(IFERROR(LEFT(SPLIT(dados_01!C231, "" ""), 1))))"),"B. S. S. D. S")</f>
        <v>B. S. S. D. S</v>
      </c>
      <c r="D231" s="1" t="str">
        <f>dados_01!D231</f>
        <v>13/09/2024</v>
      </c>
      <c r="E231" s="1" t="str">
        <f>CONCATENATE(LEFT(dados_01!E231,3),REPT("*",6),RIGHT(dados_01!E231,2))</f>
        <v>004******73</v>
      </c>
      <c r="F231" s="1" t="str">
        <f>dados_01!F231</f>
        <v>INFANTIL 1</v>
      </c>
      <c r="G231" s="1" t="str">
        <f>dados_01!G231</f>
        <v>CRECHE MUNICIPAL PROFESSORA MARIA RITA LINS MARTINS</v>
      </c>
      <c r="H231" s="1" t="str">
        <f>dados_01!H231</f>
        <v>REGIONAL 1</v>
      </c>
      <c r="I231" s="1" t="str">
        <f>dados_01!I231</f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 t="str">
        <f>dados_01!A232</f>
        <v>24/02/2026 10:47:32</v>
      </c>
      <c r="B232" s="1" t="str">
        <f>dados_01!B232</f>
        <v>3</v>
      </c>
      <c r="C232" s="1" t="str">
        <f>IFERROR(__xludf.DUMMYFUNCTION("JOIN("". "", ARRAYFORMULA(IFERROR(LEFT(SPLIT(dados_01!C232, "" ""), 1))))"),"M. H. D. S. M")</f>
        <v>M. H. D. S. M</v>
      </c>
      <c r="D232" s="1" t="str">
        <f>dados_01!D232</f>
        <v>17/08/2024</v>
      </c>
      <c r="E232" s="1" t="str">
        <f>CONCATENATE(LEFT(dados_01!E232,3),REPT("*",6),RIGHT(dados_01!E232,2))</f>
        <v>003******21</v>
      </c>
      <c r="F232" s="1" t="str">
        <f>dados_01!F232</f>
        <v>INFANTIL 1</v>
      </c>
      <c r="G232" s="1" t="str">
        <f>dados_01!G232</f>
        <v>CRECHE MUNICIPAL PROFESSORA MARIA RITA LINS MARTINS</v>
      </c>
      <c r="H232" s="1" t="str">
        <f>dados_01!H232</f>
        <v>REGIONAL 1</v>
      </c>
      <c r="I232" s="1" t="str">
        <f>dados_01!I232</f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 t="str">
        <f>dados_01!A233</f>
        <v>10/05/2026 13:51:20</v>
      </c>
      <c r="B233" s="1" t="str">
        <f>dados_01!B233</f>
        <v>4</v>
      </c>
      <c r="C233" s="1" t="str">
        <f>IFERROR(__xludf.DUMMYFUNCTION("JOIN("". "", ARRAYFORMULA(IFERROR(LEFT(SPLIT(dados_01!C233, "" ""), 1))))"),"L. M. D. S")</f>
        <v>L. M. D. S</v>
      </c>
      <c r="D233" s="1" t="str">
        <f>dados_01!D233</f>
        <v>21/03/2025</v>
      </c>
      <c r="E233" s="1" t="str">
        <f>CONCATENATE(LEFT(dados_01!E233,3),REPT("*",6),RIGHT(dados_01!E233,2))</f>
        <v>007******01</v>
      </c>
      <c r="F233" s="1" t="str">
        <f>dados_01!F233</f>
        <v>INFANTIL 1</v>
      </c>
      <c r="G233" s="1" t="str">
        <f>dados_01!G233</f>
        <v>CRECHE MUNICIPAL PROFESSORA MARIA RITA LINS MARTINS</v>
      </c>
      <c r="H233" s="1" t="str">
        <f>dados_01!H233</f>
        <v>REGIONAL 1</v>
      </c>
      <c r="I233" s="1" t="str">
        <f>dados_01!I233</f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 t="str">
        <f>dados_01!A234</f>
        <v>14/06/2026 18:20:08</v>
      </c>
      <c r="B234" s="1" t="str">
        <f>dados_01!B234</f>
        <v>5</v>
      </c>
      <c r="C234" s="1" t="str">
        <f>IFERROR(__xludf.DUMMYFUNCTION("JOIN("". "", ARRAYFORMULA(IFERROR(LEFT(SPLIT(dados_01!C234, "" ""), 1))))"),"A. G. d. S")</f>
        <v>A. G. d. S</v>
      </c>
      <c r="D234" s="1" t="str">
        <f>dados_01!D234</f>
        <v>31/05/2024</v>
      </c>
      <c r="E234" s="1" t="str">
        <f>CONCATENATE(LEFT(dados_01!E234,3),REPT("*",6),RIGHT(dados_01!E234,2))</f>
        <v>003******86</v>
      </c>
      <c r="F234" s="1" t="str">
        <f>dados_01!F234</f>
        <v>INFANTIL 1</v>
      </c>
      <c r="G234" s="1" t="str">
        <f>dados_01!G234</f>
        <v>CRECHE MUNICIPAL PROFESSORA MARIA RITA LINS MARTINS</v>
      </c>
      <c r="H234" s="1" t="str">
        <f>dados_01!H234</f>
        <v>REGIONAL 1</v>
      </c>
      <c r="I234" s="1" t="str">
        <f>dados_01!I234</f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 t="str">
        <f>dados_01!A235</f>
        <v>25/06/2026 18:16:16</v>
      </c>
      <c r="B235" s="1" t="str">
        <f>dados_01!B235</f>
        <v>6</v>
      </c>
      <c r="C235" s="1" t="str">
        <f>IFERROR(__xludf.DUMMYFUNCTION("JOIN("". "", ARRAYFORMULA(IFERROR(LEFT(SPLIT(dados_01!C235, "" ""), 1))))"),"J. M. R. s")</f>
        <v>J. M. R. s</v>
      </c>
      <c r="D235" s="1" t="str">
        <f>dados_01!D235</f>
        <v>14/12/2024</v>
      </c>
      <c r="E235" s="1" t="str">
        <f>CONCATENATE(LEFT(dados_01!E235,3),REPT("*",6),RIGHT(dados_01!E235,2))</f>
        <v>004******73</v>
      </c>
      <c r="F235" s="1" t="str">
        <f>dados_01!F235</f>
        <v>INFANTIL 1</v>
      </c>
      <c r="G235" s="1" t="str">
        <f>dados_01!G235</f>
        <v>CRECHE MUNICIPAL PROFESSORA MARIA RITA LINS MARTINS</v>
      </c>
      <c r="H235" s="1" t="str">
        <f>dados_01!H235</f>
        <v>REGIONAL 1</v>
      </c>
      <c r="I235" s="1" t="str">
        <f>dados_01!I235</f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 t="str">
        <f>dados_01!A236</f>
        <v>29/06/2026 11:34:07</v>
      </c>
      <c r="B236" s="1" t="str">
        <f>dados_01!B236</f>
        <v>7</v>
      </c>
      <c r="C236" s="1" t="str">
        <f>IFERROR(__xludf.DUMMYFUNCTION("JOIN("". "", ARRAYFORMULA(IFERROR(LEFT(SPLIT(dados_01!C236, "" ""), 1))))"),"H. S. C. s")</f>
        <v>H. S. C. s</v>
      </c>
      <c r="D236" s="1" t="str">
        <f>dados_01!D236</f>
        <v>24/09/2025</v>
      </c>
      <c r="E236" s="1" t="str">
        <f>CONCATENATE(LEFT(dados_01!E236,3),REPT("*",6),RIGHT(dados_01!E236,2))</f>
        <v>011******15</v>
      </c>
      <c r="F236" s="1" t="str">
        <f>dados_01!F236</f>
        <v>INFANTIL 1</v>
      </c>
      <c r="G236" s="1" t="str">
        <f>dados_01!G236</f>
        <v>CRECHE MUNICIPAL PROFESSORA MARIA RITA LINS MARTINS</v>
      </c>
      <c r="H236" s="1" t="str">
        <f>dados_01!H236</f>
        <v>REGIONAL 1</v>
      </c>
      <c r="I236" s="1" t="str">
        <f>dados_01!I236</f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 t="str">
        <f>dados_01!A237</f>
        <v>30/01/2026 13:46:37</v>
      </c>
      <c r="B237" s="1" t="str">
        <f>dados_01!B237</f>
        <v>1</v>
      </c>
      <c r="C237" s="1" t="str">
        <f>IFERROR(__xludf.DUMMYFUNCTION("JOIN("". "", ARRAYFORMULA(IFERROR(LEFT(SPLIT(dados_01!C237, "" ""), 1))))"),"L. M. D. S. P")</f>
        <v>L. M. D. S. P</v>
      </c>
      <c r="D237" s="1" t="str">
        <f>dados_01!D237</f>
        <v>24/01/2024</v>
      </c>
      <c r="E237" s="1" t="str">
        <f>CONCATENATE(LEFT(dados_01!E237,3),REPT("*",6),RIGHT(dados_01!E237,2))</f>
        <v>001******95</v>
      </c>
      <c r="F237" s="1" t="str">
        <f>dados_01!F237</f>
        <v>INFANTIL 2</v>
      </c>
      <c r="G237" s="1" t="str">
        <f>dados_01!G237</f>
        <v>CRECHE MUNICIPAL PROFESSORA MARIA RITA LINS MARTINS</v>
      </c>
      <c r="H237" s="1" t="str">
        <f>dados_01!H237</f>
        <v>REGIONAL 1</v>
      </c>
      <c r="I237" s="1" t="str">
        <f>dados_01!I237</f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 t="str">
        <f>dados_01!A238</f>
        <v>08/03/2026 00:13:08</v>
      </c>
      <c r="B238" s="1" t="str">
        <f>dados_01!B238</f>
        <v>2</v>
      </c>
      <c r="C238" s="1" t="str">
        <f>IFERROR(__xludf.DUMMYFUNCTION("JOIN("". "", ARRAYFORMULA(IFERROR(LEFT(SPLIT(dados_01!C238, "" ""), 1))))"),"H. G. S. G. D. S")</f>
        <v>H. G. S. G. D. S</v>
      </c>
      <c r="D238" s="1" t="str">
        <f>dados_01!D238</f>
        <v>19/07/2023</v>
      </c>
      <c r="E238" s="1" t="str">
        <f>CONCATENATE(LEFT(dados_01!E238,3),REPT("*",6),RIGHT(dados_01!E238,2))</f>
        <v>186******81</v>
      </c>
      <c r="F238" s="1" t="str">
        <f>dados_01!F238</f>
        <v>INFANTIL 2</v>
      </c>
      <c r="G238" s="1" t="str">
        <f>dados_01!G238</f>
        <v>CRECHE MUNICIPAL PROFESSORA MARIA RITA LINS MARTINS</v>
      </c>
      <c r="H238" s="1" t="str">
        <f>dados_01!H238</f>
        <v>REGIONAL 1</v>
      </c>
      <c r="I238" s="1" t="str">
        <f>dados_01!I238</f>
        <v/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 t="str">
        <f>dados_01!A239</f>
        <v>11/03/2026 10:30:16</v>
      </c>
      <c r="B239" s="1" t="str">
        <f>dados_01!B239</f>
        <v>3</v>
      </c>
      <c r="C239" s="1" t="str">
        <f>IFERROR(__xludf.DUMMYFUNCTION("JOIN("". "", ARRAYFORMULA(IFERROR(LEFT(SPLIT(dados_01!C239, "" ""), 1))))"),"L. S. P")</f>
        <v>L. S. P</v>
      </c>
      <c r="D239" s="1" t="str">
        <f>dados_01!D239</f>
        <v>11/12/2023</v>
      </c>
      <c r="E239" s="1" t="str">
        <f>CONCATENATE(LEFT(dados_01!E239,3),REPT("*",6),RIGHT(dados_01!E239,2))</f>
        <v>001******48</v>
      </c>
      <c r="F239" s="1" t="str">
        <f>dados_01!F239</f>
        <v>INFANTIL 2</v>
      </c>
      <c r="G239" s="1" t="str">
        <f>dados_01!G239</f>
        <v>CRECHE MUNICIPAL PROFESSORA MARIA RITA LINS MARTINS</v>
      </c>
      <c r="H239" s="1" t="str">
        <f>dados_01!H239</f>
        <v>REGIONAL 1</v>
      </c>
      <c r="I239" s="1" t="str">
        <f>dados_01!I239</f>
        <v/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 t="str">
        <f>dados_01!A240</f>
        <v>17/03/2026 08:58:14</v>
      </c>
      <c r="B240" s="1" t="str">
        <f>dados_01!B240</f>
        <v>4</v>
      </c>
      <c r="C240" s="1" t="str">
        <f>IFERROR(__xludf.DUMMYFUNCTION("JOIN("". "", ARRAYFORMULA(IFERROR(LEFT(SPLIT(dados_01!C240, "" ""), 1))))"),"L. R. D. L")</f>
        <v>L. R. D. L</v>
      </c>
      <c r="D240" s="1" t="str">
        <f>dados_01!D240</f>
        <v>09/03/2024</v>
      </c>
      <c r="E240" s="1" t="str">
        <f>CONCATENATE(LEFT(dados_01!E240,3),REPT("*",6),RIGHT(dados_01!E240,2))</f>
        <v>001******96</v>
      </c>
      <c r="F240" s="1" t="str">
        <f>dados_01!F240</f>
        <v>INFANTIL 2</v>
      </c>
      <c r="G240" s="1" t="str">
        <f>dados_01!G240</f>
        <v>CRECHE MUNICIPAL PROFESSORA MARIA RITA LINS MARTINS</v>
      </c>
      <c r="H240" s="1" t="str">
        <f>dados_01!H240</f>
        <v>REGIONAL 1</v>
      </c>
      <c r="I240" s="1" t="str">
        <f>dados_01!I240</f>
        <v/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 t="str">
        <f>dados_01!A241</f>
        <v>16/04/2026 17:20:01</v>
      </c>
      <c r="B241" s="1" t="str">
        <f>dados_01!B241</f>
        <v>5</v>
      </c>
      <c r="C241" s="1" t="str">
        <f>IFERROR(__xludf.DUMMYFUNCTION("JOIN("". "", ARRAYFORMULA(IFERROR(LEFT(SPLIT(dados_01!C241, "" ""), 1))))"),"M. C. D. S. C. M")</f>
        <v>M. C. D. S. C. M</v>
      </c>
      <c r="D241" s="1" t="str">
        <f>dados_01!D241</f>
        <v>17/04/2023</v>
      </c>
      <c r="E241" s="1" t="str">
        <f>CONCATENATE(LEFT(dados_01!E241,3),REPT("*",6),RIGHT(dados_01!E241,2))</f>
        <v>185******46</v>
      </c>
      <c r="F241" s="1" t="str">
        <f>dados_01!F241</f>
        <v>INFANTIL 2</v>
      </c>
      <c r="G241" s="1" t="str">
        <f>dados_01!G241</f>
        <v>CRECHE MUNICIPAL PROFESSORA MARIA RITA LINS MARTINS</v>
      </c>
      <c r="H241" s="1" t="str">
        <f>dados_01!H241</f>
        <v>REGIONAL 1</v>
      </c>
      <c r="I241" s="1" t="str">
        <f>dados_01!I241</f>
        <v/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 t="str">
        <f>dados_01!A242</f>
        <v>13/05/2026 08:10:15</v>
      </c>
      <c r="B242" s="1" t="str">
        <f>dados_01!B242</f>
        <v>6</v>
      </c>
      <c r="C242" s="1" t="str">
        <f>IFERROR(__xludf.DUMMYFUNCTION("JOIN("". "", ARRAYFORMULA(IFERROR(LEFT(SPLIT(dados_01!C242, "" ""), 1))))"),"T. M. O. D. S")</f>
        <v>T. M. O. D. S</v>
      </c>
      <c r="D242" s="1" t="str">
        <f>dados_01!D242</f>
        <v>16/08/2023</v>
      </c>
      <c r="E242" s="1" t="str">
        <f>CONCATENATE(LEFT(dados_01!E242,3),REPT("*",6),RIGHT(dados_01!E242,2))</f>
        <v>186******46</v>
      </c>
      <c r="F242" s="1" t="str">
        <f>dados_01!F242</f>
        <v>INFANTIL 2</v>
      </c>
      <c r="G242" s="1" t="str">
        <f>dados_01!G242</f>
        <v>CRECHE MUNICIPAL PROFESSORA MARIA RITA LINS MARTINS</v>
      </c>
      <c r="H242" s="1" t="str">
        <f>dados_01!H242</f>
        <v>REGIONAL 1</v>
      </c>
      <c r="I242" s="1" t="str">
        <f>dados_01!I242</f>
        <v/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 t="str">
        <f>dados_01!A243</f>
        <v>16/04/2026 17:16:18</v>
      </c>
      <c r="B243" s="1" t="str">
        <f>dados_01!B243</f>
        <v>1</v>
      </c>
      <c r="C243" s="1" t="str">
        <f>IFERROR(__xludf.DUMMYFUNCTION("JOIN("". "", ARRAYFORMULA(IFERROR(LEFT(SPLIT(dados_01!C243, "" ""), 1))))"),"M. G. D. S. C. M")</f>
        <v>M. G. D. S. C. M</v>
      </c>
      <c r="D243" s="1" t="str">
        <f>dados_01!D243</f>
        <v>11/04/2022</v>
      </c>
      <c r="E243" s="1" t="str">
        <f>CONCATENATE(LEFT(dados_01!E243,3),REPT("*",6),RIGHT(dados_01!E243,2))</f>
        <v>181******09</v>
      </c>
      <c r="F243" s="1" t="str">
        <f>dados_01!F243</f>
        <v>INFANTIL 3</v>
      </c>
      <c r="G243" s="1" t="str">
        <f>dados_01!G243</f>
        <v>CRECHE MUNICIPAL PROFESSORA MARIA RITA LINS MARTINS</v>
      </c>
      <c r="H243" s="1" t="str">
        <f>dados_01!H243</f>
        <v>REGIONAL 1</v>
      </c>
      <c r="I243" s="1" t="str">
        <f>dados_01!I243</f>
        <v/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 t="str">
        <f>dados_01!A244</f>
        <v>10/05/2026 13:58:19</v>
      </c>
      <c r="B244" s="1" t="str">
        <f>dados_01!B244</f>
        <v>2</v>
      </c>
      <c r="C244" s="1" t="str">
        <f>IFERROR(__xludf.DUMMYFUNCTION("JOIN("". "", ARRAYFORMULA(IFERROR(LEFT(SPLIT(dados_01!C244, "" ""), 1))))"),"D. E. D. M")</f>
        <v>D. E. D. M</v>
      </c>
      <c r="D244" s="1" t="str">
        <f>dados_01!D244</f>
        <v>07/01/2023</v>
      </c>
      <c r="E244" s="1" t="str">
        <f>CONCATENATE(LEFT(dados_01!E244,3),REPT("*",6),RIGHT(dados_01!E244,2))</f>
        <v>184******52</v>
      </c>
      <c r="F244" s="1" t="str">
        <f>dados_01!F244</f>
        <v>INFANTIL 3</v>
      </c>
      <c r="G244" s="1" t="str">
        <f>dados_01!G244</f>
        <v>CRECHE MUNICIPAL PROFESSORA MARIA RITA LINS MARTINS</v>
      </c>
      <c r="H244" s="1" t="str">
        <f>dados_01!H244</f>
        <v>REGIONAL 1</v>
      </c>
      <c r="I244" s="1" t="str">
        <f>dados_01!I244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 t="str">
        <f>dados_01!A245</f>
        <v>15/06/2026 14:59:35</v>
      </c>
      <c r="B245" s="1" t="str">
        <f>dados_01!B245</f>
        <v>3</v>
      </c>
      <c r="C245" s="1" t="str">
        <f>IFERROR(__xludf.DUMMYFUNCTION("JOIN("". "", ARRAYFORMULA(IFERROR(LEFT(SPLIT(dados_01!C245, "" ""), 1))))"),"Y. L. S. D. C")</f>
        <v>Y. L. S. D. C</v>
      </c>
      <c r="D245" s="1" t="str">
        <f>dados_01!D245</f>
        <v>05/06/2022</v>
      </c>
      <c r="E245" s="1" t="str">
        <f>CONCATENATE(LEFT(dados_01!E245,3),REPT("*",6),RIGHT(dados_01!E245,2))</f>
        <v>182******93</v>
      </c>
      <c r="F245" s="1" t="str">
        <f>dados_01!F245</f>
        <v>INFANTIL 3</v>
      </c>
      <c r="G245" s="1" t="str">
        <f>dados_01!G245</f>
        <v>CRECHE MUNICIPAL PROFESSORA MARIA RITA LINS MARTINS</v>
      </c>
      <c r="H245" s="1" t="str">
        <f>dados_01!H245</f>
        <v>REGIONAL 1</v>
      </c>
      <c r="I245" s="1" t="str">
        <f>dados_01!I245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 t="str">
        <f>dados_01!A246</f>
        <v>05/02/2026 23:06:26</v>
      </c>
      <c r="B246" s="1" t="str">
        <f>dados_01!B246</f>
        <v>1</v>
      </c>
      <c r="C246" s="1" t="str">
        <f>IFERROR(__xludf.DUMMYFUNCTION("JOIN("". "", ARRAYFORMULA(IFERROR(LEFT(SPLIT(dados_01!C246, "" ""), 1))))"),"L. S. S")</f>
        <v>L. S. S</v>
      </c>
      <c r="D246" s="1" t="str">
        <f>dados_01!D246</f>
        <v>27/04/2025</v>
      </c>
      <c r="E246" s="1" t="str">
        <f>CONCATENATE(LEFT(dados_01!E246,3),REPT("*",6),RIGHT(dados_01!E246,2))</f>
        <v>017******91</v>
      </c>
      <c r="F246" s="1" t="str">
        <f>dados_01!F246</f>
        <v>INFANTIL 1</v>
      </c>
      <c r="G246" s="1" t="str">
        <f>dados_01!G246</f>
        <v>CRECHE MUNICIPAL PROFESSORA SILVIA CRISTINA SANTOS BOTELHO</v>
      </c>
      <c r="H246" s="1" t="str">
        <f>dados_01!H246</f>
        <v>REGIONAL 7</v>
      </c>
      <c r="I246" s="1" t="str">
        <f>dados_01!I246</f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 t="str">
        <f>dados_01!A247</f>
        <v>27/03/2026 15:45:11</v>
      </c>
      <c r="B247" s="1" t="str">
        <f>dados_01!B247</f>
        <v>2</v>
      </c>
      <c r="C247" s="1" t="str">
        <f>IFERROR(__xludf.DUMMYFUNCTION("JOIN("". "", ARRAYFORMULA(IFERROR(LEFT(SPLIT(dados_01!C247, "" ""), 1))))"),"A. M. D. S. V")</f>
        <v>A. M. D. S. V</v>
      </c>
      <c r="D247" s="1" t="str">
        <f>dados_01!D247</f>
        <v>12/10/2024</v>
      </c>
      <c r="E247" s="1" t="str">
        <f>CONCATENATE(LEFT(dados_01!E247,3),REPT("*",6),RIGHT(dados_01!E247,2))</f>
        <v>004******00</v>
      </c>
      <c r="F247" s="1" t="str">
        <f>dados_01!F247</f>
        <v>INFANTIL 1</v>
      </c>
      <c r="G247" s="1" t="str">
        <f>dados_01!G247</f>
        <v>CRECHE MUNICIPAL PROFESSORA SILVIA CRISTINA SANTOS BOTELHO</v>
      </c>
      <c r="H247" s="1" t="str">
        <f>dados_01!H247</f>
        <v>REGIONAL 7</v>
      </c>
      <c r="I247" s="1" t="str">
        <f>dados_01!I247</f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 t="str">
        <f>dados_01!A248</f>
        <v>15/04/2026 22:22:20</v>
      </c>
      <c r="B248" s="1" t="str">
        <f>dados_01!B248</f>
        <v>3</v>
      </c>
      <c r="C248" s="1" t="str">
        <f>IFERROR(__xludf.DUMMYFUNCTION("JOIN("". "", ARRAYFORMULA(IFERROR(LEFT(SPLIT(dados_01!C248, "" ""), 1))))"),"I. E. D. S")</f>
        <v>I. E. D. S</v>
      </c>
      <c r="D248" s="1" t="str">
        <f>dados_01!D248</f>
        <v>19/11/2024</v>
      </c>
      <c r="E248" s="1" t="str">
        <f>CONCATENATE(LEFT(dados_01!E248,3),REPT("*",6),RIGHT(dados_01!E248,2))</f>
        <v>004******92</v>
      </c>
      <c r="F248" s="1" t="str">
        <f>dados_01!F248</f>
        <v>INFANTIL 1</v>
      </c>
      <c r="G248" s="1" t="str">
        <f>dados_01!G248</f>
        <v>CRECHE MUNICIPAL PROFESSORA SILVIA CRISTINA SANTOS BOTELHO</v>
      </c>
      <c r="H248" s="1" t="str">
        <f>dados_01!H248</f>
        <v>REGIONAL 7</v>
      </c>
      <c r="I248" s="1" t="str">
        <f>dados_01!I248</f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 t="str">
        <f>dados_01!A249</f>
        <v>05/05/2026 10:48:19</v>
      </c>
      <c r="B249" s="1" t="str">
        <f>dados_01!B249</f>
        <v>4</v>
      </c>
      <c r="C249" s="1" t="str">
        <f>IFERROR(__xludf.DUMMYFUNCTION("JOIN("". "", ARRAYFORMULA(IFERROR(LEFT(SPLIT(dados_01!C249, "" ""), 1))))"),"D. N")</f>
        <v>D. N</v>
      </c>
      <c r="D249" s="1" t="str">
        <f>dados_01!D249</f>
        <v>19/06/2024</v>
      </c>
      <c r="E249" s="1" t="str">
        <f>CONCATENATE(LEFT(dados_01!E249,3),REPT("*",6),RIGHT(dados_01!E249,2))</f>
        <v>003******78</v>
      </c>
      <c r="F249" s="1" t="str">
        <f>dados_01!F249</f>
        <v>INFANTIL 1</v>
      </c>
      <c r="G249" s="1" t="str">
        <f>dados_01!G249</f>
        <v>CRECHE MUNICIPAL PROFESSORA SILVIA CRISTINA SANTOS BOTELHO</v>
      </c>
      <c r="H249" s="1" t="str">
        <f>dados_01!H249</f>
        <v>REGIONAL 7</v>
      </c>
      <c r="I249" s="1" t="str">
        <f>dados_01!I249</f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 t="str">
        <f>dados_01!A250</f>
        <v>25/05/2026 19:36:10</v>
      </c>
      <c r="B250" s="1" t="str">
        <f>dados_01!B250</f>
        <v>5</v>
      </c>
      <c r="C250" s="1" t="str">
        <f>IFERROR(__xludf.DUMMYFUNCTION("JOIN("". "", ARRAYFORMULA(IFERROR(LEFT(SPLIT(dados_01!C250, "" ""), 1))))"),"A. S. s. d. s")</f>
        <v>A. S. s. d. s</v>
      </c>
      <c r="D250" s="1" t="str">
        <f>dados_01!D250</f>
        <v>05/01/2025</v>
      </c>
      <c r="E250" s="1" t="str">
        <f>CONCATENATE(LEFT(dados_01!E250,3),REPT("*",6),RIGHT(dados_01!E250,2))</f>
        <v>005******41</v>
      </c>
      <c r="F250" s="1" t="str">
        <f>dados_01!F250</f>
        <v>INFANTIL 1</v>
      </c>
      <c r="G250" s="1" t="str">
        <f>dados_01!G250</f>
        <v>CRECHE MUNICIPAL PROFESSORA SILVIA CRISTINA SANTOS BOTELHO</v>
      </c>
      <c r="H250" s="1" t="str">
        <f>dados_01!H250</f>
        <v>REGIONAL 7</v>
      </c>
      <c r="I250" s="1" t="str">
        <f>dados_01!I250</f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 t="str">
        <f>dados_01!A251</f>
        <v>23/06/2026 14:42:25</v>
      </c>
      <c r="B251" s="1" t="str">
        <f>dados_01!B251</f>
        <v>6</v>
      </c>
      <c r="C251" s="1" t="str">
        <f>IFERROR(__xludf.DUMMYFUNCTION("JOIN("". "", ARRAYFORMULA(IFERROR(LEFT(SPLIT(dados_01!C251, "" ""), 1))))"),"L. v. S. d. O. L")</f>
        <v>L. v. S. d. O. L</v>
      </c>
      <c r="D251" s="1" t="str">
        <f>dados_01!D251</f>
        <v>27/12/2024</v>
      </c>
      <c r="E251" s="1" t="str">
        <f>CONCATENATE(LEFT(dados_01!E251,3),REPT("*",6),RIGHT(dados_01!E251,2))</f>
        <v>004******12</v>
      </c>
      <c r="F251" s="1" t="str">
        <f>dados_01!F251</f>
        <v>INFANTIL 1</v>
      </c>
      <c r="G251" s="1" t="str">
        <f>dados_01!G251</f>
        <v>CRECHE MUNICIPAL PROFESSORA SILVIA CRISTINA SANTOS BOTELHO</v>
      </c>
      <c r="H251" s="1" t="str">
        <f>dados_01!H251</f>
        <v>REGIONAL 7</v>
      </c>
      <c r="I251" s="1" t="str">
        <f>dados_01!I251</f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 t="str">
        <f>dados_01!A252</f>
        <v>27/06/2026 22:58:33</v>
      </c>
      <c r="B252" s="1" t="str">
        <f>dados_01!B252</f>
        <v>7</v>
      </c>
      <c r="C252" s="1" t="str">
        <f>IFERROR(__xludf.DUMMYFUNCTION("JOIN("". "", ARRAYFORMULA(IFERROR(LEFT(SPLIT(dados_01!C252, "" ""), 1))))"),"E. G. A. G")</f>
        <v>E. G. A. G</v>
      </c>
      <c r="D252" s="1" t="str">
        <f>dados_01!D252</f>
        <v>19/06/2024</v>
      </c>
      <c r="E252" s="1" t="str">
        <f>CONCATENATE(LEFT(dados_01!E252,3),REPT("*",6),RIGHT(dados_01!E252,2))</f>
        <v>003******73</v>
      </c>
      <c r="F252" s="1" t="str">
        <f>dados_01!F252</f>
        <v>INFANTIL 1</v>
      </c>
      <c r="G252" s="1" t="str">
        <f>dados_01!G252</f>
        <v>CRECHE MUNICIPAL PROFESSORA SILVIA CRISTINA SANTOS BOTELHO</v>
      </c>
      <c r="H252" s="1" t="str">
        <f>dados_01!H252</f>
        <v>REGIONAL 7</v>
      </c>
      <c r="I252" s="1" t="str">
        <f>dados_01!I252</f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 t="str">
        <f>dados_01!A253</f>
        <v>26/02/2026 09:33:21</v>
      </c>
      <c r="B253" s="1" t="str">
        <f>dados_01!B253</f>
        <v>1</v>
      </c>
      <c r="C253" s="1" t="str">
        <f>IFERROR(__xludf.DUMMYFUNCTION("JOIN("". "", ARRAYFORMULA(IFERROR(LEFT(SPLIT(dados_01!C253, "" ""), 1))))"),"M. L. S. D. S")</f>
        <v>M. L. S. D. S</v>
      </c>
      <c r="D253" s="1" t="str">
        <f>dados_01!D253</f>
        <v>20/07/2024</v>
      </c>
      <c r="E253" s="1" t="str">
        <f>CONCATENATE(LEFT(dados_01!E253,3),REPT("*",6),RIGHT(dados_01!E253,2))</f>
        <v>003******16</v>
      </c>
      <c r="F253" s="1" t="str">
        <f>dados_01!F253</f>
        <v>INFANTIL 1</v>
      </c>
      <c r="G253" s="1" t="str">
        <f>dados_01!G253</f>
        <v>CRECHE PROFESSORA LEDA MARIA QUEIROZ DO REGO BARROS</v>
      </c>
      <c r="H253" s="1" t="str">
        <f>dados_01!H253</f>
        <v>REGIONAL 2</v>
      </c>
      <c r="I253" s="1" t="str">
        <f>dados_01!I253</f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 t="str">
        <f>dados_01!A254</f>
        <v>05/04/2026 16:11:06</v>
      </c>
      <c r="B254" s="1" t="str">
        <f>dados_01!B254</f>
        <v>2</v>
      </c>
      <c r="C254" s="1" t="str">
        <f>IFERROR(__xludf.DUMMYFUNCTION("JOIN("". "", ARRAYFORMULA(IFERROR(LEFT(SPLIT(dados_01!C254, "" ""), 1))))"),"T. N. F. G")</f>
        <v>T. N. F. G</v>
      </c>
      <c r="D254" s="1" t="str">
        <f>dados_01!D254</f>
        <v>27/09/2024</v>
      </c>
      <c r="E254" s="1" t="str">
        <f>CONCATENATE(LEFT(dados_01!E254,3),REPT("*",6),RIGHT(dados_01!E254,2))</f>
        <v>004******13</v>
      </c>
      <c r="F254" s="1" t="str">
        <f>dados_01!F254</f>
        <v>INFANTIL 1</v>
      </c>
      <c r="G254" s="1" t="str">
        <f>dados_01!G254</f>
        <v>CRECHE PROFESSORA LEDA MARIA QUEIROZ DO REGO BARROS</v>
      </c>
      <c r="H254" s="1" t="str">
        <f>dados_01!H254</f>
        <v>REGIONAL 2</v>
      </c>
      <c r="I254" s="1" t="str">
        <f>dados_01!I254</f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 t="str">
        <f>dados_01!A255</f>
        <v>25/05/2026 11:20:13</v>
      </c>
      <c r="B255" s="1" t="str">
        <f>dados_01!B255</f>
        <v>3</v>
      </c>
      <c r="C255" s="1" t="str">
        <f>IFERROR(__xludf.DUMMYFUNCTION("JOIN("". "", ARRAYFORMULA(IFERROR(LEFT(SPLIT(dados_01!C255, "" ""), 1))))"),"M. C. M. D. S")</f>
        <v>M. C. M. D. S</v>
      </c>
      <c r="D255" s="1" t="str">
        <f>dados_01!D255</f>
        <v>22/04/2024</v>
      </c>
      <c r="E255" s="1" t="str">
        <f>CONCATENATE(LEFT(dados_01!E255,3),REPT("*",6),RIGHT(dados_01!E255,2))</f>
        <v>003******40</v>
      </c>
      <c r="F255" s="1" t="str">
        <f>dados_01!F255</f>
        <v>INFANTIL 1</v>
      </c>
      <c r="G255" s="1" t="str">
        <f>dados_01!G255</f>
        <v>CRECHE PROFESSORA LEDA MARIA QUEIROZ DO REGO BARROS</v>
      </c>
      <c r="H255" s="1" t="str">
        <f>dados_01!H255</f>
        <v>REGIONAL 2</v>
      </c>
      <c r="I255" s="1" t="str">
        <f>dados_01!I255</f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 t="str">
        <f>dados_01!A256</f>
        <v>01/06/2026 12:02:51</v>
      </c>
      <c r="B256" s="1" t="str">
        <f>dados_01!B256</f>
        <v>4</v>
      </c>
      <c r="C256" s="1" t="str">
        <f>IFERROR(__xludf.DUMMYFUNCTION("JOIN("". "", ARRAYFORMULA(IFERROR(LEFT(SPLIT(dados_01!C256, "" ""), 1))))"),"R. V. V. M. d. S")</f>
        <v>R. V. V. M. d. S</v>
      </c>
      <c r="D256" s="1" t="str">
        <f>dados_01!D256</f>
        <v>18/03/2025</v>
      </c>
      <c r="E256" s="1" t="str">
        <f>CONCATENATE(LEFT(dados_01!E256,3),REPT("*",6),RIGHT(dados_01!E256,2))</f>
        <v>005******43</v>
      </c>
      <c r="F256" s="1" t="str">
        <f>dados_01!F256</f>
        <v>INFANTIL 1</v>
      </c>
      <c r="G256" s="1" t="str">
        <f>dados_01!G256</f>
        <v>CRECHE PROFESSORA LEDA MARIA QUEIROZ DO REGO BARROS</v>
      </c>
      <c r="H256" s="1" t="str">
        <f>dados_01!H256</f>
        <v>REGIONAL 2</v>
      </c>
      <c r="I256" s="1" t="str">
        <f>dados_01!I256</f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 t="str">
        <f>dados_01!A257</f>
        <v>02/02/2026 18:41:44</v>
      </c>
      <c r="B257" s="1" t="str">
        <f>dados_01!B257</f>
        <v>1</v>
      </c>
      <c r="C257" s="1" t="str">
        <f>IFERROR(__xludf.DUMMYFUNCTION("JOIN("". "", ARRAYFORMULA(IFERROR(LEFT(SPLIT(dados_01!C257, "" ""), 1))))"),"Y. K. D. S. P")</f>
        <v>Y. K. D. S. P</v>
      </c>
      <c r="D257" s="1" t="str">
        <f>dados_01!D257</f>
        <v>24/06/2023</v>
      </c>
      <c r="E257" s="1" t="str">
        <f>CONCATENATE(LEFT(dados_01!E257,3),REPT("*",6),RIGHT(dados_01!E257,2))</f>
        <v>185******44</v>
      </c>
      <c r="F257" s="1" t="str">
        <f>dados_01!F257</f>
        <v>INFANTIL 2</v>
      </c>
      <c r="G257" s="1" t="str">
        <f>dados_01!G257</f>
        <v>CRECHE PROFESSORA LEDA MARIA QUEIROZ DO REGO BARROS</v>
      </c>
      <c r="H257" s="1" t="str">
        <f>dados_01!H257</f>
        <v>REGIONAL 2</v>
      </c>
      <c r="I257" s="1" t="str">
        <f>dados_01!I257</f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 t="str">
        <f>dados_01!A258</f>
        <v>09/02/2026 08:20:49</v>
      </c>
      <c r="B258" s="1" t="str">
        <f>dados_01!B258</f>
        <v>2</v>
      </c>
      <c r="C258" s="1" t="str">
        <f>IFERROR(__xludf.DUMMYFUNCTION("JOIN("". "", ARRAYFORMULA(IFERROR(LEFT(SPLIT(dados_01!C258, "" ""), 1))))"),"T. R. D. S")</f>
        <v>T. R. D. S</v>
      </c>
      <c r="D258" s="1" t="str">
        <f>dados_01!D258</f>
        <v>10/03/2024</v>
      </c>
      <c r="E258" s="1" t="str">
        <f>CONCATENATE(LEFT(dados_01!E258,3),REPT("*",6),RIGHT(dados_01!E258,2))</f>
        <v>002******98</v>
      </c>
      <c r="F258" s="1" t="str">
        <f>dados_01!F258</f>
        <v>INFANTIL 2</v>
      </c>
      <c r="G258" s="1" t="str">
        <f>dados_01!G258</f>
        <v>CRECHE PROFESSORA LEDA MARIA QUEIROZ DO REGO BARROS</v>
      </c>
      <c r="H258" s="1" t="str">
        <f>dados_01!H258</f>
        <v>REGIONAL 2</v>
      </c>
      <c r="I258" s="1" t="str">
        <f>dados_01!I258</f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 t="str">
        <f>dados_01!A259</f>
        <v>09/03/2026 10:20:55</v>
      </c>
      <c r="B259" s="1" t="str">
        <f>dados_01!B259</f>
        <v>3</v>
      </c>
      <c r="C259" s="1" t="str">
        <f>IFERROR(__xludf.DUMMYFUNCTION("JOIN("". "", ARRAYFORMULA(IFERROR(LEFT(SPLIT(dados_01!C259, "" ""), 1))))"),"S. J. D. S. A")</f>
        <v>S. J. D. S. A</v>
      </c>
      <c r="D259" s="1" t="str">
        <f>dados_01!D259</f>
        <v>19/06/2023</v>
      </c>
      <c r="E259" s="1" t="str">
        <f>CONCATENATE(LEFT(dados_01!E259,3),REPT("*",6),RIGHT(dados_01!E259,2))</f>
        <v>185******81</v>
      </c>
      <c r="F259" s="1" t="str">
        <f>dados_01!F259</f>
        <v>INFANTIL 2</v>
      </c>
      <c r="G259" s="1" t="str">
        <f>dados_01!G259</f>
        <v>CRECHE PROFESSORA LEDA MARIA QUEIROZ DO REGO BARROS</v>
      </c>
      <c r="H259" s="1" t="str">
        <f>dados_01!H259</f>
        <v>REGIONAL 2</v>
      </c>
      <c r="I259" s="1" t="str">
        <f>dados_01!I259</f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 t="str">
        <f>dados_01!A260</f>
        <v>10/04/2026 02:09:34</v>
      </c>
      <c r="B260" s="1" t="str">
        <f>dados_01!B260</f>
        <v>4</v>
      </c>
      <c r="C260" s="1" t="str">
        <f>IFERROR(__xludf.DUMMYFUNCTION("JOIN("". "", ARRAYFORMULA(IFERROR(LEFT(SPLIT(dados_01!C260, "" ""), 1))))"),"S. R. S. D. N")</f>
        <v>S. R. S. D. N</v>
      </c>
      <c r="D260" s="1" t="str">
        <f>dados_01!D260</f>
        <v>10/08/2023</v>
      </c>
      <c r="E260" s="1" t="str">
        <f>CONCATENATE(LEFT(dados_01!E260,3),REPT("*",6),RIGHT(dados_01!E260,2))</f>
        <v>186******67</v>
      </c>
      <c r="F260" s="1" t="str">
        <f>dados_01!F260</f>
        <v>INFANTIL 2</v>
      </c>
      <c r="G260" s="1" t="str">
        <f>dados_01!G260</f>
        <v>CRECHE PROFESSORA LEDA MARIA QUEIROZ DO REGO BARROS</v>
      </c>
      <c r="H260" s="1" t="str">
        <f>dados_01!H260</f>
        <v>REGIONAL 2</v>
      </c>
      <c r="I260" s="1" t="str">
        <f>dados_01!I260</f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 t="str">
        <f>dados_01!A261</f>
        <v>22/04/2026 11:52:44</v>
      </c>
      <c r="B261" s="1" t="str">
        <f>dados_01!B261</f>
        <v>5</v>
      </c>
      <c r="C261" s="1" t="str">
        <f>IFERROR(__xludf.DUMMYFUNCTION("JOIN("". "", ARRAYFORMULA(IFERROR(LEFT(SPLIT(dados_01!C261, "" ""), 1))))"),"H. M. F")</f>
        <v>H. M. F</v>
      </c>
      <c r="D261" s="1" t="str">
        <f>dados_01!D261</f>
        <v>15/07/2023</v>
      </c>
      <c r="E261" s="1" t="str">
        <f>CONCATENATE(LEFT(dados_01!E261,3),REPT("*",6),RIGHT(dados_01!E261,2))</f>
        <v>186******47</v>
      </c>
      <c r="F261" s="1" t="str">
        <f>dados_01!F261</f>
        <v>INFANTIL 2</v>
      </c>
      <c r="G261" s="1" t="str">
        <f>dados_01!G261</f>
        <v>CRECHE PROFESSORA LEDA MARIA QUEIROZ DO REGO BARROS</v>
      </c>
      <c r="H261" s="1" t="str">
        <f>dados_01!H261</f>
        <v>REGIONAL 2</v>
      </c>
      <c r="I261" s="1" t="str">
        <f>dados_01!I261</f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 t="str">
        <f>dados_01!A262</f>
        <v/>
      </c>
      <c r="B262" s="1" t="str">
        <f>dados_01!B262</f>
        <v/>
      </c>
      <c r="C262" s="1" t="str">
        <f>IFERROR(__xludf.DUMMYFUNCTION("JOIN("". "", ARRAYFORMULA(IFERROR(LEFT(SPLIT(dados_01!C262, "" ""), 1))))"),"")</f>
        <v/>
      </c>
      <c r="D262" s="1" t="str">
        <f>dados_01!D262</f>
        <v/>
      </c>
      <c r="E262" s="1" t="str">
        <f>CONCATENATE(LEFT(dados_01!E262,3),REPT("*",6),RIGHT(dados_01!E262,2))</f>
        <v>******</v>
      </c>
      <c r="F262" s="1" t="str">
        <f>dados_01!F262</f>
        <v/>
      </c>
      <c r="G262" s="1" t="str">
        <f>dados_01!G262</f>
        <v/>
      </c>
      <c r="H262" s="1" t="str">
        <f>dados_01!H262</f>
        <v/>
      </c>
      <c r="I262" s="1" t="str">
        <f>dados_01!I262</f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 t="str">
        <f>dados_01!A263</f>
        <v/>
      </c>
      <c r="B263" s="1" t="str">
        <f>dados_01!B263</f>
        <v/>
      </c>
      <c r="C263" s="1" t="str">
        <f>IFERROR(__xludf.DUMMYFUNCTION("JOIN("". "", ARRAYFORMULA(IFERROR(LEFT(SPLIT(dados_01!C263, "" ""), 1))))"),"")</f>
        <v/>
      </c>
      <c r="D263" s="1" t="str">
        <f>dados_01!D263</f>
        <v/>
      </c>
      <c r="E263" s="1" t="str">
        <f>CONCATENATE(LEFT(dados_01!E263,3),REPT("*",6),RIGHT(dados_01!E263,2))</f>
        <v>******</v>
      </c>
      <c r="F263" s="1" t="str">
        <f>dados_01!F263</f>
        <v/>
      </c>
      <c r="G263" s="1" t="str">
        <f>dados_01!G263</f>
        <v/>
      </c>
      <c r="H263" s="1" t="str">
        <f>dados_01!H263</f>
        <v/>
      </c>
      <c r="I263" s="1" t="str">
        <f>dados_01!I263</f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 t="str">
        <f>dados_01!A264</f>
        <v/>
      </c>
      <c r="B264" s="1" t="str">
        <f>dados_01!B264</f>
        <v/>
      </c>
      <c r="C264" s="1" t="str">
        <f>IFERROR(__xludf.DUMMYFUNCTION("JOIN("". "", ARRAYFORMULA(IFERROR(LEFT(SPLIT(dados_01!C264, "" ""), 1))))"),"")</f>
        <v/>
      </c>
      <c r="D264" s="1" t="str">
        <f>dados_01!D264</f>
        <v/>
      </c>
      <c r="E264" s="1" t="str">
        <f>CONCATENATE(LEFT(dados_01!E264,3),REPT("*",6),RIGHT(dados_01!E264,2))</f>
        <v>******</v>
      </c>
      <c r="F264" s="1" t="str">
        <f>dados_01!F264</f>
        <v/>
      </c>
      <c r="G264" s="1" t="str">
        <f>dados_01!G264</f>
        <v/>
      </c>
      <c r="H264" s="1" t="str">
        <f>dados_01!H264</f>
        <v/>
      </c>
      <c r="I264" s="1" t="str">
        <f>dados_01!I264</f>
        <v/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 t="str">
        <f>dados_01!A265</f>
        <v/>
      </c>
      <c r="B265" s="1" t="str">
        <f>dados_01!B265</f>
        <v/>
      </c>
      <c r="C265" s="1" t="str">
        <f>IFERROR(__xludf.DUMMYFUNCTION("JOIN("". "", ARRAYFORMULA(IFERROR(LEFT(SPLIT(dados_01!C265, "" ""), 1))))"),"")</f>
        <v/>
      </c>
      <c r="D265" s="1" t="str">
        <f>dados_01!D265</f>
        <v/>
      </c>
      <c r="E265" s="1" t="str">
        <f>CONCATENATE(LEFT(dados_01!E265,3),REPT("*",6),RIGHT(dados_01!E265,2))</f>
        <v>******</v>
      </c>
      <c r="F265" s="1" t="str">
        <f>dados_01!F265</f>
        <v/>
      </c>
      <c r="G265" s="1" t="str">
        <f>dados_01!G265</f>
        <v/>
      </c>
      <c r="H265" s="1" t="str">
        <f>dados_01!H265</f>
        <v/>
      </c>
      <c r="I265" s="1" t="str">
        <f>dados_01!I265</f>
        <v/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 t="str">
        <f>dados_01!A266</f>
        <v/>
      </c>
      <c r="B266" s="1" t="str">
        <f>dados_01!B266</f>
        <v/>
      </c>
      <c r="C266" s="1" t="str">
        <f>IFERROR(__xludf.DUMMYFUNCTION("JOIN("". "", ARRAYFORMULA(IFERROR(LEFT(SPLIT(dados_01!C266, "" ""), 1))))"),"")</f>
        <v/>
      </c>
      <c r="D266" s="1" t="str">
        <f>dados_01!D266</f>
        <v/>
      </c>
      <c r="E266" s="1" t="str">
        <f>CONCATENATE(LEFT(dados_01!E266,3),REPT("*",6),RIGHT(dados_01!E266,2))</f>
        <v>******</v>
      </c>
      <c r="F266" s="1" t="str">
        <f>dados_01!F266</f>
        <v/>
      </c>
      <c r="G266" s="1" t="str">
        <f>dados_01!G266</f>
        <v/>
      </c>
      <c r="H266" s="1" t="str">
        <f>dados_01!H266</f>
        <v/>
      </c>
      <c r="I266" s="1" t="str">
        <f>dados_01!I266</f>
        <v/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 t="str">
        <f>dados_01!A267</f>
        <v/>
      </c>
      <c r="B267" s="1" t="str">
        <f>dados_01!B267</f>
        <v/>
      </c>
      <c r="C267" s="1" t="str">
        <f>IFERROR(__xludf.DUMMYFUNCTION("JOIN("". "", ARRAYFORMULA(IFERROR(LEFT(SPLIT(dados_01!C267, "" ""), 1))))"),"")</f>
        <v/>
      </c>
      <c r="D267" s="1" t="str">
        <f>dados_01!D267</f>
        <v/>
      </c>
      <c r="E267" s="1" t="str">
        <f>CONCATENATE(LEFT(dados_01!E267,3),REPT("*",6),RIGHT(dados_01!E267,2))</f>
        <v>******</v>
      </c>
      <c r="F267" s="1" t="str">
        <f>dados_01!F267</f>
        <v/>
      </c>
      <c r="G267" s="1" t="str">
        <f>dados_01!G267</f>
        <v/>
      </c>
      <c r="H267" s="1" t="str">
        <f>dados_01!H267</f>
        <v/>
      </c>
      <c r="I267" s="1" t="str">
        <f>dados_01!I267</f>
        <v/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 t="str">
        <f>dados_01!A268</f>
        <v/>
      </c>
      <c r="B268" s="1" t="str">
        <f>dados_01!B268</f>
        <v/>
      </c>
      <c r="C268" s="1" t="str">
        <f>IFERROR(__xludf.DUMMYFUNCTION("JOIN("". "", ARRAYFORMULA(IFERROR(LEFT(SPLIT(dados_01!C268, "" ""), 1))))"),"")</f>
        <v/>
      </c>
      <c r="D268" s="1" t="str">
        <f>dados_01!D268</f>
        <v/>
      </c>
      <c r="E268" s="1" t="str">
        <f>CONCATENATE(LEFT(dados_01!E268,3),REPT("*",6),RIGHT(dados_01!E268,2))</f>
        <v>******</v>
      </c>
      <c r="F268" s="1" t="str">
        <f>dados_01!F268</f>
        <v/>
      </c>
      <c r="G268" s="1" t="str">
        <f>dados_01!G268</f>
        <v/>
      </c>
      <c r="H268" s="1" t="str">
        <f>dados_01!H268</f>
        <v/>
      </c>
      <c r="I268" s="1" t="str">
        <f>dados_01!I268</f>
        <v/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 t="str">
        <f>dados_01!A269</f>
        <v/>
      </c>
      <c r="B269" s="1" t="str">
        <f>dados_01!B269</f>
        <v/>
      </c>
      <c r="C269" s="1" t="str">
        <f>IFERROR(__xludf.DUMMYFUNCTION("JOIN("". "", ARRAYFORMULA(IFERROR(LEFT(SPLIT(dados_01!C269, "" ""), 1))))"),"")</f>
        <v/>
      </c>
      <c r="D269" s="1" t="str">
        <f>dados_01!D269</f>
        <v/>
      </c>
      <c r="E269" s="1" t="str">
        <f>CONCATENATE(LEFT(dados_01!E269,3),REPT("*",6),RIGHT(dados_01!E269,2))</f>
        <v>******</v>
      </c>
      <c r="F269" s="1" t="str">
        <f>dados_01!F269</f>
        <v/>
      </c>
      <c r="G269" s="1" t="str">
        <f>dados_01!G269</f>
        <v/>
      </c>
      <c r="H269" s="1" t="str">
        <f>dados_01!H269</f>
        <v/>
      </c>
      <c r="I269" s="1" t="str">
        <f>dados_01!I269</f>
        <v/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 t="str">
        <f>dados_01!A270</f>
        <v/>
      </c>
      <c r="B270" s="1" t="str">
        <f>dados_01!B270</f>
        <v/>
      </c>
      <c r="C270" s="1" t="str">
        <f>IFERROR(__xludf.DUMMYFUNCTION("JOIN("". "", ARRAYFORMULA(IFERROR(LEFT(SPLIT(dados_01!C270, "" ""), 1))))"),"")</f>
        <v/>
      </c>
      <c r="D270" s="1" t="str">
        <f>dados_01!D270</f>
        <v/>
      </c>
      <c r="E270" s="1" t="str">
        <f>CONCATENATE(LEFT(dados_01!E270,3),REPT("*",6),RIGHT(dados_01!E270,2))</f>
        <v>******</v>
      </c>
      <c r="F270" s="1" t="str">
        <f>dados_01!F270</f>
        <v/>
      </c>
      <c r="G270" s="1" t="str">
        <f>dados_01!G270</f>
        <v/>
      </c>
      <c r="H270" s="1" t="str">
        <f>dados_01!H270</f>
        <v/>
      </c>
      <c r="I270" s="1" t="str">
        <f>dados_01!I270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 t="str">
        <f>dados_01!A271</f>
        <v/>
      </c>
      <c r="B271" s="1" t="str">
        <f>dados_01!B271</f>
        <v/>
      </c>
      <c r="C271" s="1" t="str">
        <f>IFERROR(__xludf.DUMMYFUNCTION("JOIN("". "", ARRAYFORMULA(IFERROR(LEFT(SPLIT(dados_01!C271, "" ""), 1))))"),"")</f>
        <v/>
      </c>
      <c r="D271" s="1" t="str">
        <f>dados_01!D271</f>
        <v/>
      </c>
      <c r="E271" s="1" t="str">
        <f>CONCATENATE(LEFT(dados_01!E271,3),REPT("*",6),RIGHT(dados_01!E271,2))</f>
        <v>******</v>
      </c>
      <c r="F271" s="1" t="str">
        <f>dados_01!F271</f>
        <v/>
      </c>
      <c r="G271" s="1" t="str">
        <f>dados_01!G271</f>
        <v/>
      </c>
      <c r="H271" s="1" t="str">
        <f>dados_01!H271</f>
        <v/>
      </c>
      <c r="I271" s="1" t="str">
        <f>dados_01!I271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 t="str">
        <f>dados_01!A272</f>
        <v/>
      </c>
      <c r="B272" s="1" t="str">
        <f>dados_01!B272</f>
        <v/>
      </c>
      <c r="C272" s="1" t="str">
        <f>IFERROR(__xludf.DUMMYFUNCTION("JOIN("". "", ARRAYFORMULA(IFERROR(LEFT(SPLIT(dados_01!C272, "" ""), 1))))"),"")</f>
        <v/>
      </c>
      <c r="D272" s="1" t="str">
        <f>dados_01!D272</f>
        <v/>
      </c>
      <c r="E272" s="1" t="str">
        <f>CONCATENATE(LEFT(dados_01!E272,3),REPT("*",6),RIGHT(dados_01!E272,2))</f>
        <v>******</v>
      </c>
      <c r="F272" s="1" t="str">
        <f>dados_01!F272</f>
        <v/>
      </c>
      <c r="G272" s="1" t="str">
        <f>dados_01!G272</f>
        <v/>
      </c>
      <c r="H272" s="1" t="str">
        <f>dados_01!H272</f>
        <v/>
      </c>
      <c r="I272" s="1" t="str">
        <f>dados_01!I272</f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 t="str">
        <f>dados_01!A273</f>
        <v/>
      </c>
      <c r="B273" s="1" t="str">
        <f>dados_01!B273</f>
        <v/>
      </c>
      <c r="C273" s="1" t="str">
        <f>IFERROR(__xludf.DUMMYFUNCTION("JOIN("". "", ARRAYFORMULA(IFERROR(LEFT(SPLIT(dados_01!C273, "" ""), 1))))"),"")</f>
        <v/>
      </c>
      <c r="D273" s="1" t="str">
        <f>dados_01!D273</f>
        <v/>
      </c>
      <c r="E273" s="1" t="str">
        <f>CONCATENATE(LEFT(dados_01!E273,3),REPT("*",6),RIGHT(dados_01!E273,2))</f>
        <v>******</v>
      </c>
      <c r="F273" s="1" t="str">
        <f>dados_01!F273</f>
        <v/>
      </c>
      <c r="G273" s="1" t="str">
        <f>dados_01!G273</f>
        <v/>
      </c>
      <c r="H273" s="1" t="str">
        <f>dados_01!H273</f>
        <v/>
      </c>
      <c r="I273" s="1" t="str">
        <f>dados_01!I273</f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 t="str">
        <f>dados_01!A274</f>
        <v/>
      </c>
      <c r="B274" s="1" t="str">
        <f>dados_01!B274</f>
        <v/>
      </c>
      <c r="C274" s="1" t="str">
        <f>IFERROR(__xludf.DUMMYFUNCTION("JOIN("". "", ARRAYFORMULA(IFERROR(LEFT(SPLIT(dados_01!C274, "" ""), 1))))"),"")</f>
        <v/>
      </c>
      <c r="D274" s="1" t="str">
        <f>dados_01!D274</f>
        <v/>
      </c>
      <c r="E274" s="1" t="str">
        <f>CONCATENATE(LEFT(dados_01!E274,3),REPT("*",6),RIGHT(dados_01!E274,2))</f>
        <v>******</v>
      </c>
      <c r="F274" s="1" t="str">
        <f>dados_01!F274</f>
        <v/>
      </c>
      <c r="G274" s="1" t="str">
        <f>dados_01!G274</f>
        <v/>
      </c>
      <c r="H274" s="1" t="str">
        <f>dados_01!H274</f>
        <v/>
      </c>
      <c r="I274" s="1" t="str">
        <f>dados_01!I274</f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 t="str">
        <f>dados_01!A275</f>
        <v/>
      </c>
      <c r="B275" s="1" t="str">
        <f>dados_01!B275</f>
        <v/>
      </c>
      <c r="C275" s="1" t="str">
        <f>IFERROR(__xludf.DUMMYFUNCTION("JOIN("". "", ARRAYFORMULA(IFERROR(LEFT(SPLIT(dados_01!C275, "" ""), 1))))"),"")</f>
        <v/>
      </c>
      <c r="D275" s="1" t="str">
        <f>dados_01!D275</f>
        <v/>
      </c>
      <c r="E275" s="1" t="str">
        <f>CONCATENATE(LEFT(dados_01!E275,3),REPT("*",6),RIGHT(dados_01!E275,2))</f>
        <v>******</v>
      </c>
      <c r="F275" s="1" t="str">
        <f>dados_01!F275</f>
        <v/>
      </c>
      <c r="G275" s="1" t="str">
        <f>dados_01!G275</f>
        <v/>
      </c>
      <c r="H275" s="1" t="str">
        <f>dados_01!H275</f>
        <v/>
      </c>
      <c r="I275" s="1" t="str">
        <f>dados_01!I275</f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 t="str">
        <f>dados_01!A276</f>
        <v/>
      </c>
      <c r="B276" s="1" t="str">
        <f>dados_01!B276</f>
        <v/>
      </c>
      <c r="C276" s="1" t="str">
        <f>IFERROR(__xludf.DUMMYFUNCTION("JOIN("". "", ARRAYFORMULA(IFERROR(LEFT(SPLIT(dados_01!C276, "" ""), 1))))"),"")</f>
        <v/>
      </c>
      <c r="D276" s="1" t="str">
        <f>dados_01!D276</f>
        <v/>
      </c>
      <c r="E276" s="1" t="str">
        <f>CONCATENATE(LEFT(dados_01!E276,3),REPT("*",6),RIGHT(dados_01!E276,2))</f>
        <v>******</v>
      </c>
      <c r="F276" s="1" t="str">
        <f>dados_01!F276</f>
        <v/>
      </c>
      <c r="G276" s="1" t="str">
        <f>dados_01!G276</f>
        <v/>
      </c>
      <c r="H276" s="1" t="str">
        <f>dados_01!H276</f>
        <v/>
      </c>
      <c r="I276" s="1" t="str">
        <f>dados_01!I276</f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 t="str">
        <f>dados_01!A277</f>
        <v/>
      </c>
      <c r="B277" s="1" t="str">
        <f>dados_01!B277</f>
        <v/>
      </c>
      <c r="C277" s="1" t="str">
        <f>IFERROR(__xludf.DUMMYFUNCTION("JOIN("". "", ARRAYFORMULA(IFERROR(LEFT(SPLIT(dados_01!C277, "" ""), 1))))"),"")</f>
        <v/>
      </c>
      <c r="D277" s="1" t="str">
        <f>dados_01!D277</f>
        <v/>
      </c>
      <c r="E277" s="1" t="str">
        <f>CONCATENATE(LEFT(dados_01!E277,3),REPT("*",6),RIGHT(dados_01!E277,2))</f>
        <v>******</v>
      </c>
      <c r="F277" s="1" t="str">
        <f>dados_01!F277</f>
        <v/>
      </c>
      <c r="G277" s="1" t="str">
        <f>dados_01!G277</f>
        <v/>
      </c>
      <c r="H277" s="1" t="str">
        <f>dados_01!H277</f>
        <v/>
      </c>
      <c r="I277" s="1" t="str">
        <f>dados_01!I277</f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 t="str">
        <f>dados_01!A278</f>
        <v/>
      </c>
      <c r="B278" s="1" t="str">
        <f>dados_01!B278</f>
        <v/>
      </c>
      <c r="C278" s="1" t="str">
        <f>IFERROR(__xludf.DUMMYFUNCTION("JOIN("". "", ARRAYFORMULA(IFERROR(LEFT(SPLIT(dados_01!C278, "" ""), 1))))"),"")</f>
        <v/>
      </c>
      <c r="D278" s="1" t="str">
        <f>dados_01!D278</f>
        <v/>
      </c>
      <c r="E278" s="1" t="str">
        <f>CONCATENATE(LEFT(dados_01!E278,3),REPT("*",6),RIGHT(dados_01!E278,2))</f>
        <v>******</v>
      </c>
      <c r="F278" s="1" t="str">
        <f>dados_01!F278</f>
        <v/>
      </c>
      <c r="G278" s="1" t="str">
        <f>dados_01!G278</f>
        <v/>
      </c>
      <c r="H278" s="1" t="str">
        <f>dados_01!H278</f>
        <v/>
      </c>
      <c r="I278" s="1" t="str">
        <f>dados_01!I278</f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 t="str">
        <f>dados_01!A279</f>
        <v/>
      </c>
      <c r="B279" s="1" t="str">
        <f>dados_01!B279</f>
        <v/>
      </c>
      <c r="C279" s="1" t="str">
        <f>IFERROR(__xludf.DUMMYFUNCTION("JOIN("". "", ARRAYFORMULA(IFERROR(LEFT(SPLIT(dados_01!C279, "" ""), 1))))"),"")</f>
        <v/>
      </c>
      <c r="D279" s="1" t="str">
        <f>dados_01!D279</f>
        <v/>
      </c>
      <c r="E279" s="1" t="str">
        <f>CONCATENATE(LEFT(dados_01!E279,3),REPT("*",6),RIGHT(dados_01!E279,2))</f>
        <v>******</v>
      </c>
      <c r="F279" s="1" t="str">
        <f>dados_01!F279</f>
        <v/>
      </c>
      <c r="G279" s="1" t="str">
        <f>dados_01!G279</f>
        <v/>
      </c>
      <c r="H279" s="1" t="str">
        <f>dados_01!H279</f>
        <v/>
      </c>
      <c r="I279" s="1" t="str">
        <f>dados_01!I279</f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 t="str">
        <f>dados_01!A280</f>
        <v/>
      </c>
      <c r="B280" s="1" t="str">
        <f>dados_01!B280</f>
        <v/>
      </c>
      <c r="C280" s="1" t="str">
        <f>IFERROR(__xludf.DUMMYFUNCTION("JOIN("". "", ARRAYFORMULA(IFERROR(LEFT(SPLIT(dados_01!C280, "" ""), 1))))"),"")</f>
        <v/>
      </c>
      <c r="D280" s="1" t="str">
        <f>dados_01!D280</f>
        <v/>
      </c>
      <c r="E280" s="1" t="str">
        <f>CONCATENATE(LEFT(dados_01!E280,3),REPT("*",6),RIGHT(dados_01!E280,2))</f>
        <v>******</v>
      </c>
      <c r="F280" s="1" t="str">
        <f>dados_01!F280</f>
        <v/>
      </c>
      <c r="G280" s="1" t="str">
        <f>dados_01!G280</f>
        <v/>
      </c>
      <c r="H280" s="1" t="str">
        <f>dados_01!H280</f>
        <v/>
      </c>
      <c r="I280" s="1" t="str">
        <f>dados_01!I280</f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 t="str">
        <f>dados_01!A281</f>
        <v/>
      </c>
      <c r="B281" s="1" t="str">
        <f>dados_01!B281</f>
        <v/>
      </c>
      <c r="C281" s="1" t="str">
        <f>IFERROR(__xludf.DUMMYFUNCTION("JOIN("". "", ARRAYFORMULA(IFERROR(LEFT(SPLIT(dados_01!C281, "" ""), 1))))"),"")</f>
        <v/>
      </c>
      <c r="D281" s="1" t="str">
        <f>dados_01!D281</f>
        <v/>
      </c>
      <c r="E281" s="1" t="str">
        <f>CONCATENATE(LEFT(dados_01!E281,3),REPT("*",6),RIGHT(dados_01!E281,2))</f>
        <v>******</v>
      </c>
      <c r="F281" s="1" t="str">
        <f>dados_01!F281</f>
        <v/>
      </c>
      <c r="G281" s="1" t="str">
        <f>dados_01!G281</f>
        <v/>
      </c>
      <c r="H281" s="1" t="str">
        <f>dados_01!H281</f>
        <v/>
      </c>
      <c r="I281" s="1" t="str">
        <f>dados_01!I281</f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 t="str">
        <f>dados_01!A282</f>
        <v/>
      </c>
      <c r="B282" s="1" t="str">
        <f>dados_01!B282</f>
        <v/>
      </c>
      <c r="C282" s="1" t="str">
        <f>IFERROR(__xludf.DUMMYFUNCTION("JOIN("". "", ARRAYFORMULA(IFERROR(LEFT(SPLIT(dados_01!C282, "" ""), 1))))"),"")</f>
        <v/>
      </c>
      <c r="D282" s="1" t="str">
        <f>dados_01!D282</f>
        <v/>
      </c>
      <c r="E282" s="1" t="str">
        <f>CONCATENATE(LEFT(dados_01!E282,3),REPT("*",6),RIGHT(dados_01!E282,2))</f>
        <v>******</v>
      </c>
      <c r="F282" s="1" t="str">
        <f>dados_01!F282</f>
        <v/>
      </c>
      <c r="G282" s="1" t="str">
        <f>dados_01!G282</f>
        <v/>
      </c>
      <c r="H282" s="1" t="str">
        <f>dados_01!H282</f>
        <v/>
      </c>
      <c r="I282" s="1" t="str">
        <f>dados_01!I282</f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 t="str">
        <f>dados_01!A283</f>
        <v/>
      </c>
      <c r="B283" s="1" t="str">
        <f>dados_01!B283</f>
        <v/>
      </c>
      <c r="C283" s="1" t="str">
        <f>IFERROR(__xludf.DUMMYFUNCTION("JOIN("". "", ARRAYFORMULA(IFERROR(LEFT(SPLIT(dados_01!C283, "" ""), 1))))"),"")</f>
        <v/>
      </c>
      <c r="D283" s="1" t="str">
        <f>dados_01!D283</f>
        <v/>
      </c>
      <c r="E283" s="1" t="str">
        <f>CONCATENATE(LEFT(dados_01!E283,3),REPT("*",6),RIGHT(dados_01!E283,2))</f>
        <v>******</v>
      </c>
      <c r="F283" s="1" t="str">
        <f>dados_01!F283</f>
        <v/>
      </c>
      <c r="G283" s="1" t="str">
        <f>dados_01!G283</f>
        <v/>
      </c>
      <c r="H283" s="1" t="str">
        <f>dados_01!H283</f>
        <v/>
      </c>
      <c r="I283" s="1" t="str">
        <f>dados_01!I283</f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 t="str">
        <f>dados_01!A284</f>
        <v/>
      </c>
      <c r="B284" s="1" t="str">
        <f>dados_01!B284</f>
        <v/>
      </c>
      <c r="C284" s="1" t="str">
        <f>IFERROR(__xludf.DUMMYFUNCTION("JOIN("". "", ARRAYFORMULA(IFERROR(LEFT(SPLIT(dados_01!C284, "" ""), 1))))"),"")</f>
        <v/>
      </c>
      <c r="D284" s="1" t="str">
        <f>dados_01!D284</f>
        <v/>
      </c>
      <c r="E284" s="1" t="str">
        <f>CONCATENATE(LEFT(dados_01!E284,3),REPT("*",6),RIGHT(dados_01!E284,2))</f>
        <v>******</v>
      </c>
      <c r="F284" s="1" t="str">
        <f>dados_01!F284</f>
        <v/>
      </c>
      <c r="G284" s="1" t="str">
        <f>dados_01!G284</f>
        <v/>
      </c>
      <c r="H284" s="1" t="str">
        <f>dados_01!H284</f>
        <v/>
      </c>
      <c r="I284" s="1" t="str">
        <f>dados_01!I284</f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 t="str">
        <f>dados_01!A285</f>
        <v/>
      </c>
      <c r="B285" s="1" t="str">
        <f>dados_01!B285</f>
        <v/>
      </c>
      <c r="C285" s="1" t="str">
        <f>IFERROR(__xludf.DUMMYFUNCTION("JOIN("". "", ARRAYFORMULA(IFERROR(LEFT(SPLIT(dados_01!C285, "" ""), 1))))"),"")</f>
        <v/>
      </c>
      <c r="D285" s="1" t="str">
        <f>dados_01!D285</f>
        <v/>
      </c>
      <c r="E285" s="1" t="str">
        <f>CONCATENATE(LEFT(dados_01!E285,3),REPT("*",6),RIGHT(dados_01!E285,2))</f>
        <v>******</v>
      </c>
      <c r="F285" s="1" t="str">
        <f>dados_01!F285</f>
        <v/>
      </c>
      <c r="G285" s="1" t="str">
        <f>dados_01!G285</f>
        <v/>
      </c>
      <c r="H285" s="1" t="str">
        <f>dados_01!H285</f>
        <v/>
      </c>
      <c r="I285" s="1" t="str">
        <f>dados_01!I285</f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 t="str">
        <f>dados_01!A286</f>
        <v/>
      </c>
      <c r="B286" s="1" t="str">
        <f>dados_01!B286</f>
        <v/>
      </c>
      <c r="C286" s="1" t="str">
        <f>IFERROR(__xludf.DUMMYFUNCTION("JOIN("". "", ARRAYFORMULA(IFERROR(LEFT(SPLIT(dados_01!C286, "" ""), 1))))"),"")</f>
        <v/>
      </c>
      <c r="D286" s="1" t="str">
        <f>dados_01!D286</f>
        <v/>
      </c>
      <c r="E286" s="1" t="str">
        <f>CONCATENATE(LEFT(dados_01!E286,3),REPT("*",6),RIGHT(dados_01!E286,2))</f>
        <v>******</v>
      </c>
      <c r="F286" s="1" t="str">
        <f>dados_01!F286</f>
        <v/>
      </c>
      <c r="G286" s="1" t="str">
        <f>dados_01!G286</f>
        <v/>
      </c>
      <c r="H286" s="1" t="str">
        <f>dados_01!H286</f>
        <v/>
      </c>
      <c r="I286" s="1" t="str">
        <f>dados_01!I286</f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 t="str">
        <f>dados_01!A287</f>
        <v/>
      </c>
      <c r="B287" s="1" t="str">
        <f>dados_01!B287</f>
        <v/>
      </c>
      <c r="C287" s="1" t="str">
        <f>IFERROR(__xludf.DUMMYFUNCTION("JOIN("". "", ARRAYFORMULA(IFERROR(LEFT(SPLIT(dados_01!C287, "" ""), 1))))"),"")</f>
        <v/>
      </c>
      <c r="D287" s="1" t="str">
        <f>dados_01!D287</f>
        <v/>
      </c>
      <c r="E287" s="1" t="str">
        <f>CONCATENATE(LEFT(dados_01!E287,3),REPT("*",6),RIGHT(dados_01!E287,2))</f>
        <v>******</v>
      </c>
      <c r="F287" s="1" t="str">
        <f>dados_01!F287</f>
        <v/>
      </c>
      <c r="G287" s="1" t="str">
        <f>dados_01!G287</f>
        <v/>
      </c>
      <c r="H287" s="1" t="str">
        <f>dados_01!H287</f>
        <v/>
      </c>
      <c r="I287" s="1" t="str">
        <f>dados_01!I287</f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 t="str">
        <f>dados_01!A288</f>
        <v/>
      </c>
      <c r="B288" s="1" t="str">
        <f>dados_01!B288</f>
        <v/>
      </c>
      <c r="C288" s="1" t="str">
        <f>IFERROR(__xludf.DUMMYFUNCTION("JOIN("". "", ARRAYFORMULA(IFERROR(LEFT(SPLIT(dados_01!C288, "" ""), 1))))"),"")</f>
        <v/>
      </c>
      <c r="D288" s="1" t="str">
        <f>dados_01!D288</f>
        <v/>
      </c>
      <c r="E288" s="1" t="str">
        <f>CONCATENATE(LEFT(dados_01!E288,3),REPT("*",6),RIGHT(dados_01!E288,2))</f>
        <v>******</v>
      </c>
      <c r="F288" s="1" t="str">
        <f>dados_01!F288</f>
        <v/>
      </c>
      <c r="G288" s="1" t="str">
        <f>dados_01!G288</f>
        <v/>
      </c>
      <c r="H288" s="1" t="str">
        <f>dados_01!H288</f>
        <v/>
      </c>
      <c r="I288" s="1" t="str">
        <f>dados_01!I288</f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 t="str">
        <f>dados_01!A289</f>
        <v/>
      </c>
      <c r="B289" s="1" t="str">
        <f>dados_01!B289</f>
        <v/>
      </c>
      <c r="C289" s="1" t="str">
        <f>IFERROR(__xludf.DUMMYFUNCTION("JOIN("". "", ARRAYFORMULA(IFERROR(LEFT(SPLIT(dados_01!C289, "" ""), 1))))"),"")</f>
        <v/>
      </c>
      <c r="D289" s="1" t="str">
        <f>dados_01!D289</f>
        <v/>
      </c>
      <c r="E289" s="1" t="str">
        <f>CONCATENATE(LEFT(dados_01!E289,3),REPT("*",6),RIGHT(dados_01!E289,2))</f>
        <v>******</v>
      </c>
      <c r="F289" s="1" t="str">
        <f>dados_01!F289</f>
        <v/>
      </c>
      <c r="G289" s="1" t="str">
        <f>dados_01!G289</f>
        <v/>
      </c>
      <c r="H289" s="1" t="str">
        <f>dados_01!H289</f>
        <v/>
      </c>
      <c r="I289" s="1" t="str">
        <f>dados_01!I289</f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 t="str">
        <f>dados_01!A290</f>
        <v/>
      </c>
      <c r="B290" s="1" t="str">
        <f>dados_01!B290</f>
        <v/>
      </c>
      <c r="C290" s="1" t="str">
        <f>IFERROR(__xludf.DUMMYFUNCTION("JOIN("". "", ARRAYFORMULA(IFERROR(LEFT(SPLIT(dados_01!C290, "" ""), 1))))"),"")</f>
        <v/>
      </c>
      <c r="D290" s="1" t="str">
        <f>dados_01!D290</f>
        <v/>
      </c>
      <c r="E290" s="1" t="str">
        <f>CONCATENATE(LEFT(dados_01!E290,3),REPT("*",6),RIGHT(dados_01!E290,2))</f>
        <v>******</v>
      </c>
      <c r="F290" s="1" t="str">
        <f>dados_01!F290</f>
        <v/>
      </c>
      <c r="G290" s="1" t="str">
        <f>dados_01!G290</f>
        <v/>
      </c>
      <c r="H290" s="1" t="str">
        <f>dados_01!H290</f>
        <v/>
      </c>
      <c r="I290" s="1" t="str">
        <f>dados_01!I290</f>
        <v/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 t="str">
        <f>dados_01!A291</f>
        <v/>
      </c>
      <c r="B291" s="1" t="str">
        <f>dados_01!B291</f>
        <v/>
      </c>
      <c r="C291" s="1" t="str">
        <f>IFERROR(__xludf.DUMMYFUNCTION("JOIN("". "", ARRAYFORMULA(IFERROR(LEFT(SPLIT(dados_01!C291, "" ""), 1))))"),"")</f>
        <v/>
      </c>
      <c r="D291" s="1" t="str">
        <f>dados_01!D291</f>
        <v/>
      </c>
      <c r="E291" s="1" t="str">
        <f>CONCATENATE(LEFT(dados_01!E291,3),REPT("*",6),RIGHT(dados_01!E291,2))</f>
        <v>******</v>
      </c>
      <c r="F291" s="1" t="str">
        <f>dados_01!F291</f>
        <v/>
      </c>
      <c r="G291" s="1" t="str">
        <f>dados_01!G291</f>
        <v/>
      </c>
      <c r="H291" s="1" t="str">
        <f>dados_01!H291</f>
        <v/>
      </c>
      <c r="I291" s="1" t="str">
        <f>dados_01!I291</f>
        <v/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 t="str">
        <f>dados_01!A292</f>
        <v/>
      </c>
      <c r="B292" s="1" t="str">
        <f>dados_01!B292</f>
        <v/>
      </c>
      <c r="C292" s="1" t="str">
        <f>IFERROR(__xludf.DUMMYFUNCTION("JOIN("". "", ARRAYFORMULA(IFERROR(LEFT(SPLIT(dados_01!C292, "" ""), 1))))"),"")</f>
        <v/>
      </c>
      <c r="D292" s="1" t="str">
        <f>dados_01!D292</f>
        <v/>
      </c>
      <c r="E292" s="1" t="str">
        <f>CONCATENATE(LEFT(dados_01!E292,3),REPT("*",6),RIGHT(dados_01!E292,2))</f>
        <v>******</v>
      </c>
      <c r="F292" s="1" t="str">
        <f>dados_01!F292</f>
        <v/>
      </c>
      <c r="G292" s="1" t="str">
        <f>dados_01!G292</f>
        <v/>
      </c>
      <c r="H292" s="1" t="str">
        <f>dados_01!H292</f>
        <v/>
      </c>
      <c r="I292" s="1" t="str">
        <f>dados_01!I292</f>
        <v/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 t="str">
        <f>dados_01!A293</f>
        <v/>
      </c>
      <c r="B293" s="1" t="str">
        <f>dados_01!B293</f>
        <v/>
      </c>
      <c r="C293" s="1" t="str">
        <f>IFERROR(__xludf.DUMMYFUNCTION("JOIN("". "", ARRAYFORMULA(IFERROR(LEFT(SPLIT(dados_01!C293, "" ""), 1))))"),"")</f>
        <v/>
      </c>
      <c r="D293" s="1" t="str">
        <f>dados_01!D293</f>
        <v/>
      </c>
      <c r="E293" s="1" t="str">
        <f>CONCATENATE(LEFT(dados_01!E293,3),REPT("*",6),RIGHT(dados_01!E293,2))</f>
        <v>******</v>
      </c>
      <c r="F293" s="1" t="str">
        <f>dados_01!F293</f>
        <v/>
      </c>
      <c r="G293" s="1" t="str">
        <f>dados_01!G293</f>
        <v/>
      </c>
      <c r="H293" s="1" t="str">
        <f>dados_01!H293</f>
        <v/>
      </c>
      <c r="I293" s="1" t="str">
        <f>dados_01!I293</f>
        <v/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 t="str">
        <f>dados_01!A294</f>
        <v/>
      </c>
      <c r="B294" s="1" t="str">
        <f>dados_01!B294</f>
        <v/>
      </c>
      <c r="C294" s="1" t="str">
        <f>IFERROR(__xludf.DUMMYFUNCTION("JOIN("". "", ARRAYFORMULA(IFERROR(LEFT(SPLIT(dados_01!C294, "" ""), 1))))"),"")</f>
        <v/>
      </c>
      <c r="D294" s="1" t="str">
        <f>dados_01!D294</f>
        <v/>
      </c>
      <c r="E294" s="1" t="str">
        <f>CONCATENATE(LEFT(dados_01!E294,3),REPT("*",6),RIGHT(dados_01!E294,2))</f>
        <v>******</v>
      </c>
      <c r="F294" s="1" t="str">
        <f>dados_01!F294</f>
        <v/>
      </c>
      <c r="G294" s="1" t="str">
        <f>dados_01!G294</f>
        <v/>
      </c>
      <c r="H294" s="1" t="str">
        <f>dados_01!H294</f>
        <v/>
      </c>
      <c r="I294" s="1" t="str">
        <f>dados_01!I294</f>
        <v/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 t="str">
        <f>dados_01!A295</f>
        <v/>
      </c>
      <c r="B295" s="1" t="str">
        <f>dados_01!B295</f>
        <v/>
      </c>
      <c r="C295" s="1" t="str">
        <f>IFERROR(__xludf.DUMMYFUNCTION("JOIN("". "", ARRAYFORMULA(IFERROR(LEFT(SPLIT(dados_01!C295, "" ""), 1))))"),"")</f>
        <v/>
      </c>
      <c r="D295" s="1" t="str">
        <f>dados_01!D295</f>
        <v/>
      </c>
      <c r="E295" s="1" t="str">
        <f>CONCATENATE(LEFT(dados_01!E295,3),REPT("*",6),RIGHT(dados_01!E295,2))</f>
        <v>******</v>
      </c>
      <c r="F295" s="1" t="str">
        <f>dados_01!F295</f>
        <v/>
      </c>
      <c r="G295" s="1" t="str">
        <f>dados_01!G295</f>
        <v/>
      </c>
      <c r="H295" s="1" t="str">
        <f>dados_01!H295</f>
        <v/>
      </c>
      <c r="I295" s="1" t="str">
        <f>dados_01!I295</f>
        <v/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 t="str">
        <f>dados_01!A296</f>
        <v/>
      </c>
      <c r="B296" s="1" t="str">
        <f>dados_01!B296</f>
        <v/>
      </c>
      <c r="C296" s="1" t="str">
        <f>IFERROR(__xludf.DUMMYFUNCTION("JOIN("". "", ARRAYFORMULA(IFERROR(LEFT(SPLIT(dados_01!C296, "" ""), 1))))"),"")</f>
        <v/>
      </c>
      <c r="D296" s="1" t="str">
        <f>dados_01!D296</f>
        <v/>
      </c>
      <c r="E296" s="1" t="str">
        <f>CONCATENATE(LEFT(dados_01!E296,3),REPT("*",6),RIGHT(dados_01!E296,2))</f>
        <v>******</v>
      </c>
      <c r="F296" s="1" t="str">
        <f>dados_01!F296</f>
        <v/>
      </c>
      <c r="G296" s="1" t="str">
        <f>dados_01!G296</f>
        <v/>
      </c>
      <c r="H296" s="1" t="str">
        <f>dados_01!H296</f>
        <v/>
      </c>
      <c r="I296" s="1" t="str">
        <f>dados_01!I296</f>
        <v/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 t="str">
        <f>dados_01!A297</f>
        <v/>
      </c>
      <c r="B297" s="1" t="str">
        <f>dados_01!B297</f>
        <v/>
      </c>
      <c r="C297" s="1" t="str">
        <f>IFERROR(__xludf.DUMMYFUNCTION("JOIN("". "", ARRAYFORMULA(IFERROR(LEFT(SPLIT(dados_01!C297, "" ""), 1))))"),"")</f>
        <v/>
      </c>
      <c r="D297" s="1" t="str">
        <f>dados_01!D297</f>
        <v/>
      </c>
      <c r="E297" s="1" t="str">
        <f>CONCATENATE(LEFT(dados_01!E297,3),REPT("*",6),RIGHT(dados_01!E297,2))</f>
        <v>******</v>
      </c>
      <c r="F297" s="1" t="str">
        <f>dados_01!F297</f>
        <v/>
      </c>
      <c r="G297" s="1" t="str">
        <f>dados_01!G297</f>
        <v/>
      </c>
      <c r="H297" s="1" t="str">
        <f>dados_01!H297</f>
        <v/>
      </c>
      <c r="I297" s="1" t="str">
        <f>dados_01!I297</f>
        <v/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 t="str">
        <f>dados_01!A298</f>
        <v/>
      </c>
      <c r="B298" s="1" t="str">
        <f>dados_01!B298</f>
        <v/>
      </c>
      <c r="C298" s="1" t="str">
        <f>IFERROR(__xludf.DUMMYFUNCTION("JOIN("". "", ARRAYFORMULA(IFERROR(LEFT(SPLIT(dados_01!C298, "" ""), 1))))"),"")</f>
        <v/>
      </c>
      <c r="D298" s="1" t="str">
        <f>dados_01!D298</f>
        <v/>
      </c>
      <c r="E298" s="1" t="str">
        <f>CONCATENATE(LEFT(dados_01!E298,3),REPT("*",6),RIGHT(dados_01!E298,2))</f>
        <v>******</v>
      </c>
      <c r="F298" s="1" t="str">
        <f>dados_01!F298</f>
        <v/>
      </c>
      <c r="G298" s="1" t="str">
        <f>dados_01!G298</f>
        <v/>
      </c>
      <c r="H298" s="1" t="str">
        <f>dados_01!H298</f>
        <v/>
      </c>
      <c r="I298" s="1" t="str">
        <f>dados_01!I298</f>
        <v/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 t="str">
        <f>dados_01!A299</f>
        <v/>
      </c>
      <c r="B299" s="1" t="str">
        <f>dados_01!B299</f>
        <v/>
      </c>
      <c r="C299" s="1" t="str">
        <f>IFERROR(__xludf.DUMMYFUNCTION("JOIN("". "", ARRAYFORMULA(IFERROR(LEFT(SPLIT(dados_01!C299, "" ""), 1))))"),"")</f>
        <v/>
      </c>
      <c r="D299" s="1" t="str">
        <f>dados_01!D299</f>
        <v/>
      </c>
      <c r="E299" s="1" t="str">
        <f>CONCATENATE(LEFT(dados_01!E299,3),REPT("*",6),RIGHT(dados_01!E299,2))</f>
        <v>******</v>
      </c>
      <c r="F299" s="1" t="str">
        <f>dados_01!F299</f>
        <v/>
      </c>
      <c r="G299" s="1" t="str">
        <f>dados_01!G299</f>
        <v/>
      </c>
      <c r="H299" s="1" t="str">
        <f>dados_01!H299</f>
        <v/>
      </c>
      <c r="I299" s="1" t="str">
        <f>dados_01!I299</f>
        <v/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 t="str">
        <f>dados_01!A300</f>
        <v/>
      </c>
      <c r="B300" s="1" t="str">
        <f>dados_01!B300</f>
        <v/>
      </c>
      <c r="C300" s="1" t="str">
        <f>IFERROR(__xludf.DUMMYFUNCTION("JOIN("". "", ARRAYFORMULA(IFERROR(LEFT(SPLIT(dados_01!C300, "" ""), 1))))"),"")</f>
        <v/>
      </c>
      <c r="D300" s="1" t="str">
        <f>dados_01!D300</f>
        <v/>
      </c>
      <c r="E300" s="1" t="str">
        <f>CONCATENATE(LEFT(dados_01!E300,3),REPT("*",6),RIGHT(dados_01!E300,2))</f>
        <v>******</v>
      </c>
      <c r="F300" s="1" t="str">
        <f>dados_01!F300</f>
        <v/>
      </c>
      <c r="G300" s="1" t="str">
        <f>dados_01!G300</f>
        <v/>
      </c>
      <c r="H300" s="1" t="str">
        <f>dados_01!H300</f>
        <v/>
      </c>
      <c r="I300" s="1" t="str">
        <f>dados_01!I300</f>
        <v/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 t="str">
        <f>dados_01!A301</f>
        <v/>
      </c>
      <c r="B301" s="1" t="str">
        <f>dados_01!B301</f>
        <v/>
      </c>
      <c r="C301" s="1" t="str">
        <f>IFERROR(__xludf.DUMMYFUNCTION("JOIN("". "", ARRAYFORMULA(IFERROR(LEFT(SPLIT(dados_01!C301, "" ""), 1))))"),"")</f>
        <v/>
      </c>
      <c r="D301" s="1" t="str">
        <f>dados_01!D301</f>
        <v/>
      </c>
      <c r="E301" s="1" t="str">
        <f>CONCATENATE(LEFT(dados_01!E301,3),REPT("*",6),RIGHT(dados_01!E301,2))</f>
        <v>******</v>
      </c>
      <c r="F301" s="1" t="str">
        <f>dados_01!F301</f>
        <v/>
      </c>
      <c r="G301" s="1" t="str">
        <f>dados_01!G301</f>
        <v/>
      </c>
      <c r="H301" s="1" t="str">
        <f>dados_01!H301</f>
        <v/>
      </c>
      <c r="I301" s="1" t="str">
        <f>dados_01!I301</f>
        <v/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 t="str">
        <f>dados_01!A302</f>
        <v/>
      </c>
      <c r="B302" s="1" t="str">
        <f>dados_01!B302</f>
        <v/>
      </c>
      <c r="C302" s="1" t="str">
        <f>IFERROR(__xludf.DUMMYFUNCTION("JOIN("". "", ARRAYFORMULA(IFERROR(LEFT(SPLIT(dados_01!C302, "" ""), 1))))"),"")</f>
        <v/>
      </c>
      <c r="D302" s="1" t="str">
        <f>dados_01!D302</f>
        <v/>
      </c>
      <c r="E302" s="1" t="str">
        <f>CONCATENATE(LEFT(dados_01!E302,3),REPT("*",6),RIGHT(dados_01!E302,2))</f>
        <v>******</v>
      </c>
      <c r="F302" s="1" t="str">
        <f>dados_01!F302</f>
        <v/>
      </c>
      <c r="G302" s="1" t="str">
        <f>dados_01!G302</f>
        <v/>
      </c>
      <c r="H302" s="1" t="str">
        <f>dados_01!H302</f>
        <v/>
      </c>
      <c r="I302" s="1" t="str">
        <f>dados_01!I302</f>
        <v/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 t="str">
        <f>dados_01!A303</f>
        <v/>
      </c>
      <c r="B303" s="1" t="str">
        <f>dados_01!B303</f>
        <v/>
      </c>
      <c r="C303" s="1" t="str">
        <f>IFERROR(__xludf.DUMMYFUNCTION("JOIN("". "", ARRAYFORMULA(IFERROR(LEFT(SPLIT(dados_01!C303, "" ""), 1))))"),"")</f>
        <v/>
      </c>
      <c r="D303" s="1" t="str">
        <f>dados_01!D303</f>
        <v/>
      </c>
      <c r="E303" s="1" t="str">
        <f>CONCATENATE(LEFT(dados_01!E303,3),REPT("*",6),RIGHT(dados_01!E303,2))</f>
        <v>******</v>
      </c>
      <c r="F303" s="1" t="str">
        <f>dados_01!F303</f>
        <v/>
      </c>
      <c r="G303" s="1" t="str">
        <f>dados_01!G303</f>
        <v/>
      </c>
      <c r="H303" s="1" t="str">
        <f>dados_01!H303</f>
        <v/>
      </c>
      <c r="I303" s="1" t="str">
        <f>dados_01!I303</f>
        <v/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 t="str">
        <f>dados_01!A304</f>
        <v/>
      </c>
      <c r="B304" s="1" t="str">
        <f>dados_01!B304</f>
        <v/>
      </c>
      <c r="C304" s="1" t="str">
        <f>IFERROR(__xludf.DUMMYFUNCTION("JOIN("". "", ARRAYFORMULA(IFERROR(LEFT(SPLIT(dados_01!C304, "" ""), 1))))"),"")</f>
        <v/>
      </c>
      <c r="D304" s="1" t="str">
        <f>dados_01!D304</f>
        <v/>
      </c>
      <c r="E304" s="1" t="str">
        <f>CONCATENATE(LEFT(dados_01!E304,3),REPT("*",6),RIGHT(dados_01!E304,2))</f>
        <v>******</v>
      </c>
      <c r="F304" s="1" t="str">
        <f>dados_01!F304</f>
        <v/>
      </c>
      <c r="G304" s="1" t="str">
        <f>dados_01!G304</f>
        <v/>
      </c>
      <c r="H304" s="1" t="str">
        <f>dados_01!H304</f>
        <v/>
      </c>
      <c r="I304" s="1" t="str">
        <f>dados_01!I304</f>
        <v/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 t="str">
        <f>dados_01!A305</f>
        <v/>
      </c>
      <c r="B305" s="1" t="str">
        <f>dados_01!B305</f>
        <v/>
      </c>
      <c r="C305" s="1" t="str">
        <f>IFERROR(__xludf.DUMMYFUNCTION("JOIN("". "", ARRAYFORMULA(IFERROR(LEFT(SPLIT(dados_01!C305, "" ""), 1))))"),"")</f>
        <v/>
      </c>
      <c r="D305" s="1" t="str">
        <f>dados_01!D305</f>
        <v/>
      </c>
      <c r="E305" s="1" t="str">
        <f>CONCATENATE(LEFT(dados_01!E305,3),REPT("*",6),RIGHT(dados_01!E305,2))</f>
        <v>******</v>
      </c>
      <c r="F305" s="1" t="str">
        <f>dados_01!F305</f>
        <v/>
      </c>
      <c r="G305" s="1" t="str">
        <f>dados_01!G305</f>
        <v/>
      </c>
      <c r="H305" s="1" t="str">
        <f>dados_01!H305</f>
        <v/>
      </c>
      <c r="I305" s="1" t="str">
        <f>dados_01!I305</f>
        <v/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 t="str">
        <f>dados_01!A306</f>
        <v/>
      </c>
      <c r="B306" s="1" t="str">
        <f>dados_01!B306</f>
        <v/>
      </c>
      <c r="C306" s="1" t="str">
        <f>IFERROR(__xludf.DUMMYFUNCTION("JOIN("". "", ARRAYFORMULA(IFERROR(LEFT(SPLIT(dados_01!C306, "" ""), 1))))"),"")</f>
        <v/>
      </c>
      <c r="D306" s="1" t="str">
        <f>dados_01!D306</f>
        <v/>
      </c>
      <c r="E306" s="1" t="str">
        <f>CONCATENATE(LEFT(dados_01!E306,3),REPT("*",6),RIGHT(dados_01!E306,2))</f>
        <v>******</v>
      </c>
      <c r="F306" s="1" t="str">
        <f>dados_01!F306</f>
        <v/>
      </c>
      <c r="G306" s="1" t="str">
        <f>dados_01!G306</f>
        <v/>
      </c>
      <c r="H306" s="1" t="str">
        <f>dados_01!H306</f>
        <v/>
      </c>
      <c r="I306" s="1" t="str">
        <f>dados_01!I306</f>
        <v/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 t="str">
        <f>dados_01!A307</f>
        <v/>
      </c>
      <c r="B307" s="1" t="str">
        <f>dados_01!B307</f>
        <v/>
      </c>
      <c r="C307" s="1" t="str">
        <f>IFERROR(__xludf.DUMMYFUNCTION("JOIN("". "", ARRAYFORMULA(IFERROR(LEFT(SPLIT(dados_01!C307, "" ""), 1))))"),"")</f>
        <v/>
      </c>
      <c r="D307" s="1" t="str">
        <f>dados_01!D307</f>
        <v/>
      </c>
      <c r="E307" s="1" t="str">
        <f>CONCATENATE(LEFT(dados_01!E307,3),REPT("*",6),RIGHT(dados_01!E307,2))</f>
        <v>******</v>
      </c>
      <c r="F307" s="1" t="str">
        <f>dados_01!F307</f>
        <v/>
      </c>
      <c r="G307" s="1" t="str">
        <f>dados_01!G307</f>
        <v/>
      </c>
      <c r="H307" s="1" t="str">
        <f>dados_01!H307</f>
        <v/>
      </c>
      <c r="I307" s="1" t="str">
        <f>dados_01!I307</f>
        <v/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 t="str">
        <f>dados_01!A308</f>
        <v/>
      </c>
      <c r="B308" s="1" t="str">
        <f>dados_01!B308</f>
        <v/>
      </c>
      <c r="C308" s="1" t="str">
        <f>IFERROR(__xludf.DUMMYFUNCTION("JOIN("". "", ARRAYFORMULA(IFERROR(LEFT(SPLIT(dados_01!C308, "" ""), 1))))"),"")</f>
        <v/>
      </c>
      <c r="D308" s="1" t="str">
        <f>dados_01!D308</f>
        <v/>
      </c>
      <c r="E308" s="1" t="str">
        <f>CONCATENATE(LEFT(dados_01!E308,3),REPT("*",6),RIGHT(dados_01!E308,2))</f>
        <v>******</v>
      </c>
      <c r="F308" s="1" t="str">
        <f>dados_01!F308</f>
        <v/>
      </c>
      <c r="G308" s="1" t="str">
        <f>dados_01!G308</f>
        <v/>
      </c>
      <c r="H308" s="1" t="str">
        <f>dados_01!H308</f>
        <v/>
      </c>
      <c r="I308" s="1" t="str">
        <f>dados_01!I308</f>
        <v/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 t="str">
        <f>dados_01!A309</f>
        <v/>
      </c>
      <c r="B309" s="1" t="str">
        <f>dados_01!B309</f>
        <v/>
      </c>
      <c r="C309" s="1" t="str">
        <f>IFERROR(__xludf.DUMMYFUNCTION("JOIN("". "", ARRAYFORMULA(IFERROR(LEFT(SPLIT(dados_01!C309, "" ""), 1))))"),"")</f>
        <v/>
      </c>
      <c r="D309" s="1" t="str">
        <f>dados_01!D309</f>
        <v/>
      </c>
      <c r="E309" s="1" t="str">
        <f>CONCATENATE(LEFT(dados_01!E309,3),REPT("*",6),RIGHT(dados_01!E309,2))</f>
        <v>******</v>
      </c>
      <c r="F309" s="1" t="str">
        <f>dados_01!F309</f>
        <v/>
      </c>
      <c r="G309" s="1" t="str">
        <f>dados_01!G309</f>
        <v/>
      </c>
      <c r="H309" s="1" t="str">
        <f>dados_01!H309</f>
        <v/>
      </c>
      <c r="I309" s="1" t="str">
        <f>dados_01!I309</f>
        <v/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 t="str">
        <f>dados_01!A310</f>
        <v/>
      </c>
      <c r="B310" s="1" t="str">
        <f>dados_01!B310</f>
        <v/>
      </c>
      <c r="C310" s="1" t="str">
        <f>IFERROR(__xludf.DUMMYFUNCTION("JOIN("". "", ARRAYFORMULA(IFERROR(LEFT(SPLIT(dados_01!C310, "" ""), 1))))"),"")</f>
        <v/>
      </c>
      <c r="D310" s="1" t="str">
        <f>dados_01!D310</f>
        <v/>
      </c>
      <c r="E310" s="1" t="str">
        <f>CONCATENATE(LEFT(dados_01!E310,3),REPT("*",6),RIGHT(dados_01!E310,2))</f>
        <v>******</v>
      </c>
      <c r="F310" s="1" t="str">
        <f>dados_01!F310</f>
        <v/>
      </c>
      <c r="G310" s="1" t="str">
        <f>dados_01!G310</f>
        <v/>
      </c>
      <c r="H310" s="1" t="str">
        <f>dados_01!H310</f>
        <v/>
      </c>
      <c r="I310" s="1" t="str">
        <f>dados_01!I310</f>
        <v/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 t="str">
        <f>dados_01!A311</f>
        <v/>
      </c>
      <c r="B311" s="1" t="str">
        <f>dados_01!B311</f>
        <v/>
      </c>
      <c r="C311" s="1" t="str">
        <f>IFERROR(__xludf.DUMMYFUNCTION("JOIN("". "", ARRAYFORMULA(IFERROR(LEFT(SPLIT(dados_01!C311, "" ""), 1))))"),"")</f>
        <v/>
      </c>
      <c r="D311" s="1" t="str">
        <f>dados_01!D311</f>
        <v/>
      </c>
      <c r="E311" s="1" t="str">
        <f>CONCATENATE(LEFT(dados_01!E311,3),REPT("*",6),RIGHT(dados_01!E311,2))</f>
        <v>******</v>
      </c>
      <c r="F311" s="1" t="str">
        <f>dados_01!F311</f>
        <v/>
      </c>
      <c r="G311" s="1" t="str">
        <f>dados_01!G311</f>
        <v/>
      </c>
      <c r="H311" s="1" t="str">
        <f>dados_01!H311</f>
        <v/>
      </c>
      <c r="I311" s="1" t="str">
        <f>dados_01!I311</f>
        <v/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 t="str">
        <f>dados_01!A312</f>
        <v/>
      </c>
      <c r="B312" s="1" t="str">
        <f>dados_01!B312</f>
        <v/>
      </c>
      <c r="C312" s="1" t="str">
        <f>IFERROR(__xludf.DUMMYFUNCTION("JOIN("". "", ARRAYFORMULA(IFERROR(LEFT(SPLIT(dados_01!C312, "" ""), 1))))"),"")</f>
        <v/>
      </c>
      <c r="D312" s="1" t="str">
        <f>dados_01!D312</f>
        <v/>
      </c>
      <c r="E312" s="1" t="str">
        <f>CONCATENATE(LEFT(dados_01!E312,3),REPT("*",6),RIGHT(dados_01!E312,2))</f>
        <v>******</v>
      </c>
      <c r="F312" s="1" t="str">
        <f>dados_01!F312</f>
        <v/>
      </c>
      <c r="G312" s="1" t="str">
        <f>dados_01!G312</f>
        <v/>
      </c>
      <c r="H312" s="1" t="str">
        <f>dados_01!H312</f>
        <v/>
      </c>
      <c r="I312" s="1" t="str">
        <f>dados_01!I312</f>
        <v/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 t="str">
        <f>dados_01!A313</f>
        <v/>
      </c>
      <c r="B313" s="1" t="str">
        <f>dados_01!B313</f>
        <v/>
      </c>
      <c r="C313" s="1" t="str">
        <f>IFERROR(__xludf.DUMMYFUNCTION("JOIN("". "", ARRAYFORMULA(IFERROR(LEFT(SPLIT(dados_01!C313, "" ""), 1))))"),"")</f>
        <v/>
      </c>
      <c r="D313" s="1" t="str">
        <f>dados_01!D313</f>
        <v/>
      </c>
      <c r="E313" s="1" t="str">
        <f>CONCATENATE(LEFT(dados_01!E313,3),REPT("*",6),RIGHT(dados_01!E313,2))</f>
        <v>******</v>
      </c>
      <c r="F313" s="1" t="str">
        <f>dados_01!F313</f>
        <v/>
      </c>
      <c r="G313" s="1" t="str">
        <f>dados_01!G313</f>
        <v/>
      </c>
      <c r="H313" s="1" t="str">
        <f>dados_01!H313</f>
        <v/>
      </c>
      <c r="I313" s="1" t="str">
        <f>dados_01!I313</f>
        <v/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 t="str">
        <f>dados_01!A314</f>
        <v/>
      </c>
      <c r="B314" s="1" t="str">
        <f>dados_01!B314</f>
        <v/>
      </c>
      <c r="C314" s="1" t="str">
        <f>IFERROR(__xludf.DUMMYFUNCTION("JOIN("". "", ARRAYFORMULA(IFERROR(LEFT(SPLIT(dados_01!C314, "" ""), 1))))"),"")</f>
        <v/>
      </c>
      <c r="D314" s="1" t="str">
        <f>dados_01!D314</f>
        <v/>
      </c>
      <c r="E314" s="1" t="str">
        <f>CONCATENATE(LEFT(dados_01!E314,3),REPT("*",6),RIGHT(dados_01!E314,2))</f>
        <v>******</v>
      </c>
      <c r="F314" s="1" t="str">
        <f>dados_01!F314</f>
        <v/>
      </c>
      <c r="G314" s="1" t="str">
        <f>dados_01!G314</f>
        <v/>
      </c>
      <c r="H314" s="1" t="str">
        <f>dados_01!H314</f>
        <v/>
      </c>
      <c r="I314" s="1" t="str">
        <f>dados_01!I314</f>
        <v/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 t="str">
        <f>dados_01!A315</f>
        <v/>
      </c>
      <c r="B315" s="1" t="str">
        <f>dados_01!B315</f>
        <v/>
      </c>
      <c r="C315" s="1" t="str">
        <f>IFERROR(__xludf.DUMMYFUNCTION("JOIN("". "", ARRAYFORMULA(IFERROR(LEFT(SPLIT(dados_01!C315, "" ""), 1))))"),"")</f>
        <v/>
      </c>
      <c r="D315" s="1" t="str">
        <f>dados_01!D315</f>
        <v/>
      </c>
      <c r="E315" s="1" t="str">
        <f>CONCATENATE(LEFT(dados_01!E315,3),REPT("*",6),RIGHT(dados_01!E315,2))</f>
        <v>******</v>
      </c>
      <c r="F315" s="1" t="str">
        <f>dados_01!F315</f>
        <v/>
      </c>
      <c r="G315" s="1" t="str">
        <f>dados_01!G315</f>
        <v/>
      </c>
      <c r="H315" s="1" t="str">
        <f>dados_01!H315</f>
        <v/>
      </c>
      <c r="I315" s="1" t="str">
        <f>dados_01!I315</f>
        <v/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 t="str">
        <f>dados_01!A316</f>
        <v/>
      </c>
      <c r="B316" s="1" t="str">
        <f>dados_01!B316</f>
        <v/>
      </c>
      <c r="C316" s="1" t="str">
        <f>IFERROR(__xludf.DUMMYFUNCTION("JOIN("". "", ARRAYFORMULA(IFERROR(LEFT(SPLIT(dados_01!C316, "" ""), 1))))"),"")</f>
        <v/>
      </c>
      <c r="D316" s="1" t="str">
        <f>dados_01!D316</f>
        <v/>
      </c>
      <c r="E316" s="1" t="str">
        <f>CONCATENATE(LEFT(dados_01!E316,3),REPT("*",6),RIGHT(dados_01!E316,2))</f>
        <v>******</v>
      </c>
      <c r="F316" s="1" t="str">
        <f>dados_01!F316</f>
        <v/>
      </c>
      <c r="G316" s="1" t="str">
        <f>dados_01!G316</f>
        <v/>
      </c>
      <c r="H316" s="1" t="str">
        <f>dados_01!H316</f>
        <v/>
      </c>
      <c r="I316" s="1" t="str">
        <f>dados_01!I316</f>
        <v/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 t="str">
        <f>dados_01!A317</f>
        <v/>
      </c>
      <c r="B317" s="1" t="str">
        <f>dados_01!B317</f>
        <v/>
      </c>
      <c r="C317" s="1" t="str">
        <f>IFERROR(__xludf.DUMMYFUNCTION("JOIN("". "", ARRAYFORMULA(IFERROR(LEFT(SPLIT(dados_01!C317, "" ""), 1))))"),"")</f>
        <v/>
      </c>
      <c r="D317" s="1" t="str">
        <f>dados_01!D317</f>
        <v/>
      </c>
      <c r="E317" s="1" t="str">
        <f>CONCATENATE(LEFT(dados_01!E317,3),REPT("*",6),RIGHT(dados_01!E317,2))</f>
        <v>******</v>
      </c>
      <c r="F317" s="1" t="str">
        <f>dados_01!F317</f>
        <v/>
      </c>
      <c r="G317" s="1" t="str">
        <f>dados_01!G317</f>
        <v/>
      </c>
      <c r="H317" s="1" t="str">
        <f>dados_01!H317</f>
        <v/>
      </c>
      <c r="I317" s="1" t="str">
        <f>dados_01!I317</f>
        <v/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 t="str">
        <f>dados_01!A318</f>
        <v/>
      </c>
      <c r="B318" s="1" t="str">
        <f>dados_01!B318</f>
        <v/>
      </c>
      <c r="C318" s="1" t="str">
        <f>IFERROR(__xludf.DUMMYFUNCTION("JOIN("". "", ARRAYFORMULA(IFERROR(LEFT(SPLIT(dados_01!C318, "" ""), 1))))"),"")</f>
        <v/>
      </c>
      <c r="D318" s="1" t="str">
        <f>dados_01!D318</f>
        <v/>
      </c>
      <c r="E318" s="1" t="str">
        <f>CONCATENATE(LEFT(dados_01!E318,3),REPT("*",6),RIGHT(dados_01!E318,2))</f>
        <v>******</v>
      </c>
      <c r="F318" s="1" t="str">
        <f>dados_01!F318</f>
        <v/>
      </c>
      <c r="G318" s="1" t="str">
        <f>dados_01!G318</f>
        <v/>
      </c>
      <c r="H318" s="1" t="str">
        <f>dados_01!H318</f>
        <v/>
      </c>
      <c r="I318" s="1" t="str">
        <f>dados_01!I318</f>
        <v/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 t="str">
        <f>dados_01!A319</f>
        <v/>
      </c>
      <c r="B319" s="1" t="str">
        <f>dados_01!B319</f>
        <v/>
      </c>
      <c r="C319" s="1" t="str">
        <f>IFERROR(__xludf.DUMMYFUNCTION("JOIN("". "", ARRAYFORMULA(IFERROR(LEFT(SPLIT(dados_01!C319, "" ""), 1))))"),"")</f>
        <v/>
      </c>
      <c r="D319" s="1" t="str">
        <f>dados_01!D319</f>
        <v/>
      </c>
      <c r="E319" s="1" t="str">
        <f>CONCATENATE(LEFT(dados_01!E319,3),REPT("*",6),RIGHT(dados_01!E319,2))</f>
        <v>******</v>
      </c>
      <c r="F319" s="1" t="str">
        <f>dados_01!F319</f>
        <v/>
      </c>
      <c r="G319" s="1" t="str">
        <f>dados_01!G319</f>
        <v/>
      </c>
      <c r="H319" s="1" t="str">
        <f>dados_01!H319</f>
        <v/>
      </c>
      <c r="I319" s="1" t="str">
        <f>dados_01!I319</f>
        <v/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 t="str">
        <f>dados_01!A320</f>
        <v/>
      </c>
      <c r="B320" s="1" t="str">
        <f>dados_01!B320</f>
        <v/>
      </c>
      <c r="C320" s="1" t="str">
        <f>IFERROR(__xludf.DUMMYFUNCTION("JOIN("". "", ARRAYFORMULA(IFERROR(LEFT(SPLIT(dados_01!C320, "" ""), 1))))"),"")</f>
        <v/>
      </c>
      <c r="D320" s="1" t="str">
        <f>dados_01!D320</f>
        <v/>
      </c>
      <c r="E320" s="1" t="str">
        <f>CONCATENATE(LEFT(dados_01!E320,3),REPT("*",6),RIGHT(dados_01!E320,2))</f>
        <v>******</v>
      </c>
      <c r="F320" s="1" t="str">
        <f>dados_01!F320</f>
        <v/>
      </c>
      <c r="G320" s="1" t="str">
        <f>dados_01!G320</f>
        <v/>
      </c>
      <c r="H320" s="1" t="str">
        <f>dados_01!H320</f>
        <v/>
      </c>
      <c r="I320" s="1" t="str">
        <f>dados_01!I320</f>
        <v/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 t="str">
        <f>dados_01!A321</f>
        <v/>
      </c>
      <c r="B321" s="1" t="str">
        <f>dados_01!B321</f>
        <v/>
      </c>
      <c r="C321" s="1" t="str">
        <f>IFERROR(__xludf.DUMMYFUNCTION("JOIN("". "", ARRAYFORMULA(IFERROR(LEFT(SPLIT(dados_01!C321, "" ""), 1))))"),"")</f>
        <v/>
      </c>
      <c r="D321" s="1" t="str">
        <f>dados_01!D321</f>
        <v/>
      </c>
      <c r="E321" s="1" t="str">
        <f>CONCATENATE(LEFT(dados_01!E321,3),REPT("*",6),RIGHT(dados_01!E321,2))</f>
        <v>******</v>
      </c>
      <c r="F321" s="1" t="str">
        <f>dados_01!F321</f>
        <v/>
      </c>
      <c r="G321" s="1" t="str">
        <f>dados_01!G321</f>
        <v/>
      </c>
      <c r="H321" s="1" t="str">
        <f>dados_01!H321</f>
        <v/>
      </c>
      <c r="I321" s="1" t="str">
        <f>dados_01!I321</f>
        <v/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 t="str">
        <f>dados_01!A322</f>
        <v/>
      </c>
      <c r="B322" s="1" t="str">
        <f>dados_01!B322</f>
        <v/>
      </c>
      <c r="C322" s="1" t="str">
        <f>IFERROR(__xludf.DUMMYFUNCTION("JOIN("". "", ARRAYFORMULA(IFERROR(LEFT(SPLIT(dados_01!C322, "" ""), 1))))"),"")</f>
        <v/>
      </c>
      <c r="D322" s="1" t="str">
        <f>dados_01!D322</f>
        <v/>
      </c>
      <c r="E322" s="1" t="str">
        <f>CONCATENATE(LEFT(dados_01!E322,3),REPT("*",6),RIGHT(dados_01!E322,2))</f>
        <v>******</v>
      </c>
      <c r="F322" s="1" t="str">
        <f>dados_01!F322</f>
        <v/>
      </c>
      <c r="G322" s="1" t="str">
        <f>dados_01!G322</f>
        <v/>
      </c>
      <c r="H322" s="1" t="str">
        <f>dados_01!H322</f>
        <v/>
      </c>
      <c r="I322" s="1" t="str">
        <f>dados_01!I322</f>
        <v/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 t="str">
        <f>dados_01!A323</f>
        <v/>
      </c>
      <c r="B323" s="1" t="str">
        <f>dados_01!B323</f>
        <v/>
      </c>
      <c r="C323" s="1" t="str">
        <f>IFERROR(__xludf.DUMMYFUNCTION("JOIN("". "", ARRAYFORMULA(IFERROR(LEFT(SPLIT(dados_01!C323, "" ""), 1))))"),"")</f>
        <v/>
      </c>
      <c r="D323" s="1" t="str">
        <f>dados_01!D323</f>
        <v/>
      </c>
      <c r="E323" s="1" t="str">
        <f>CONCATENATE(LEFT(dados_01!E323,3),REPT("*",6),RIGHT(dados_01!E323,2))</f>
        <v>******</v>
      </c>
      <c r="F323" s="1" t="str">
        <f>dados_01!F323</f>
        <v/>
      </c>
      <c r="G323" s="1" t="str">
        <f>dados_01!G323</f>
        <v/>
      </c>
      <c r="H323" s="1" t="str">
        <f>dados_01!H323</f>
        <v/>
      </c>
      <c r="I323" s="1" t="str">
        <f>dados_01!I323</f>
        <v/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 t="str">
        <f>dados_01!A324</f>
        <v/>
      </c>
      <c r="B324" s="1" t="str">
        <f>dados_01!B324</f>
        <v/>
      </c>
      <c r="C324" s="1" t="str">
        <f>IFERROR(__xludf.DUMMYFUNCTION("JOIN("". "", ARRAYFORMULA(IFERROR(LEFT(SPLIT(dados_01!C324, "" ""), 1))))"),"")</f>
        <v/>
      </c>
      <c r="D324" s="1" t="str">
        <f>dados_01!D324</f>
        <v/>
      </c>
      <c r="E324" s="1" t="str">
        <f>CONCATENATE(LEFT(dados_01!E324,3),REPT("*",6),RIGHT(dados_01!E324,2))</f>
        <v>******</v>
      </c>
      <c r="F324" s="1" t="str">
        <f>dados_01!F324</f>
        <v/>
      </c>
      <c r="G324" s="1" t="str">
        <f>dados_01!G324</f>
        <v/>
      </c>
      <c r="H324" s="1" t="str">
        <f>dados_01!H324</f>
        <v/>
      </c>
      <c r="I324" s="1" t="str">
        <f>dados_01!I324</f>
        <v/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 t="str">
        <f>dados_01!A325</f>
        <v/>
      </c>
      <c r="B325" s="1" t="str">
        <f>dados_01!B325</f>
        <v/>
      </c>
      <c r="C325" s="1" t="str">
        <f>IFERROR(__xludf.DUMMYFUNCTION("JOIN("". "", ARRAYFORMULA(IFERROR(LEFT(SPLIT(dados_01!C325, "" ""), 1))))"),"")</f>
        <v/>
      </c>
      <c r="D325" s="1" t="str">
        <f>dados_01!D325</f>
        <v/>
      </c>
      <c r="E325" s="1" t="str">
        <f>CONCATENATE(LEFT(dados_01!E325,3),REPT("*",6),RIGHT(dados_01!E325,2))</f>
        <v>******</v>
      </c>
      <c r="F325" s="1" t="str">
        <f>dados_01!F325</f>
        <v/>
      </c>
      <c r="G325" s="1" t="str">
        <f>dados_01!G325</f>
        <v/>
      </c>
      <c r="H325" s="1" t="str">
        <f>dados_01!H325</f>
        <v/>
      </c>
      <c r="I325" s="1" t="str">
        <f>dados_01!I325</f>
        <v/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 t="str">
        <f>dados_01!A326</f>
        <v/>
      </c>
      <c r="B326" s="1" t="str">
        <f>dados_01!B326</f>
        <v/>
      </c>
      <c r="C326" s="1" t="str">
        <f>IFERROR(__xludf.DUMMYFUNCTION("JOIN("". "", ARRAYFORMULA(IFERROR(LEFT(SPLIT(dados_01!C326, "" ""), 1))))"),"")</f>
        <v/>
      </c>
      <c r="D326" s="1" t="str">
        <f>dados_01!D326</f>
        <v/>
      </c>
      <c r="E326" s="1" t="str">
        <f>CONCATENATE(LEFT(dados_01!E326,3),REPT("*",6),RIGHT(dados_01!E326,2))</f>
        <v>******</v>
      </c>
      <c r="F326" s="1" t="str">
        <f>dados_01!F326</f>
        <v/>
      </c>
      <c r="G326" s="1" t="str">
        <f>dados_01!G326</f>
        <v/>
      </c>
      <c r="H326" s="1" t="str">
        <f>dados_01!H326</f>
        <v/>
      </c>
      <c r="I326" s="1" t="str">
        <f>dados_01!I326</f>
        <v/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 t="str">
        <f>dados_01!A327</f>
        <v/>
      </c>
      <c r="B327" s="1" t="str">
        <f>dados_01!B327</f>
        <v/>
      </c>
      <c r="C327" s="1" t="str">
        <f>IFERROR(__xludf.DUMMYFUNCTION("JOIN("". "", ARRAYFORMULA(IFERROR(LEFT(SPLIT(dados_01!C327, "" ""), 1))))"),"")</f>
        <v/>
      </c>
      <c r="D327" s="1" t="str">
        <f>dados_01!D327</f>
        <v/>
      </c>
      <c r="E327" s="1" t="str">
        <f>CONCATENATE(LEFT(dados_01!E327,3),REPT("*",6),RIGHT(dados_01!E327,2))</f>
        <v>******</v>
      </c>
      <c r="F327" s="1" t="str">
        <f>dados_01!F327</f>
        <v/>
      </c>
      <c r="G327" s="1" t="str">
        <f>dados_01!G327</f>
        <v/>
      </c>
      <c r="H327" s="1" t="str">
        <f>dados_01!H327</f>
        <v/>
      </c>
      <c r="I327" s="1" t="str">
        <f>dados_01!I327</f>
        <v/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 t="str">
        <f>dados_01!A328</f>
        <v/>
      </c>
      <c r="B328" s="1" t="str">
        <f>dados_01!B328</f>
        <v/>
      </c>
      <c r="C328" s="1" t="str">
        <f>IFERROR(__xludf.DUMMYFUNCTION("JOIN("". "", ARRAYFORMULA(IFERROR(LEFT(SPLIT(dados_01!C328, "" ""), 1))))"),"")</f>
        <v/>
      </c>
      <c r="D328" s="1" t="str">
        <f>dados_01!D328</f>
        <v/>
      </c>
      <c r="E328" s="1" t="str">
        <f>CONCATENATE(LEFT(dados_01!E328,3),REPT("*",6),RIGHT(dados_01!E328,2))</f>
        <v>******</v>
      </c>
      <c r="F328" s="1" t="str">
        <f>dados_01!F328</f>
        <v/>
      </c>
      <c r="G328" s="1" t="str">
        <f>dados_01!G328</f>
        <v/>
      </c>
      <c r="H328" s="1" t="str">
        <f>dados_01!H328</f>
        <v/>
      </c>
      <c r="I328" s="1" t="str">
        <f>dados_01!I328</f>
        <v/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 t="str">
        <f>dados_01!A329</f>
        <v/>
      </c>
      <c r="B329" s="1" t="str">
        <f>dados_01!B329</f>
        <v/>
      </c>
      <c r="C329" s="1" t="str">
        <f>IFERROR(__xludf.DUMMYFUNCTION("JOIN("". "", ARRAYFORMULA(IFERROR(LEFT(SPLIT(dados_01!C329, "" ""), 1))))"),"")</f>
        <v/>
      </c>
      <c r="D329" s="1" t="str">
        <f>dados_01!D329</f>
        <v/>
      </c>
      <c r="E329" s="1" t="str">
        <f>CONCATENATE(LEFT(dados_01!E329,3),REPT("*",6),RIGHT(dados_01!E329,2))</f>
        <v>******</v>
      </c>
      <c r="F329" s="1" t="str">
        <f>dados_01!F329</f>
        <v/>
      </c>
      <c r="G329" s="1" t="str">
        <f>dados_01!G329</f>
        <v/>
      </c>
      <c r="H329" s="1" t="str">
        <f>dados_01!H329</f>
        <v/>
      </c>
      <c r="I329" s="1" t="str">
        <f>dados_01!I329</f>
        <v/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 t="str">
        <f>dados_01!A330</f>
        <v/>
      </c>
      <c r="B330" s="1" t="str">
        <f>dados_01!B330</f>
        <v/>
      </c>
      <c r="C330" s="1" t="str">
        <f>IFERROR(__xludf.DUMMYFUNCTION("JOIN("". "", ARRAYFORMULA(IFERROR(LEFT(SPLIT(dados_01!C330, "" ""), 1))))"),"")</f>
        <v/>
      </c>
      <c r="D330" s="1" t="str">
        <f>dados_01!D330</f>
        <v/>
      </c>
      <c r="E330" s="1" t="str">
        <f>CONCATENATE(LEFT(dados_01!E330,3),REPT("*",6),RIGHT(dados_01!E330,2))</f>
        <v>******</v>
      </c>
      <c r="F330" s="1" t="str">
        <f>dados_01!F330</f>
        <v/>
      </c>
      <c r="G330" s="1" t="str">
        <f>dados_01!G330</f>
        <v/>
      </c>
      <c r="H330" s="1" t="str">
        <f>dados_01!H330</f>
        <v/>
      </c>
      <c r="I330" s="1" t="str">
        <f>dados_01!I330</f>
        <v/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 t="str">
        <f>dados_01!A331</f>
        <v/>
      </c>
      <c r="B331" s="1" t="str">
        <f>dados_01!B331</f>
        <v/>
      </c>
      <c r="C331" s="1" t="str">
        <f>IFERROR(__xludf.DUMMYFUNCTION("JOIN("". "", ARRAYFORMULA(IFERROR(LEFT(SPLIT(dados_01!C331, "" ""), 1))))"),"")</f>
        <v/>
      </c>
      <c r="D331" s="1" t="str">
        <f>dados_01!D331</f>
        <v/>
      </c>
      <c r="E331" s="1" t="str">
        <f>CONCATENATE(LEFT(dados_01!E331,3),REPT("*",6),RIGHT(dados_01!E331,2))</f>
        <v>******</v>
      </c>
      <c r="F331" s="1" t="str">
        <f>dados_01!F331</f>
        <v/>
      </c>
      <c r="G331" s="1" t="str">
        <f>dados_01!G331</f>
        <v/>
      </c>
      <c r="H331" s="1" t="str">
        <f>dados_01!H331</f>
        <v/>
      </c>
      <c r="I331" s="1" t="str">
        <f>dados_01!I331</f>
        <v/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 t="str">
        <f>dados_01!A332</f>
        <v/>
      </c>
      <c r="B332" s="1" t="str">
        <f>dados_01!B332</f>
        <v/>
      </c>
      <c r="C332" s="1" t="str">
        <f>IFERROR(__xludf.DUMMYFUNCTION("JOIN("". "", ARRAYFORMULA(IFERROR(LEFT(SPLIT(dados_01!C332, "" ""), 1))))"),"")</f>
        <v/>
      </c>
      <c r="D332" s="1" t="str">
        <f>dados_01!D332</f>
        <v/>
      </c>
      <c r="E332" s="1" t="str">
        <f>CONCATENATE(LEFT(dados_01!E332,3),REPT("*",6),RIGHT(dados_01!E332,2))</f>
        <v>******</v>
      </c>
      <c r="F332" s="1" t="str">
        <f>dados_01!F332</f>
        <v/>
      </c>
      <c r="G332" s="1" t="str">
        <f>dados_01!G332</f>
        <v/>
      </c>
      <c r="H332" s="1" t="str">
        <f>dados_01!H332</f>
        <v/>
      </c>
      <c r="I332" s="1" t="str">
        <f>dados_01!I332</f>
        <v/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 t="str">
        <f>dados_01!A333</f>
        <v/>
      </c>
      <c r="B333" s="1" t="str">
        <f>dados_01!B333</f>
        <v/>
      </c>
      <c r="C333" s="1" t="str">
        <f>IFERROR(__xludf.DUMMYFUNCTION("JOIN("". "", ARRAYFORMULA(IFERROR(LEFT(SPLIT(dados_01!C333, "" ""), 1))))"),"")</f>
        <v/>
      </c>
      <c r="D333" s="1" t="str">
        <f>dados_01!D333</f>
        <v/>
      </c>
      <c r="E333" s="1" t="str">
        <f>CONCATENATE(LEFT(dados_01!E333,3),REPT("*",6),RIGHT(dados_01!E333,2))</f>
        <v>******</v>
      </c>
      <c r="F333" s="1" t="str">
        <f>dados_01!F333</f>
        <v/>
      </c>
      <c r="G333" s="1" t="str">
        <f>dados_01!G333</f>
        <v/>
      </c>
      <c r="H333" s="1" t="str">
        <f>dados_01!H333</f>
        <v/>
      </c>
      <c r="I333" s="1" t="str">
        <f>dados_01!I333</f>
        <v/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 t="str">
        <f>dados_01!A334</f>
        <v/>
      </c>
      <c r="B334" s="1" t="str">
        <f>dados_01!B334</f>
        <v/>
      </c>
      <c r="C334" s="1" t="str">
        <f>IFERROR(__xludf.DUMMYFUNCTION("JOIN("". "", ARRAYFORMULA(IFERROR(LEFT(SPLIT(dados_01!C334, "" ""), 1))))"),"")</f>
        <v/>
      </c>
      <c r="D334" s="1" t="str">
        <f>dados_01!D334</f>
        <v/>
      </c>
      <c r="E334" s="1" t="str">
        <f>CONCATENATE(LEFT(dados_01!E334,3),REPT("*",6),RIGHT(dados_01!E334,2))</f>
        <v>******</v>
      </c>
      <c r="F334" s="1" t="str">
        <f>dados_01!F334</f>
        <v/>
      </c>
      <c r="G334" s="1" t="str">
        <f>dados_01!G334</f>
        <v/>
      </c>
      <c r="H334" s="1" t="str">
        <f>dados_01!H334</f>
        <v/>
      </c>
      <c r="I334" s="1" t="str">
        <f>dados_01!I334</f>
        <v/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 t="str">
        <f>dados_01!A335</f>
        <v/>
      </c>
      <c r="B335" s="1" t="str">
        <f>dados_01!B335</f>
        <v/>
      </c>
      <c r="C335" s="1" t="str">
        <f>IFERROR(__xludf.DUMMYFUNCTION("JOIN("". "", ARRAYFORMULA(IFERROR(LEFT(SPLIT(dados_01!C335, "" ""), 1))))"),"")</f>
        <v/>
      </c>
      <c r="D335" s="1" t="str">
        <f>dados_01!D335</f>
        <v/>
      </c>
      <c r="E335" s="1" t="str">
        <f>CONCATENATE(LEFT(dados_01!E335,3),REPT("*",6),RIGHT(dados_01!E335,2))</f>
        <v>******</v>
      </c>
      <c r="F335" s="1" t="str">
        <f>dados_01!F335</f>
        <v/>
      </c>
      <c r="G335" s="1" t="str">
        <f>dados_01!G335</f>
        <v/>
      </c>
      <c r="H335" s="1" t="str">
        <f>dados_01!H335</f>
        <v/>
      </c>
      <c r="I335" s="1" t="str">
        <f>dados_01!I335</f>
        <v/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 t="str">
        <f>dados_01!A336</f>
        <v/>
      </c>
      <c r="B336" s="1" t="str">
        <f>dados_01!B336</f>
        <v/>
      </c>
      <c r="C336" s="1" t="str">
        <f>IFERROR(__xludf.DUMMYFUNCTION("JOIN("". "", ARRAYFORMULA(IFERROR(LEFT(SPLIT(dados_01!C336, "" ""), 1))))"),"")</f>
        <v/>
      </c>
      <c r="D336" s="1" t="str">
        <f>dados_01!D336</f>
        <v/>
      </c>
      <c r="E336" s="1" t="str">
        <f>CONCATENATE(LEFT(dados_01!E336,3),REPT("*",6),RIGHT(dados_01!E336,2))</f>
        <v>******</v>
      </c>
      <c r="F336" s="1" t="str">
        <f>dados_01!F336</f>
        <v/>
      </c>
      <c r="G336" s="1" t="str">
        <f>dados_01!G336</f>
        <v/>
      </c>
      <c r="H336" s="1" t="str">
        <f>dados_01!H336</f>
        <v/>
      </c>
      <c r="I336" s="1" t="str">
        <f>dados_01!I336</f>
        <v/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 t="str">
        <f>dados_01!A337</f>
        <v/>
      </c>
      <c r="B337" s="1" t="str">
        <f>dados_01!B337</f>
        <v/>
      </c>
      <c r="C337" s="1" t="str">
        <f>IFERROR(__xludf.DUMMYFUNCTION("JOIN("". "", ARRAYFORMULA(IFERROR(LEFT(SPLIT(dados_01!C337, "" ""), 1))))"),"")</f>
        <v/>
      </c>
      <c r="D337" s="1" t="str">
        <f>dados_01!D337</f>
        <v/>
      </c>
      <c r="E337" s="1" t="str">
        <f>CONCATENATE(LEFT(dados_01!E337,3),REPT("*",6),RIGHT(dados_01!E337,2))</f>
        <v>******</v>
      </c>
      <c r="F337" s="1" t="str">
        <f>dados_01!F337</f>
        <v/>
      </c>
      <c r="G337" s="1" t="str">
        <f>dados_01!G337</f>
        <v/>
      </c>
      <c r="H337" s="1" t="str">
        <f>dados_01!H337</f>
        <v/>
      </c>
      <c r="I337" s="1" t="str">
        <f>dados_01!I337</f>
        <v/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 t="str">
        <f>dados_01!A338</f>
        <v/>
      </c>
      <c r="B338" s="1" t="str">
        <f>dados_01!B338</f>
        <v/>
      </c>
      <c r="C338" s="1" t="str">
        <f>IFERROR(__xludf.DUMMYFUNCTION("JOIN("". "", ARRAYFORMULA(IFERROR(LEFT(SPLIT(dados_01!C338, "" ""), 1))))"),"")</f>
        <v/>
      </c>
      <c r="D338" s="1" t="str">
        <f>dados_01!D338</f>
        <v/>
      </c>
      <c r="E338" s="1" t="str">
        <f>CONCATENATE(LEFT(dados_01!E338,3),REPT("*",6),RIGHT(dados_01!E338,2))</f>
        <v>******</v>
      </c>
      <c r="F338" s="1" t="str">
        <f>dados_01!F338</f>
        <v/>
      </c>
      <c r="G338" s="1" t="str">
        <f>dados_01!G338</f>
        <v/>
      </c>
      <c r="H338" s="1" t="str">
        <f>dados_01!H338</f>
        <v/>
      </c>
      <c r="I338" s="1" t="str">
        <f>dados_01!I338</f>
        <v/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 t="str">
        <f>dados_01!A339</f>
        <v/>
      </c>
      <c r="B339" s="1" t="str">
        <f>dados_01!B339</f>
        <v/>
      </c>
      <c r="C339" s="1" t="str">
        <f>IFERROR(__xludf.DUMMYFUNCTION("JOIN("". "", ARRAYFORMULA(IFERROR(LEFT(SPLIT(dados_01!C339, "" ""), 1))))"),"")</f>
        <v/>
      </c>
      <c r="D339" s="1" t="str">
        <f>dados_01!D339</f>
        <v/>
      </c>
      <c r="E339" s="1" t="str">
        <f>CONCATENATE(LEFT(dados_01!E339,3),REPT("*",6),RIGHT(dados_01!E339,2))</f>
        <v>******</v>
      </c>
      <c r="F339" s="1" t="str">
        <f>dados_01!F339</f>
        <v/>
      </c>
      <c r="G339" s="1" t="str">
        <f>dados_01!G339</f>
        <v/>
      </c>
      <c r="H339" s="1" t="str">
        <f>dados_01!H339</f>
        <v/>
      </c>
      <c r="I339" s="1" t="str">
        <f>dados_01!I339</f>
        <v/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 t="str">
        <f>dados_01!A340</f>
        <v/>
      </c>
      <c r="B340" s="1" t="str">
        <f>dados_01!B340</f>
        <v/>
      </c>
      <c r="C340" s="1" t="str">
        <f>IFERROR(__xludf.DUMMYFUNCTION("JOIN("". "", ARRAYFORMULA(IFERROR(LEFT(SPLIT(dados_01!C340, "" ""), 1))))"),"")</f>
        <v/>
      </c>
      <c r="D340" s="1" t="str">
        <f>dados_01!D340</f>
        <v/>
      </c>
      <c r="E340" s="1" t="str">
        <f>CONCATENATE(LEFT(dados_01!E340,3),REPT("*",6),RIGHT(dados_01!E340,2))</f>
        <v>******</v>
      </c>
      <c r="F340" s="1" t="str">
        <f>dados_01!F340</f>
        <v/>
      </c>
      <c r="G340" s="1" t="str">
        <f>dados_01!G340</f>
        <v/>
      </c>
      <c r="H340" s="1" t="str">
        <f>dados_01!H340</f>
        <v/>
      </c>
      <c r="I340" s="1" t="str">
        <f>dados_01!I340</f>
        <v/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 t="str">
        <f>dados_01!A341</f>
        <v/>
      </c>
      <c r="B341" s="1" t="str">
        <f>dados_01!B341</f>
        <v/>
      </c>
      <c r="C341" s="1" t="str">
        <f>IFERROR(__xludf.DUMMYFUNCTION("JOIN("". "", ARRAYFORMULA(IFERROR(LEFT(SPLIT(dados_01!C341, "" ""), 1))))"),"")</f>
        <v/>
      </c>
      <c r="D341" s="1" t="str">
        <f>dados_01!D341</f>
        <v/>
      </c>
      <c r="E341" s="1" t="str">
        <f>CONCATENATE(LEFT(dados_01!E341,3),REPT("*",6),RIGHT(dados_01!E341,2))</f>
        <v>******</v>
      </c>
      <c r="F341" s="1" t="str">
        <f>dados_01!F341</f>
        <v/>
      </c>
      <c r="G341" s="1" t="str">
        <f>dados_01!G341</f>
        <v/>
      </c>
      <c r="H341" s="1" t="str">
        <f>dados_01!H341</f>
        <v/>
      </c>
      <c r="I341" s="1" t="str">
        <f>dados_01!I341</f>
        <v/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 t="str">
        <f>dados_01!A342</f>
        <v/>
      </c>
      <c r="B342" s="1" t="str">
        <f>dados_01!B342</f>
        <v/>
      </c>
      <c r="C342" s="1" t="str">
        <f>IFERROR(__xludf.DUMMYFUNCTION("JOIN("". "", ARRAYFORMULA(IFERROR(LEFT(SPLIT(dados_01!C342, "" ""), 1))))"),"")</f>
        <v/>
      </c>
      <c r="D342" s="1" t="str">
        <f>dados_01!D342</f>
        <v/>
      </c>
      <c r="E342" s="1" t="str">
        <f>CONCATENATE(LEFT(dados_01!E342,3),REPT("*",6),RIGHT(dados_01!E342,2))</f>
        <v>******</v>
      </c>
      <c r="F342" s="1" t="str">
        <f>dados_01!F342</f>
        <v/>
      </c>
      <c r="G342" s="1" t="str">
        <f>dados_01!G342</f>
        <v/>
      </c>
      <c r="H342" s="1" t="str">
        <f>dados_01!H342</f>
        <v/>
      </c>
      <c r="I342" s="1" t="str">
        <f>dados_01!I342</f>
        <v/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 t="str">
        <f>dados_01!A343</f>
        <v/>
      </c>
      <c r="B343" s="1" t="str">
        <f>dados_01!B343</f>
        <v/>
      </c>
      <c r="C343" s="1" t="str">
        <f>IFERROR(__xludf.DUMMYFUNCTION("JOIN("". "", ARRAYFORMULA(IFERROR(LEFT(SPLIT(dados_01!C343, "" ""), 1))))"),"")</f>
        <v/>
      </c>
      <c r="D343" s="1" t="str">
        <f>dados_01!D343</f>
        <v/>
      </c>
      <c r="E343" s="1" t="str">
        <f>CONCATENATE(LEFT(dados_01!E343,3),REPT("*",6),RIGHT(dados_01!E343,2))</f>
        <v>******</v>
      </c>
      <c r="F343" s="1" t="str">
        <f>dados_01!F343</f>
        <v/>
      </c>
      <c r="G343" s="1" t="str">
        <f>dados_01!G343</f>
        <v/>
      </c>
      <c r="H343" s="1" t="str">
        <f>dados_01!H343</f>
        <v/>
      </c>
      <c r="I343" s="1" t="str">
        <f>dados_01!I343</f>
        <v/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 t="str">
        <f>dados_01!A344</f>
        <v/>
      </c>
      <c r="B344" s="1" t="str">
        <f>dados_01!B344</f>
        <v/>
      </c>
      <c r="C344" s="1" t="str">
        <f>IFERROR(__xludf.DUMMYFUNCTION("JOIN("". "", ARRAYFORMULA(IFERROR(LEFT(SPLIT(dados_01!C344, "" ""), 1))))"),"")</f>
        <v/>
      </c>
      <c r="D344" s="1" t="str">
        <f>dados_01!D344</f>
        <v/>
      </c>
      <c r="E344" s="1" t="str">
        <f>CONCATENATE(LEFT(dados_01!E344,3),REPT("*",6),RIGHT(dados_01!E344,2))</f>
        <v>******</v>
      </c>
      <c r="F344" s="1" t="str">
        <f>dados_01!F344</f>
        <v/>
      </c>
      <c r="G344" s="1" t="str">
        <f>dados_01!G344</f>
        <v/>
      </c>
      <c r="H344" s="1" t="str">
        <f>dados_01!H344</f>
        <v/>
      </c>
      <c r="I344" s="1" t="str">
        <f>dados_01!I344</f>
        <v/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 t="str">
        <f>dados_01!A345</f>
        <v/>
      </c>
      <c r="B345" s="1" t="str">
        <f>dados_01!B345</f>
        <v/>
      </c>
      <c r="C345" s="1" t="str">
        <f>IFERROR(__xludf.DUMMYFUNCTION("JOIN("". "", ARRAYFORMULA(IFERROR(LEFT(SPLIT(dados_01!C345, "" ""), 1))))"),"")</f>
        <v/>
      </c>
      <c r="D345" s="1" t="str">
        <f>dados_01!D345</f>
        <v/>
      </c>
      <c r="E345" s="1" t="str">
        <f>CONCATENATE(LEFT(dados_01!E345,3),REPT("*",6),RIGHT(dados_01!E345,2))</f>
        <v>******</v>
      </c>
      <c r="F345" s="1" t="str">
        <f>dados_01!F345</f>
        <v/>
      </c>
      <c r="G345" s="1" t="str">
        <f>dados_01!G345</f>
        <v/>
      </c>
      <c r="H345" s="1" t="str">
        <f>dados_01!H345</f>
        <v/>
      </c>
      <c r="I345" s="1" t="str">
        <f>dados_01!I345</f>
        <v/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 t="str">
        <f>dados_01!A346</f>
        <v/>
      </c>
      <c r="B346" s="1" t="str">
        <f>dados_01!B346</f>
        <v/>
      </c>
      <c r="C346" s="1" t="str">
        <f>IFERROR(__xludf.DUMMYFUNCTION("JOIN("". "", ARRAYFORMULA(IFERROR(LEFT(SPLIT(dados_01!C346, "" ""), 1))))"),"")</f>
        <v/>
      </c>
      <c r="D346" s="1" t="str">
        <f>dados_01!D346</f>
        <v/>
      </c>
      <c r="E346" s="1" t="str">
        <f>CONCATENATE(LEFT(dados_01!E346,3),REPT("*",6),RIGHT(dados_01!E346,2))</f>
        <v>******</v>
      </c>
      <c r="F346" s="1" t="str">
        <f>dados_01!F346</f>
        <v/>
      </c>
      <c r="G346" s="1" t="str">
        <f>dados_01!G346</f>
        <v/>
      </c>
      <c r="H346" s="1" t="str">
        <f>dados_01!H346</f>
        <v/>
      </c>
      <c r="I346" s="1" t="str">
        <f>dados_01!I346</f>
        <v/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 t="str">
        <f>dados_01!A347</f>
        <v/>
      </c>
      <c r="B347" s="1" t="str">
        <f>dados_01!B347</f>
        <v/>
      </c>
      <c r="C347" s="1" t="str">
        <f>IFERROR(__xludf.DUMMYFUNCTION("JOIN("". "", ARRAYFORMULA(IFERROR(LEFT(SPLIT(dados_01!C347, "" ""), 1))))"),"")</f>
        <v/>
      </c>
      <c r="D347" s="1" t="str">
        <f>dados_01!D347</f>
        <v/>
      </c>
      <c r="E347" s="1" t="str">
        <f>CONCATENATE(LEFT(dados_01!E347,3),REPT("*",6),RIGHT(dados_01!E347,2))</f>
        <v>******</v>
      </c>
      <c r="F347" s="1" t="str">
        <f>dados_01!F347</f>
        <v/>
      </c>
      <c r="G347" s="1" t="str">
        <f>dados_01!G347</f>
        <v/>
      </c>
      <c r="H347" s="1" t="str">
        <f>dados_01!H347</f>
        <v/>
      </c>
      <c r="I347" s="1" t="str">
        <f>dados_01!I347</f>
        <v/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 t="str">
        <f>dados_01!A348</f>
        <v/>
      </c>
      <c r="B348" s="1" t="str">
        <f>dados_01!B348</f>
        <v/>
      </c>
      <c r="C348" s="1" t="str">
        <f>IFERROR(__xludf.DUMMYFUNCTION("JOIN("". "", ARRAYFORMULA(IFERROR(LEFT(SPLIT(dados_01!C348, "" ""), 1))))"),"")</f>
        <v/>
      </c>
      <c r="D348" s="1" t="str">
        <f>dados_01!D348</f>
        <v/>
      </c>
      <c r="E348" s="1" t="str">
        <f>CONCATENATE(LEFT(dados_01!E348,3),REPT("*",6),RIGHT(dados_01!E348,2))</f>
        <v>******</v>
      </c>
      <c r="F348" s="1" t="str">
        <f>dados_01!F348</f>
        <v/>
      </c>
      <c r="G348" s="1" t="str">
        <f>dados_01!G348</f>
        <v/>
      </c>
      <c r="H348" s="1" t="str">
        <f>dados_01!H348</f>
        <v/>
      </c>
      <c r="I348" s="1" t="str">
        <f>dados_01!I348</f>
        <v/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 t="str">
        <f>dados_01!A349</f>
        <v/>
      </c>
      <c r="B349" s="1" t="str">
        <f>dados_01!B349</f>
        <v/>
      </c>
      <c r="C349" s="1" t="str">
        <f>IFERROR(__xludf.DUMMYFUNCTION("JOIN("". "", ARRAYFORMULA(IFERROR(LEFT(SPLIT(dados_01!C349, "" ""), 1))))"),"")</f>
        <v/>
      </c>
      <c r="D349" s="1" t="str">
        <f>dados_01!D349</f>
        <v/>
      </c>
      <c r="E349" s="1" t="str">
        <f>CONCATENATE(LEFT(dados_01!E349,3),REPT("*",6),RIGHT(dados_01!E349,2))</f>
        <v>******</v>
      </c>
      <c r="F349" s="1" t="str">
        <f>dados_01!F349</f>
        <v/>
      </c>
      <c r="G349" s="1" t="str">
        <f>dados_01!G349</f>
        <v/>
      </c>
      <c r="H349" s="1" t="str">
        <f>dados_01!H349</f>
        <v/>
      </c>
      <c r="I349" s="1" t="str">
        <f>dados_01!I349</f>
        <v/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 t="str">
        <f>dados_01!A350</f>
        <v/>
      </c>
      <c r="B350" s="1" t="str">
        <f>dados_01!B350</f>
        <v/>
      </c>
      <c r="C350" s="1" t="str">
        <f>IFERROR(__xludf.DUMMYFUNCTION("JOIN("". "", ARRAYFORMULA(IFERROR(LEFT(SPLIT(dados_01!C350, "" ""), 1))))"),"")</f>
        <v/>
      </c>
      <c r="D350" s="1" t="str">
        <f>dados_01!D350</f>
        <v/>
      </c>
      <c r="E350" s="1" t="str">
        <f>CONCATENATE(LEFT(dados_01!E350,3),REPT("*",6),RIGHT(dados_01!E350,2))</f>
        <v>******</v>
      </c>
      <c r="F350" s="1" t="str">
        <f>dados_01!F350</f>
        <v/>
      </c>
      <c r="G350" s="1" t="str">
        <f>dados_01!G350</f>
        <v/>
      </c>
      <c r="H350" s="1" t="str">
        <f>dados_01!H350</f>
        <v/>
      </c>
      <c r="I350" s="1" t="str">
        <f>dados_01!I350</f>
        <v/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 t="str">
        <f>dados_01!A351</f>
        <v/>
      </c>
      <c r="B351" s="1" t="str">
        <f>dados_01!B351</f>
        <v/>
      </c>
      <c r="C351" s="1" t="str">
        <f>IFERROR(__xludf.DUMMYFUNCTION("JOIN("". "", ARRAYFORMULA(IFERROR(LEFT(SPLIT(dados_01!C351, "" ""), 1))))"),"")</f>
        <v/>
      </c>
      <c r="D351" s="1" t="str">
        <f>dados_01!D351</f>
        <v/>
      </c>
      <c r="E351" s="1" t="str">
        <f>CONCATENATE(LEFT(dados_01!E351,3),REPT("*",6),RIGHT(dados_01!E351,2))</f>
        <v>******</v>
      </c>
      <c r="F351" s="1" t="str">
        <f>dados_01!F351</f>
        <v/>
      </c>
      <c r="G351" s="1" t="str">
        <f>dados_01!G351</f>
        <v/>
      </c>
      <c r="H351" s="1" t="str">
        <f>dados_01!H351</f>
        <v/>
      </c>
      <c r="I351" s="1" t="str">
        <f>dados_01!I351</f>
        <v/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 t="str">
        <f>dados_01!A352</f>
        <v/>
      </c>
      <c r="B352" s="1" t="str">
        <f>dados_01!B352</f>
        <v/>
      </c>
      <c r="C352" s="1" t="str">
        <f>IFERROR(__xludf.DUMMYFUNCTION("JOIN("". "", ARRAYFORMULA(IFERROR(LEFT(SPLIT(dados_01!C352, "" ""), 1))))"),"")</f>
        <v/>
      </c>
      <c r="D352" s="1" t="str">
        <f>dados_01!D352</f>
        <v/>
      </c>
      <c r="E352" s="1" t="str">
        <f>CONCATENATE(LEFT(dados_01!E352,3),REPT("*",6),RIGHT(dados_01!E352,2))</f>
        <v>******</v>
      </c>
      <c r="F352" s="1" t="str">
        <f>dados_01!F352</f>
        <v/>
      </c>
      <c r="G352" s="1" t="str">
        <f>dados_01!G352</f>
        <v/>
      </c>
      <c r="H352" s="1" t="str">
        <f>dados_01!H352</f>
        <v/>
      </c>
      <c r="I352" s="1" t="str">
        <f>dados_01!I352</f>
        <v/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 t="str">
        <f>dados_01!A353</f>
        <v/>
      </c>
      <c r="B353" s="1" t="str">
        <f>dados_01!B353</f>
        <v/>
      </c>
      <c r="C353" s="1" t="str">
        <f>IFERROR(__xludf.DUMMYFUNCTION("JOIN("". "", ARRAYFORMULA(IFERROR(LEFT(SPLIT(dados_01!C353, "" ""), 1))))"),"")</f>
        <v/>
      </c>
      <c r="D353" s="1" t="str">
        <f>dados_01!D353</f>
        <v/>
      </c>
      <c r="E353" s="1" t="str">
        <f>CONCATENATE(LEFT(dados_01!E353,3),REPT("*",6),RIGHT(dados_01!E353,2))</f>
        <v>******</v>
      </c>
      <c r="F353" s="1" t="str">
        <f>dados_01!F353</f>
        <v/>
      </c>
      <c r="G353" s="1" t="str">
        <f>dados_01!G353</f>
        <v/>
      </c>
      <c r="H353" s="1" t="str">
        <f>dados_01!H353</f>
        <v/>
      </c>
      <c r="I353" s="1" t="str">
        <f>dados_01!I353</f>
        <v/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 t="str">
        <f>dados_01!A354</f>
        <v/>
      </c>
      <c r="B354" s="1" t="str">
        <f>dados_01!B354</f>
        <v/>
      </c>
      <c r="C354" s="1" t="str">
        <f>IFERROR(__xludf.DUMMYFUNCTION("JOIN("". "", ARRAYFORMULA(IFERROR(LEFT(SPLIT(dados_01!C354, "" ""), 1))))"),"")</f>
        <v/>
      </c>
      <c r="D354" s="1" t="str">
        <f>dados_01!D354</f>
        <v/>
      </c>
      <c r="E354" s="1" t="str">
        <f>CONCATENATE(LEFT(dados_01!E354,3),REPT("*",6),RIGHT(dados_01!E354,2))</f>
        <v>******</v>
      </c>
      <c r="F354" s="1" t="str">
        <f>dados_01!F354</f>
        <v/>
      </c>
      <c r="G354" s="1" t="str">
        <f>dados_01!G354</f>
        <v/>
      </c>
      <c r="H354" s="1" t="str">
        <f>dados_01!H354</f>
        <v/>
      </c>
      <c r="I354" s="1" t="str">
        <f>dados_01!I354</f>
        <v/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 t="str">
        <f>dados_01!A355</f>
        <v/>
      </c>
      <c r="B355" s="1" t="str">
        <f>dados_01!B355</f>
        <v/>
      </c>
      <c r="C355" s="1" t="str">
        <f>IFERROR(__xludf.DUMMYFUNCTION("JOIN("". "", ARRAYFORMULA(IFERROR(LEFT(SPLIT(dados_01!C355, "" ""), 1))))"),"")</f>
        <v/>
      </c>
      <c r="D355" s="1" t="str">
        <f>dados_01!D355</f>
        <v/>
      </c>
      <c r="E355" s="1" t="str">
        <f>CONCATENATE(LEFT(dados_01!E355,3),REPT("*",6),RIGHT(dados_01!E355,2))</f>
        <v>******</v>
      </c>
      <c r="F355" s="1" t="str">
        <f>dados_01!F355</f>
        <v/>
      </c>
      <c r="G355" s="1" t="str">
        <f>dados_01!G355</f>
        <v/>
      </c>
      <c r="H355" s="1" t="str">
        <f>dados_01!H355</f>
        <v/>
      </c>
      <c r="I355" s="1" t="str">
        <f>dados_01!I355</f>
        <v/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 t="str">
        <f>dados_01!A356</f>
        <v/>
      </c>
      <c r="B356" s="1" t="str">
        <f>dados_01!B356</f>
        <v/>
      </c>
      <c r="C356" s="1" t="str">
        <f>IFERROR(__xludf.DUMMYFUNCTION("JOIN("". "", ARRAYFORMULA(IFERROR(LEFT(SPLIT(dados_01!C356, "" ""), 1))))"),"")</f>
        <v/>
      </c>
      <c r="D356" s="1" t="str">
        <f>dados_01!D356</f>
        <v/>
      </c>
      <c r="E356" s="1" t="str">
        <f>CONCATENATE(LEFT(dados_01!E356,3),REPT("*",6),RIGHT(dados_01!E356,2))</f>
        <v>******</v>
      </c>
      <c r="F356" s="1" t="str">
        <f>dados_01!F356</f>
        <v/>
      </c>
      <c r="G356" s="1" t="str">
        <f>dados_01!G356</f>
        <v/>
      </c>
      <c r="H356" s="1" t="str">
        <f>dados_01!H356</f>
        <v/>
      </c>
      <c r="I356" s="1" t="str">
        <f>dados_01!I356</f>
        <v/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 t="str">
        <f>dados_01!A357</f>
        <v/>
      </c>
      <c r="B357" s="1" t="str">
        <f>dados_01!B357</f>
        <v/>
      </c>
      <c r="C357" s="1" t="str">
        <f>IFERROR(__xludf.DUMMYFUNCTION("JOIN("". "", ARRAYFORMULA(IFERROR(LEFT(SPLIT(dados_01!C357, "" ""), 1))))"),"")</f>
        <v/>
      </c>
      <c r="D357" s="1" t="str">
        <f>dados_01!D357</f>
        <v/>
      </c>
      <c r="E357" s="1" t="str">
        <f>CONCATENATE(LEFT(dados_01!E357,3),REPT("*",6),RIGHT(dados_01!E357,2))</f>
        <v>******</v>
      </c>
      <c r="F357" s="1" t="str">
        <f>dados_01!F357</f>
        <v/>
      </c>
      <c r="G357" s="1" t="str">
        <f>dados_01!G357</f>
        <v/>
      </c>
      <c r="H357" s="1" t="str">
        <f>dados_01!H357</f>
        <v/>
      </c>
      <c r="I357" s="1" t="str">
        <f>dados_01!I357</f>
        <v/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 t="str">
        <f>dados_01!A358</f>
        <v/>
      </c>
      <c r="B358" s="1" t="str">
        <f>dados_01!B358</f>
        <v/>
      </c>
      <c r="C358" s="1" t="str">
        <f>IFERROR(__xludf.DUMMYFUNCTION("JOIN("". "", ARRAYFORMULA(IFERROR(LEFT(SPLIT(dados_01!C358, "" ""), 1))))"),"")</f>
        <v/>
      </c>
      <c r="D358" s="1" t="str">
        <f>dados_01!D358</f>
        <v/>
      </c>
      <c r="E358" s="1" t="str">
        <f>CONCATENATE(LEFT(dados_01!E358,3),REPT("*",6),RIGHT(dados_01!E358,2))</f>
        <v>******</v>
      </c>
      <c r="F358" s="1" t="str">
        <f>dados_01!F358</f>
        <v/>
      </c>
      <c r="G358" s="1" t="str">
        <f>dados_01!G358</f>
        <v/>
      </c>
      <c r="H358" s="1" t="str">
        <f>dados_01!H358</f>
        <v/>
      </c>
      <c r="I358" s="1" t="str">
        <f>dados_01!I358</f>
        <v/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 t="str">
        <f>dados_01!A359</f>
        <v/>
      </c>
      <c r="B359" s="1" t="str">
        <f>dados_01!B359</f>
        <v/>
      </c>
      <c r="C359" s="1" t="str">
        <f>IFERROR(__xludf.DUMMYFUNCTION("JOIN("". "", ARRAYFORMULA(IFERROR(LEFT(SPLIT(dados_01!C359, "" ""), 1))))"),"")</f>
        <v/>
      </c>
      <c r="D359" s="1" t="str">
        <f>dados_01!D359</f>
        <v/>
      </c>
      <c r="E359" s="1" t="str">
        <f>CONCATENATE(LEFT(dados_01!E359,3),REPT("*",6),RIGHT(dados_01!E359,2))</f>
        <v>******</v>
      </c>
      <c r="F359" s="1" t="str">
        <f>dados_01!F359</f>
        <v/>
      </c>
      <c r="G359" s="1" t="str">
        <f>dados_01!G359</f>
        <v/>
      </c>
      <c r="H359" s="1" t="str">
        <f>dados_01!H359</f>
        <v/>
      </c>
      <c r="I359" s="1" t="str">
        <f>dados_01!I359</f>
        <v/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 t="str">
        <f>dados_01!A360</f>
        <v/>
      </c>
      <c r="B360" s="1" t="str">
        <f>dados_01!B360</f>
        <v/>
      </c>
      <c r="C360" s="1" t="str">
        <f>IFERROR(__xludf.DUMMYFUNCTION("JOIN("". "", ARRAYFORMULA(IFERROR(LEFT(SPLIT(dados_01!C360, "" ""), 1))))"),"")</f>
        <v/>
      </c>
      <c r="D360" s="1" t="str">
        <f>dados_01!D360</f>
        <v/>
      </c>
      <c r="E360" s="1" t="str">
        <f>CONCATENATE(LEFT(dados_01!E360,3),REPT("*",6),RIGHT(dados_01!E360,2))</f>
        <v>******</v>
      </c>
      <c r="F360" s="1" t="str">
        <f>dados_01!F360</f>
        <v/>
      </c>
      <c r="G360" s="1" t="str">
        <f>dados_01!G360</f>
        <v/>
      </c>
      <c r="H360" s="1" t="str">
        <f>dados_01!H360</f>
        <v/>
      </c>
      <c r="I360" s="1" t="str">
        <f>dados_01!I360</f>
        <v/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 t="str">
        <f>dados_01!A361</f>
        <v/>
      </c>
      <c r="B361" s="1" t="str">
        <f>dados_01!B361</f>
        <v/>
      </c>
      <c r="C361" s="1" t="str">
        <f>IFERROR(__xludf.DUMMYFUNCTION("JOIN("". "", ARRAYFORMULA(IFERROR(LEFT(SPLIT(dados_01!C361, "" ""), 1))))"),"")</f>
        <v/>
      </c>
      <c r="D361" s="1" t="str">
        <f>dados_01!D361</f>
        <v/>
      </c>
      <c r="E361" s="1" t="str">
        <f>CONCATENATE(LEFT(dados_01!E361,3),REPT("*",6),RIGHT(dados_01!E361,2))</f>
        <v>******</v>
      </c>
      <c r="F361" s="1" t="str">
        <f>dados_01!F361</f>
        <v/>
      </c>
      <c r="G361" s="1" t="str">
        <f>dados_01!G361</f>
        <v/>
      </c>
      <c r="H361" s="1" t="str">
        <f>dados_01!H361</f>
        <v/>
      </c>
      <c r="I361" s="1" t="str">
        <f>dados_01!I361</f>
        <v/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 t="str">
        <f>dados_01!A362</f>
        <v/>
      </c>
      <c r="B362" s="1" t="str">
        <f>dados_01!B362</f>
        <v/>
      </c>
      <c r="C362" s="1" t="str">
        <f>IFERROR(__xludf.DUMMYFUNCTION("JOIN("". "", ARRAYFORMULA(IFERROR(LEFT(SPLIT(dados_01!C362, "" ""), 1))))"),"")</f>
        <v/>
      </c>
      <c r="D362" s="1" t="str">
        <f>dados_01!D362</f>
        <v/>
      </c>
      <c r="E362" s="1" t="str">
        <f>CONCATENATE(LEFT(dados_01!E362,3),REPT("*",6),RIGHT(dados_01!E362,2))</f>
        <v>******</v>
      </c>
      <c r="F362" s="1" t="str">
        <f>dados_01!F362</f>
        <v/>
      </c>
      <c r="G362" s="1" t="str">
        <f>dados_01!G362</f>
        <v/>
      </c>
      <c r="H362" s="1" t="str">
        <f>dados_01!H362</f>
        <v/>
      </c>
      <c r="I362" s="1" t="str">
        <f>dados_01!I362</f>
        <v/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 t="str">
        <f>dados_01!A363</f>
        <v/>
      </c>
      <c r="B363" s="1" t="str">
        <f>dados_01!B363</f>
        <v/>
      </c>
      <c r="C363" s="1" t="str">
        <f>IFERROR(__xludf.DUMMYFUNCTION("JOIN("". "", ARRAYFORMULA(IFERROR(LEFT(SPLIT(dados_01!C363, "" ""), 1))))"),"")</f>
        <v/>
      </c>
      <c r="D363" s="1" t="str">
        <f>dados_01!D363</f>
        <v/>
      </c>
      <c r="E363" s="1" t="str">
        <f>CONCATENATE(LEFT(dados_01!E363,3),REPT("*",6),RIGHT(dados_01!E363,2))</f>
        <v>******</v>
      </c>
      <c r="F363" s="1" t="str">
        <f>dados_01!F363</f>
        <v/>
      </c>
      <c r="G363" s="1" t="str">
        <f>dados_01!G363</f>
        <v/>
      </c>
      <c r="H363" s="1" t="str">
        <f>dados_01!H363</f>
        <v/>
      </c>
      <c r="I363" s="1" t="str">
        <f>dados_01!I363</f>
        <v/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 t="str">
        <f>dados_01!A364</f>
        <v/>
      </c>
      <c r="B364" s="1" t="str">
        <f>dados_01!B364</f>
        <v/>
      </c>
      <c r="C364" s="1" t="str">
        <f>IFERROR(__xludf.DUMMYFUNCTION("JOIN("". "", ARRAYFORMULA(IFERROR(LEFT(SPLIT(dados_01!C364, "" ""), 1))))"),"")</f>
        <v/>
      </c>
      <c r="D364" s="1" t="str">
        <f>dados_01!D364</f>
        <v/>
      </c>
      <c r="E364" s="1" t="str">
        <f>CONCATENATE(LEFT(dados_01!E364,3),REPT("*",6),RIGHT(dados_01!E364,2))</f>
        <v>******</v>
      </c>
      <c r="F364" s="1" t="str">
        <f>dados_01!F364</f>
        <v/>
      </c>
      <c r="G364" s="1" t="str">
        <f>dados_01!G364</f>
        <v/>
      </c>
      <c r="H364" s="1" t="str">
        <f>dados_01!H364</f>
        <v/>
      </c>
      <c r="I364" s="1" t="str">
        <f>dados_01!I364</f>
        <v/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 t="str">
        <f>dados_01!A365</f>
        <v/>
      </c>
      <c r="B365" s="1" t="str">
        <f>dados_01!B365</f>
        <v/>
      </c>
      <c r="C365" s="1" t="str">
        <f>IFERROR(__xludf.DUMMYFUNCTION("JOIN("". "", ARRAYFORMULA(IFERROR(LEFT(SPLIT(dados_01!C365, "" ""), 1))))"),"")</f>
        <v/>
      </c>
      <c r="D365" s="1" t="str">
        <f>dados_01!D365</f>
        <v/>
      </c>
      <c r="E365" s="1" t="str">
        <f>CONCATENATE(LEFT(dados_01!E365,3),REPT("*",6),RIGHT(dados_01!E365,2))</f>
        <v>******</v>
      </c>
      <c r="F365" s="1" t="str">
        <f>dados_01!F365</f>
        <v/>
      </c>
      <c r="G365" s="1" t="str">
        <f>dados_01!G365</f>
        <v/>
      </c>
      <c r="H365" s="1" t="str">
        <f>dados_01!H365</f>
        <v/>
      </c>
      <c r="I365" s="1" t="str">
        <f>dados_01!I365</f>
        <v/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 t="str">
        <f>dados_01!A366</f>
        <v/>
      </c>
      <c r="B366" s="1" t="str">
        <f>dados_01!B366</f>
        <v/>
      </c>
      <c r="C366" s="1" t="str">
        <f>IFERROR(__xludf.DUMMYFUNCTION("JOIN("". "", ARRAYFORMULA(IFERROR(LEFT(SPLIT(dados_01!C366, "" ""), 1))))"),"")</f>
        <v/>
      </c>
      <c r="D366" s="1" t="str">
        <f>dados_01!D366</f>
        <v/>
      </c>
      <c r="E366" s="1" t="str">
        <f>CONCATENATE(LEFT(dados_01!E366,3),REPT("*",6),RIGHT(dados_01!E366,2))</f>
        <v>******</v>
      </c>
      <c r="F366" s="1" t="str">
        <f>dados_01!F366</f>
        <v/>
      </c>
      <c r="G366" s="1" t="str">
        <f>dados_01!G366</f>
        <v/>
      </c>
      <c r="H366" s="1" t="str">
        <f>dados_01!H366</f>
        <v/>
      </c>
      <c r="I366" s="1" t="str">
        <f>dados_01!I366</f>
        <v/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 t="str">
        <f>dados_01!A367</f>
        <v/>
      </c>
      <c r="B367" s="1" t="str">
        <f>dados_01!B367</f>
        <v/>
      </c>
      <c r="C367" s="1" t="str">
        <f>IFERROR(__xludf.DUMMYFUNCTION("JOIN("". "", ARRAYFORMULA(IFERROR(LEFT(SPLIT(dados_01!C367, "" ""), 1))))"),"")</f>
        <v/>
      </c>
      <c r="D367" s="1" t="str">
        <f>dados_01!D367</f>
        <v/>
      </c>
      <c r="E367" s="1" t="str">
        <f>CONCATENATE(LEFT(dados_01!E367,3),REPT("*",6),RIGHT(dados_01!E367,2))</f>
        <v>******</v>
      </c>
      <c r="F367" s="1" t="str">
        <f>dados_01!F367</f>
        <v/>
      </c>
      <c r="G367" s="1" t="str">
        <f>dados_01!G367</f>
        <v/>
      </c>
      <c r="H367" s="1" t="str">
        <f>dados_01!H367</f>
        <v/>
      </c>
      <c r="I367" s="1" t="str">
        <f>dados_01!I367</f>
        <v/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 t="str">
        <f>dados_01!A368</f>
        <v/>
      </c>
      <c r="B368" s="1" t="str">
        <f>dados_01!B368</f>
        <v/>
      </c>
      <c r="C368" s="1" t="str">
        <f>IFERROR(__xludf.DUMMYFUNCTION("JOIN("". "", ARRAYFORMULA(IFERROR(LEFT(SPLIT(dados_01!C368, "" ""), 1))))"),"")</f>
        <v/>
      </c>
      <c r="D368" s="1" t="str">
        <f>dados_01!D368</f>
        <v/>
      </c>
      <c r="E368" s="1" t="str">
        <f>CONCATENATE(LEFT(dados_01!E368,3),REPT("*",6),RIGHT(dados_01!E368,2))</f>
        <v>******</v>
      </c>
      <c r="F368" s="1" t="str">
        <f>dados_01!F368</f>
        <v/>
      </c>
      <c r="G368" s="1" t="str">
        <f>dados_01!G368</f>
        <v/>
      </c>
      <c r="H368" s="1" t="str">
        <f>dados_01!H368</f>
        <v/>
      </c>
      <c r="I368" s="1" t="str">
        <f>dados_01!I368</f>
        <v/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 t="str">
        <f>dados_01!A369</f>
        <v/>
      </c>
      <c r="B369" s="1" t="str">
        <f>dados_01!B369</f>
        <v/>
      </c>
      <c r="C369" s="1" t="str">
        <f>IFERROR(__xludf.DUMMYFUNCTION("JOIN("". "", ARRAYFORMULA(IFERROR(LEFT(SPLIT(dados_01!C369, "" ""), 1))))"),"")</f>
        <v/>
      </c>
      <c r="D369" s="1" t="str">
        <f>dados_01!D369</f>
        <v/>
      </c>
      <c r="E369" s="1" t="str">
        <f>CONCATENATE(LEFT(dados_01!E369,3),REPT("*",6),RIGHT(dados_01!E369,2))</f>
        <v>******</v>
      </c>
      <c r="F369" s="1" t="str">
        <f>dados_01!F369</f>
        <v/>
      </c>
      <c r="G369" s="1" t="str">
        <f>dados_01!G369</f>
        <v/>
      </c>
      <c r="H369" s="1" t="str">
        <f>dados_01!H369</f>
        <v/>
      </c>
      <c r="I369" s="1" t="str">
        <f>dados_01!I369</f>
        <v/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 t="str">
        <f>dados_01!A370</f>
        <v/>
      </c>
      <c r="B370" s="1" t="str">
        <f>dados_01!B370</f>
        <v/>
      </c>
      <c r="C370" s="1" t="str">
        <f>IFERROR(__xludf.DUMMYFUNCTION("JOIN("". "", ARRAYFORMULA(IFERROR(LEFT(SPLIT(dados_01!C370, "" ""), 1))))"),"")</f>
        <v/>
      </c>
      <c r="D370" s="1" t="str">
        <f>dados_01!D370</f>
        <v/>
      </c>
      <c r="E370" s="1" t="str">
        <f>CONCATENATE(LEFT(dados_01!E370,3),REPT("*",6),RIGHT(dados_01!E370,2))</f>
        <v>******</v>
      </c>
      <c r="F370" s="1" t="str">
        <f>dados_01!F370</f>
        <v/>
      </c>
      <c r="G370" s="1" t="str">
        <f>dados_01!G370</f>
        <v/>
      </c>
      <c r="H370" s="1" t="str">
        <f>dados_01!H370</f>
        <v/>
      </c>
      <c r="I370" s="1" t="str">
        <f>dados_01!I370</f>
        <v/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 t="str">
        <f>dados_01!A371</f>
        <v/>
      </c>
      <c r="B371" s="1" t="str">
        <f>dados_01!B371</f>
        <v/>
      </c>
      <c r="C371" s="1" t="str">
        <f>IFERROR(__xludf.DUMMYFUNCTION("JOIN("". "", ARRAYFORMULA(IFERROR(LEFT(SPLIT(dados_01!C371, "" ""), 1))))"),"")</f>
        <v/>
      </c>
      <c r="D371" s="1" t="str">
        <f>dados_01!D371</f>
        <v/>
      </c>
      <c r="E371" s="1" t="str">
        <f>CONCATENATE(LEFT(dados_01!E371,3),REPT("*",6),RIGHT(dados_01!E371,2))</f>
        <v>******</v>
      </c>
      <c r="F371" s="1" t="str">
        <f>dados_01!F371</f>
        <v/>
      </c>
      <c r="G371" s="1" t="str">
        <f>dados_01!G371</f>
        <v/>
      </c>
      <c r="H371" s="1" t="str">
        <f>dados_01!H371</f>
        <v/>
      </c>
      <c r="I371" s="1" t="str">
        <f>dados_01!I371</f>
        <v/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 t="str">
        <f>dados_01!A372</f>
        <v/>
      </c>
      <c r="B372" s="1" t="str">
        <f>dados_01!B372</f>
        <v/>
      </c>
      <c r="C372" s="1" t="str">
        <f>IFERROR(__xludf.DUMMYFUNCTION("JOIN("". "", ARRAYFORMULA(IFERROR(LEFT(SPLIT(dados_01!C372, "" ""), 1))))"),"")</f>
        <v/>
      </c>
      <c r="D372" s="1" t="str">
        <f>dados_01!D372</f>
        <v/>
      </c>
      <c r="E372" s="1" t="str">
        <f>CONCATENATE(LEFT(dados_01!E372,3),REPT("*",6),RIGHT(dados_01!E372,2))</f>
        <v>******</v>
      </c>
      <c r="F372" s="1" t="str">
        <f>dados_01!F372</f>
        <v/>
      </c>
      <c r="G372" s="1" t="str">
        <f>dados_01!G372</f>
        <v/>
      </c>
      <c r="H372" s="1" t="str">
        <f>dados_01!H372</f>
        <v/>
      </c>
      <c r="I372" s="1" t="str">
        <f>dados_01!I372</f>
        <v/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 t="str">
        <f>dados_01!A373</f>
        <v/>
      </c>
      <c r="B373" s="1" t="str">
        <f>dados_01!B373</f>
        <v/>
      </c>
      <c r="C373" s="1" t="str">
        <f>IFERROR(__xludf.DUMMYFUNCTION("JOIN("". "", ARRAYFORMULA(IFERROR(LEFT(SPLIT(dados_01!C373, "" ""), 1))))"),"")</f>
        <v/>
      </c>
      <c r="D373" s="1" t="str">
        <f>dados_01!D373</f>
        <v/>
      </c>
      <c r="E373" s="1" t="str">
        <f>CONCATENATE(LEFT(dados_01!E373,3),REPT("*",6),RIGHT(dados_01!E373,2))</f>
        <v>******</v>
      </c>
      <c r="F373" s="1" t="str">
        <f>dados_01!F373</f>
        <v/>
      </c>
      <c r="G373" s="1" t="str">
        <f>dados_01!G373</f>
        <v/>
      </c>
      <c r="H373" s="1" t="str">
        <f>dados_01!H373</f>
        <v/>
      </c>
      <c r="I373" s="1" t="str">
        <f>dados_01!I373</f>
        <v/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 t="str">
        <f>dados_01!A374</f>
        <v/>
      </c>
      <c r="B374" s="1" t="str">
        <f>dados_01!B374</f>
        <v/>
      </c>
      <c r="C374" s="1" t="str">
        <f>IFERROR(__xludf.DUMMYFUNCTION("JOIN("". "", ARRAYFORMULA(IFERROR(LEFT(SPLIT(dados_01!C374, "" ""), 1))))"),"")</f>
        <v/>
      </c>
      <c r="D374" s="1" t="str">
        <f>dados_01!D374</f>
        <v/>
      </c>
      <c r="E374" s="1" t="str">
        <f>CONCATENATE(LEFT(dados_01!E374,3),REPT("*",6),RIGHT(dados_01!E374,2))</f>
        <v>******</v>
      </c>
      <c r="F374" s="1" t="str">
        <f>dados_01!F374</f>
        <v/>
      </c>
      <c r="G374" s="1" t="str">
        <f>dados_01!G374</f>
        <v/>
      </c>
      <c r="H374" s="1" t="str">
        <f>dados_01!H374</f>
        <v/>
      </c>
      <c r="I374" s="1" t="str">
        <f>dados_01!I374</f>
        <v/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 t="str">
        <f>dados_01!A375</f>
        <v/>
      </c>
      <c r="B375" s="1" t="str">
        <f>dados_01!B375</f>
        <v/>
      </c>
      <c r="C375" s="1" t="str">
        <f>IFERROR(__xludf.DUMMYFUNCTION("JOIN("". "", ARRAYFORMULA(IFERROR(LEFT(SPLIT(dados_01!C375, "" ""), 1))))"),"")</f>
        <v/>
      </c>
      <c r="D375" s="1" t="str">
        <f>dados_01!D375</f>
        <v/>
      </c>
      <c r="E375" s="1" t="str">
        <f>CONCATENATE(LEFT(dados_01!E375,3),REPT("*",6),RIGHT(dados_01!E375,2))</f>
        <v>******</v>
      </c>
      <c r="F375" s="1" t="str">
        <f>dados_01!F375</f>
        <v/>
      </c>
      <c r="G375" s="1" t="str">
        <f>dados_01!G375</f>
        <v/>
      </c>
      <c r="H375" s="1" t="str">
        <f>dados_01!H375</f>
        <v/>
      </c>
      <c r="I375" s="1" t="str">
        <f>dados_01!I375</f>
        <v/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 t="str">
        <f>dados_01!A376</f>
        <v/>
      </c>
      <c r="B376" s="1" t="str">
        <f>dados_01!B376</f>
        <v/>
      </c>
      <c r="C376" s="1" t="str">
        <f>IFERROR(__xludf.DUMMYFUNCTION("JOIN("". "", ARRAYFORMULA(IFERROR(LEFT(SPLIT(dados_01!C376, "" ""), 1))))"),"")</f>
        <v/>
      </c>
      <c r="D376" s="1" t="str">
        <f>dados_01!D376</f>
        <v/>
      </c>
      <c r="E376" s="1" t="str">
        <f>CONCATENATE(LEFT(dados_01!E376,3),REPT("*",6),RIGHT(dados_01!E376,2))</f>
        <v>******</v>
      </c>
      <c r="F376" s="1" t="str">
        <f>dados_01!F376</f>
        <v/>
      </c>
      <c r="G376" s="1" t="str">
        <f>dados_01!G376</f>
        <v/>
      </c>
      <c r="H376" s="1" t="str">
        <f>dados_01!H376</f>
        <v/>
      </c>
      <c r="I376" s="1" t="str">
        <f>dados_01!I376</f>
        <v/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 t="str">
        <f>dados_01!A377</f>
        <v/>
      </c>
      <c r="B377" s="1" t="str">
        <f>dados_01!B377</f>
        <v/>
      </c>
      <c r="C377" s="1" t="str">
        <f>IFERROR(__xludf.DUMMYFUNCTION("JOIN("". "", ARRAYFORMULA(IFERROR(LEFT(SPLIT(dados_01!C377, "" ""), 1))))"),"")</f>
        <v/>
      </c>
      <c r="D377" s="1" t="str">
        <f>dados_01!D377</f>
        <v/>
      </c>
      <c r="E377" s="1" t="str">
        <f>CONCATENATE(LEFT(dados_01!E377,3),REPT("*",6),RIGHT(dados_01!E377,2))</f>
        <v>******</v>
      </c>
      <c r="F377" s="1" t="str">
        <f>dados_01!F377</f>
        <v/>
      </c>
      <c r="G377" s="1" t="str">
        <f>dados_01!G377</f>
        <v/>
      </c>
      <c r="H377" s="1" t="str">
        <f>dados_01!H377</f>
        <v/>
      </c>
      <c r="I377" s="1" t="str">
        <f>dados_01!I377</f>
        <v/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 t="str">
        <f>dados_01!A378</f>
        <v/>
      </c>
      <c r="B378" s="1" t="str">
        <f>dados_01!B378</f>
        <v/>
      </c>
      <c r="C378" s="1" t="str">
        <f>IFERROR(__xludf.DUMMYFUNCTION("JOIN("". "", ARRAYFORMULA(IFERROR(LEFT(SPLIT(dados_01!C378, "" ""), 1))))"),"")</f>
        <v/>
      </c>
      <c r="D378" s="1" t="str">
        <f>dados_01!D378</f>
        <v/>
      </c>
      <c r="E378" s="1" t="str">
        <f>CONCATENATE(LEFT(dados_01!E378,3),REPT("*",6),RIGHT(dados_01!E378,2))</f>
        <v>******</v>
      </c>
      <c r="F378" s="1" t="str">
        <f>dados_01!F378</f>
        <v/>
      </c>
      <c r="G378" s="1" t="str">
        <f>dados_01!G378</f>
        <v/>
      </c>
      <c r="H378" s="1" t="str">
        <f>dados_01!H378</f>
        <v/>
      </c>
      <c r="I378" s="1" t="str">
        <f>dados_01!I378</f>
        <v/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 t="str">
        <f>dados_01!A379</f>
        <v/>
      </c>
      <c r="B379" s="1" t="str">
        <f>dados_01!B379</f>
        <v/>
      </c>
      <c r="C379" s="1" t="str">
        <f>IFERROR(__xludf.DUMMYFUNCTION("JOIN("". "", ARRAYFORMULA(IFERROR(LEFT(SPLIT(dados_01!C379, "" ""), 1))))"),"")</f>
        <v/>
      </c>
      <c r="D379" s="1" t="str">
        <f>dados_01!D379</f>
        <v/>
      </c>
      <c r="E379" s="1" t="str">
        <f>CONCATENATE(LEFT(dados_01!E379,3),REPT("*",6),RIGHT(dados_01!E379,2))</f>
        <v>******</v>
      </c>
      <c r="F379" s="1" t="str">
        <f>dados_01!F379</f>
        <v/>
      </c>
      <c r="G379" s="1" t="str">
        <f>dados_01!G379</f>
        <v/>
      </c>
      <c r="H379" s="1" t="str">
        <f>dados_01!H379</f>
        <v/>
      </c>
      <c r="I379" s="1" t="str">
        <f>dados_01!I379</f>
        <v/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 t="str">
        <f>dados_01!A380</f>
        <v/>
      </c>
      <c r="B380" s="1" t="str">
        <f>dados_01!B380</f>
        <v/>
      </c>
      <c r="C380" s="1" t="str">
        <f>IFERROR(__xludf.DUMMYFUNCTION("JOIN("". "", ARRAYFORMULA(IFERROR(LEFT(SPLIT(dados_01!C380, "" ""), 1))))"),"")</f>
        <v/>
      </c>
      <c r="D380" s="1" t="str">
        <f>dados_01!D380</f>
        <v/>
      </c>
      <c r="E380" s="1" t="str">
        <f>CONCATENATE(LEFT(dados_01!E380,3),REPT("*",6),RIGHT(dados_01!E380,2))</f>
        <v>******</v>
      </c>
      <c r="F380" s="1" t="str">
        <f>dados_01!F380</f>
        <v/>
      </c>
      <c r="G380" s="1" t="str">
        <f>dados_01!G380</f>
        <v/>
      </c>
      <c r="H380" s="1" t="str">
        <f>dados_01!H380</f>
        <v/>
      </c>
      <c r="I380" s="1" t="str">
        <f>dados_01!I380</f>
        <v/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 t="str">
        <f>dados_01!A381</f>
        <v/>
      </c>
      <c r="B381" s="1" t="str">
        <f>dados_01!B381</f>
        <v/>
      </c>
      <c r="C381" s="1" t="str">
        <f>IFERROR(__xludf.DUMMYFUNCTION("JOIN("". "", ARRAYFORMULA(IFERROR(LEFT(SPLIT(dados_01!C381, "" ""), 1))))"),"")</f>
        <v/>
      </c>
      <c r="D381" s="1" t="str">
        <f>dados_01!D381</f>
        <v/>
      </c>
      <c r="E381" s="1" t="str">
        <f>CONCATENATE(LEFT(dados_01!E381,3),REPT("*",6),RIGHT(dados_01!E381,2))</f>
        <v>******</v>
      </c>
      <c r="F381" s="1" t="str">
        <f>dados_01!F381</f>
        <v/>
      </c>
      <c r="G381" s="1" t="str">
        <f>dados_01!G381</f>
        <v/>
      </c>
      <c r="H381" s="1" t="str">
        <f>dados_01!H381</f>
        <v/>
      </c>
      <c r="I381" s="1" t="str">
        <f>dados_01!I381</f>
        <v/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 t="str">
        <f>dados_01!A382</f>
        <v/>
      </c>
      <c r="B382" s="1" t="str">
        <f>dados_01!B382</f>
        <v/>
      </c>
      <c r="C382" s="1" t="str">
        <f>IFERROR(__xludf.DUMMYFUNCTION("JOIN("". "", ARRAYFORMULA(IFERROR(LEFT(SPLIT(dados_01!C382, "" ""), 1))))"),"")</f>
        <v/>
      </c>
      <c r="D382" s="1" t="str">
        <f>dados_01!D382</f>
        <v/>
      </c>
      <c r="E382" s="1" t="str">
        <f>CONCATENATE(LEFT(dados_01!E382,3),REPT("*",6),RIGHT(dados_01!E382,2))</f>
        <v>******</v>
      </c>
      <c r="F382" s="1" t="str">
        <f>dados_01!F382</f>
        <v/>
      </c>
      <c r="G382" s="1" t="str">
        <f>dados_01!G382</f>
        <v/>
      </c>
      <c r="H382" s="1" t="str">
        <f>dados_01!H382</f>
        <v/>
      </c>
      <c r="I382" s="1" t="str">
        <f>dados_01!I382</f>
        <v/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 t="str">
        <f>dados_01!A383</f>
        <v/>
      </c>
      <c r="B383" s="1" t="str">
        <f>dados_01!B383</f>
        <v/>
      </c>
      <c r="C383" s="1" t="str">
        <f>IFERROR(__xludf.DUMMYFUNCTION("JOIN("". "", ARRAYFORMULA(IFERROR(LEFT(SPLIT(dados_01!C383, "" ""), 1))))"),"")</f>
        <v/>
      </c>
      <c r="D383" s="1" t="str">
        <f>dados_01!D383</f>
        <v/>
      </c>
      <c r="E383" s="1" t="str">
        <f>CONCATENATE(LEFT(dados_01!E383,3),REPT("*",6),RIGHT(dados_01!E383,2))</f>
        <v>******</v>
      </c>
      <c r="F383" s="1" t="str">
        <f>dados_01!F383</f>
        <v/>
      </c>
      <c r="G383" s="1" t="str">
        <f>dados_01!G383</f>
        <v/>
      </c>
      <c r="H383" s="1" t="str">
        <f>dados_01!H383</f>
        <v/>
      </c>
      <c r="I383" s="1" t="str">
        <f>dados_01!I383</f>
        <v/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 t="str">
        <f>dados_01!A384</f>
        <v/>
      </c>
      <c r="B384" s="1" t="str">
        <f>dados_01!B384</f>
        <v/>
      </c>
      <c r="C384" s="1" t="str">
        <f>IFERROR(__xludf.DUMMYFUNCTION("JOIN("". "", ARRAYFORMULA(IFERROR(LEFT(SPLIT(dados_01!C384, "" ""), 1))))"),"")</f>
        <v/>
      </c>
      <c r="D384" s="1" t="str">
        <f>dados_01!D384</f>
        <v/>
      </c>
      <c r="E384" s="1" t="str">
        <f>CONCATENATE(LEFT(dados_01!E384,3),REPT("*",6),RIGHT(dados_01!E384,2))</f>
        <v>******</v>
      </c>
      <c r="F384" s="1" t="str">
        <f>dados_01!F384</f>
        <v/>
      </c>
      <c r="G384" s="1" t="str">
        <f>dados_01!G384</f>
        <v/>
      </c>
      <c r="H384" s="1" t="str">
        <f>dados_01!H384</f>
        <v/>
      </c>
      <c r="I384" s="1" t="str">
        <f>dados_01!I384</f>
        <v/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 t="str">
        <f>dados_01!A385</f>
        <v/>
      </c>
      <c r="B385" s="1" t="str">
        <f>dados_01!B385</f>
        <v/>
      </c>
      <c r="C385" s="1" t="str">
        <f>IFERROR(__xludf.DUMMYFUNCTION("JOIN("". "", ARRAYFORMULA(IFERROR(LEFT(SPLIT(dados_01!C385, "" ""), 1))))"),"")</f>
        <v/>
      </c>
      <c r="D385" s="1" t="str">
        <f>dados_01!D385</f>
        <v/>
      </c>
      <c r="E385" s="1" t="str">
        <f>CONCATENATE(LEFT(dados_01!E385,3),REPT("*",6),RIGHT(dados_01!E385,2))</f>
        <v>******</v>
      </c>
      <c r="F385" s="1" t="str">
        <f>dados_01!F385</f>
        <v/>
      </c>
      <c r="G385" s="1" t="str">
        <f>dados_01!G385</f>
        <v/>
      </c>
      <c r="H385" s="1" t="str">
        <f>dados_01!H385</f>
        <v/>
      </c>
      <c r="I385" s="1" t="str">
        <f>dados_01!I385</f>
        <v/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 t="str">
        <f>dados_01!A386</f>
        <v/>
      </c>
      <c r="B386" s="1" t="str">
        <f>dados_01!B386</f>
        <v/>
      </c>
      <c r="C386" s="1" t="str">
        <f>IFERROR(__xludf.DUMMYFUNCTION("JOIN("". "", ARRAYFORMULA(IFERROR(LEFT(SPLIT(dados_01!C386, "" ""), 1))))"),"")</f>
        <v/>
      </c>
      <c r="D386" s="1" t="str">
        <f>dados_01!D386</f>
        <v/>
      </c>
      <c r="E386" s="1" t="str">
        <f>CONCATENATE(LEFT(dados_01!E386,3),REPT("*",6),RIGHT(dados_01!E386,2))</f>
        <v>******</v>
      </c>
      <c r="F386" s="1" t="str">
        <f>dados_01!F386</f>
        <v/>
      </c>
      <c r="G386" s="1" t="str">
        <f>dados_01!G386</f>
        <v/>
      </c>
      <c r="H386" s="1" t="str">
        <f>dados_01!H386</f>
        <v/>
      </c>
      <c r="I386" s="1" t="str">
        <f>dados_01!I386</f>
        <v/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 t="str">
        <f>dados_01!A387</f>
        <v/>
      </c>
      <c r="B387" s="1" t="str">
        <f>dados_01!B387</f>
        <v/>
      </c>
      <c r="C387" s="1" t="str">
        <f>IFERROR(__xludf.DUMMYFUNCTION("JOIN("". "", ARRAYFORMULA(IFERROR(LEFT(SPLIT(dados_01!C387, "" ""), 1))))"),"")</f>
        <v/>
      </c>
      <c r="D387" s="1" t="str">
        <f>dados_01!D387</f>
        <v/>
      </c>
      <c r="E387" s="1" t="str">
        <f>CONCATENATE(LEFT(dados_01!E387,3),REPT("*",6),RIGHT(dados_01!E387,2))</f>
        <v>******</v>
      </c>
      <c r="F387" s="1" t="str">
        <f>dados_01!F387</f>
        <v/>
      </c>
      <c r="G387" s="1" t="str">
        <f>dados_01!G387</f>
        <v/>
      </c>
      <c r="H387" s="1" t="str">
        <f>dados_01!H387</f>
        <v/>
      </c>
      <c r="I387" s="1" t="str">
        <f>dados_01!I387</f>
        <v/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 t="str">
        <f>dados_01!A388</f>
        <v/>
      </c>
      <c r="B388" s="1" t="str">
        <f>dados_01!B388</f>
        <v/>
      </c>
      <c r="C388" s="1" t="str">
        <f>IFERROR(__xludf.DUMMYFUNCTION("JOIN("". "", ARRAYFORMULA(IFERROR(LEFT(SPLIT(dados_01!C388, "" ""), 1))))"),"")</f>
        <v/>
      </c>
      <c r="D388" s="1" t="str">
        <f>dados_01!D388</f>
        <v/>
      </c>
      <c r="E388" s="1" t="str">
        <f>CONCATENATE(LEFT(dados_01!E388,3),REPT("*",6),RIGHT(dados_01!E388,2))</f>
        <v>******</v>
      </c>
      <c r="F388" s="1" t="str">
        <f>dados_01!F388</f>
        <v/>
      </c>
      <c r="G388" s="1" t="str">
        <f>dados_01!G388</f>
        <v/>
      </c>
      <c r="H388" s="1" t="str">
        <f>dados_01!H388</f>
        <v/>
      </c>
      <c r="I388" s="1" t="str">
        <f>dados_01!I388</f>
        <v/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 t="str">
        <f>dados_01!A389</f>
        <v/>
      </c>
      <c r="B389" s="1" t="str">
        <f>dados_01!B389</f>
        <v/>
      </c>
      <c r="C389" s="1" t="str">
        <f>IFERROR(__xludf.DUMMYFUNCTION("JOIN("". "", ARRAYFORMULA(IFERROR(LEFT(SPLIT(dados_01!C389, "" ""), 1))))"),"")</f>
        <v/>
      </c>
      <c r="D389" s="1" t="str">
        <f>dados_01!D389</f>
        <v/>
      </c>
      <c r="E389" s="1" t="str">
        <f>CONCATENATE(LEFT(dados_01!E389,3),REPT("*",6),RIGHT(dados_01!E389,2))</f>
        <v>******</v>
      </c>
      <c r="F389" s="1" t="str">
        <f>dados_01!F389</f>
        <v/>
      </c>
      <c r="G389" s="1" t="str">
        <f>dados_01!G389</f>
        <v/>
      </c>
      <c r="H389" s="1" t="str">
        <f>dados_01!H389</f>
        <v/>
      </c>
      <c r="I389" s="1" t="str">
        <f>dados_01!I389</f>
        <v/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 t="str">
        <f>dados_01!A390</f>
        <v/>
      </c>
      <c r="B390" s="1" t="str">
        <f>dados_01!B390</f>
        <v/>
      </c>
      <c r="C390" s="1" t="str">
        <f>IFERROR(__xludf.DUMMYFUNCTION("JOIN("". "", ARRAYFORMULA(IFERROR(LEFT(SPLIT(dados_01!C390, "" ""), 1))))"),"")</f>
        <v/>
      </c>
      <c r="D390" s="1" t="str">
        <f>dados_01!D390</f>
        <v/>
      </c>
      <c r="E390" s="1" t="str">
        <f>CONCATENATE(LEFT(dados_01!E390,3),REPT("*",6),RIGHT(dados_01!E390,2))</f>
        <v>******</v>
      </c>
      <c r="F390" s="1" t="str">
        <f>dados_01!F390</f>
        <v/>
      </c>
      <c r="G390" s="1" t="str">
        <f>dados_01!G390</f>
        <v/>
      </c>
      <c r="H390" s="1" t="str">
        <f>dados_01!H390</f>
        <v/>
      </c>
      <c r="I390" s="1" t="str">
        <f>dados_01!I390</f>
        <v/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 t="str">
        <f>dados_01!A391</f>
        <v/>
      </c>
      <c r="B391" s="1" t="str">
        <f>dados_01!B391</f>
        <v/>
      </c>
      <c r="C391" s="1" t="str">
        <f>IFERROR(__xludf.DUMMYFUNCTION("JOIN("". "", ARRAYFORMULA(IFERROR(LEFT(SPLIT(dados_01!C391, "" ""), 1))))"),"")</f>
        <v/>
      </c>
      <c r="D391" s="1" t="str">
        <f>dados_01!D391</f>
        <v/>
      </c>
      <c r="E391" s="1" t="str">
        <f>CONCATENATE(LEFT(dados_01!E391,3),REPT("*",6),RIGHT(dados_01!E391,2))</f>
        <v>******</v>
      </c>
      <c r="F391" s="1" t="str">
        <f>dados_01!F391</f>
        <v/>
      </c>
      <c r="G391" s="1" t="str">
        <f>dados_01!G391</f>
        <v/>
      </c>
      <c r="H391" s="1" t="str">
        <f>dados_01!H391</f>
        <v/>
      </c>
      <c r="I391" s="1" t="str">
        <f>dados_01!I391</f>
        <v/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 t="str">
        <f>dados_01!A392</f>
        <v/>
      </c>
      <c r="B392" s="1" t="str">
        <f>dados_01!B392</f>
        <v/>
      </c>
      <c r="C392" s="1" t="str">
        <f>IFERROR(__xludf.DUMMYFUNCTION("JOIN("". "", ARRAYFORMULA(IFERROR(LEFT(SPLIT(dados_01!C392, "" ""), 1))))"),"")</f>
        <v/>
      </c>
      <c r="D392" s="1" t="str">
        <f>dados_01!D392</f>
        <v/>
      </c>
      <c r="E392" s="1" t="str">
        <f>CONCATENATE(LEFT(dados_01!E392,3),REPT("*",6),RIGHT(dados_01!E392,2))</f>
        <v>******</v>
      </c>
      <c r="F392" s="1" t="str">
        <f>dados_01!F392</f>
        <v/>
      </c>
      <c r="G392" s="1" t="str">
        <f>dados_01!G392</f>
        <v/>
      </c>
      <c r="H392" s="1" t="str">
        <f>dados_01!H392</f>
        <v/>
      </c>
      <c r="I392" s="1" t="str">
        <f>dados_01!I392</f>
        <v/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 t="str">
        <f>dados_01!A393</f>
        <v/>
      </c>
      <c r="B393" s="1" t="str">
        <f>dados_01!B393</f>
        <v/>
      </c>
      <c r="C393" s="1" t="str">
        <f>IFERROR(__xludf.DUMMYFUNCTION("JOIN("". "", ARRAYFORMULA(IFERROR(LEFT(SPLIT(dados_01!C393, "" ""), 1))))"),"")</f>
        <v/>
      </c>
      <c r="D393" s="1" t="str">
        <f>dados_01!D393</f>
        <v/>
      </c>
      <c r="E393" s="1" t="str">
        <f>CONCATENATE(LEFT(dados_01!E393,3),REPT("*",6),RIGHT(dados_01!E393,2))</f>
        <v>******</v>
      </c>
      <c r="F393" s="1" t="str">
        <f>dados_01!F393</f>
        <v/>
      </c>
      <c r="G393" s="1" t="str">
        <f>dados_01!G393</f>
        <v/>
      </c>
      <c r="H393" s="1" t="str">
        <f>dados_01!H393</f>
        <v/>
      </c>
      <c r="I393" s="1" t="str">
        <f>dados_01!I393</f>
        <v/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 t="str">
        <f>dados_01!A394</f>
        <v/>
      </c>
      <c r="B394" s="1" t="str">
        <f>dados_01!B394</f>
        <v/>
      </c>
      <c r="C394" s="1" t="str">
        <f>IFERROR(__xludf.DUMMYFUNCTION("JOIN("". "", ARRAYFORMULA(IFERROR(LEFT(SPLIT(dados_01!C394, "" ""), 1))))"),"")</f>
        <v/>
      </c>
      <c r="D394" s="1" t="str">
        <f>dados_01!D394</f>
        <v/>
      </c>
      <c r="E394" s="1" t="str">
        <f>CONCATENATE(LEFT(dados_01!E394,3),REPT("*",6),RIGHT(dados_01!E394,2))</f>
        <v>******</v>
      </c>
      <c r="F394" s="1" t="str">
        <f>dados_01!F394</f>
        <v/>
      </c>
      <c r="G394" s="1" t="str">
        <f>dados_01!G394</f>
        <v/>
      </c>
      <c r="H394" s="1" t="str">
        <f>dados_01!H394</f>
        <v/>
      </c>
      <c r="I394" s="1" t="str">
        <f>dados_01!I394</f>
        <v/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 t="str">
        <f>dados_01!A395</f>
        <v/>
      </c>
      <c r="B395" s="1" t="str">
        <f>dados_01!B395</f>
        <v/>
      </c>
      <c r="C395" s="1" t="str">
        <f>IFERROR(__xludf.DUMMYFUNCTION("JOIN("". "", ARRAYFORMULA(IFERROR(LEFT(SPLIT(dados_01!C395, "" ""), 1))))"),"")</f>
        <v/>
      </c>
      <c r="D395" s="1" t="str">
        <f>dados_01!D395</f>
        <v/>
      </c>
      <c r="E395" s="1" t="str">
        <f>CONCATENATE(LEFT(dados_01!E395,3),REPT("*",6),RIGHT(dados_01!E395,2))</f>
        <v>******</v>
      </c>
      <c r="F395" s="1" t="str">
        <f>dados_01!F395</f>
        <v/>
      </c>
      <c r="G395" s="1" t="str">
        <f>dados_01!G395</f>
        <v/>
      </c>
      <c r="H395" s="1" t="str">
        <f>dados_01!H395</f>
        <v/>
      </c>
      <c r="I395" s="1" t="str">
        <f>dados_01!I395</f>
        <v/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 t="str">
        <f>dados_01!A396</f>
        <v/>
      </c>
      <c r="B396" s="1" t="str">
        <f>dados_01!B396</f>
        <v/>
      </c>
      <c r="C396" s="1" t="str">
        <f>IFERROR(__xludf.DUMMYFUNCTION("JOIN("". "", ARRAYFORMULA(IFERROR(LEFT(SPLIT(dados_01!C396, "" ""), 1))))"),"")</f>
        <v/>
      </c>
      <c r="D396" s="1" t="str">
        <f>dados_01!D396</f>
        <v/>
      </c>
      <c r="E396" s="1" t="str">
        <f>CONCATENATE(LEFT(dados_01!E396,3),REPT("*",6),RIGHT(dados_01!E396,2))</f>
        <v>******</v>
      </c>
      <c r="F396" s="1" t="str">
        <f>dados_01!F396</f>
        <v/>
      </c>
      <c r="G396" s="1" t="str">
        <f>dados_01!G396</f>
        <v/>
      </c>
      <c r="H396" s="1" t="str">
        <f>dados_01!H396</f>
        <v/>
      </c>
      <c r="I396" s="1" t="str">
        <f>dados_01!I396</f>
        <v/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 t="str">
        <f>dados_01!A397</f>
        <v/>
      </c>
      <c r="B397" s="1" t="str">
        <f>dados_01!B397</f>
        <v/>
      </c>
      <c r="C397" s="1" t="str">
        <f>IFERROR(__xludf.DUMMYFUNCTION("JOIN("". "", ARRAYFORMULA(IFERROR(LEFT(SPLIT(dados_01!C397, "" ""), 1))))"),"")</f>
        <v/>
      </c>
      <c r="D397" s="1" t="str">
        <f>dados_01!D397</f>
        <v/>
      </c>
      <c r="E397" s="1" t="str">
        <f>CONCATENATE(LEFT(dados_01!E397,3),REPT("*",6),RIGHT(dados_01!E397,2))</f>
        <v>******</v>
      </c>
      <c r="F397" s="1" t="str">
        <f>dados_01!F397</f>
        <v/>
      </c>
      <c r="G397" s="1" t="str">
        <f>dados_01!G397</f>
        <v/>
      </c>
      <c r="H397" s="1" t="str">
        <f>dados_01!H397</f>
        <v/>
      </c>
      <c r="I397" s="1" t="str">
        <f>dados_01!I397</f>
        <v/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 t="str">
        <f>dados_01!A398</f>
        <v/>
      </c>
      <c r="B398" s="1" t="str">
        <f>dados_01!B398</f>
        <v/>
      </c>
      <c r="C398" s="1" t="str">
        <f>IFERROR(__xludf.DUMMYFUNCTION("JOIN("". "", ARRAYFORMULA(IFERROR(LEFT(SPLIT(dados_01!C398, "" ""), 1))))"),"")</f>
        <v/>
      </c>
      <c r="D398" s="1" t="str">
        <f>dados_01!D398</f>
        <v/>
      </c>
      <c r="E398" s="1" t="str">
        <f>CONCATENATE(LEFT(dados_01!E398,3),REPT("*",6),RIGHT(dados_01!E398,2))</f>
        <v>******</v>
      </c>
      <c r="F398" s="1" t="str">
        <f>dados_01!F398</f>
        <v/>
      </c>
      <c r="G398" s="1" t="str">
        <f>dados_01!G398</f>
        <v/>
      </c>
      <c r="H398" s="1" t="str">
        <f>dados_01!H398</f>
        <v/>
      </c>
      <c r="I398" s="1" t="str">
        <f>dados_01!I398</f>
        <v/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 t="str">
        <f>dados_01!A399</f>
        <v/>
      </c>
      <c r="B399" s="1" t="str">
        <f>dados_01!B399</f>
        <v/>
      </c>
      <c r="C399" s="1" t="str">
        <f>IFERROR(__xludf.DUMMYFUNCTION("JOIN("". "", ARRAYFORMULA(IFERROR(LEFT(SPLIT(dados_01!C399, "" ""), 1))))"),"")</f>
        <v/>
      </c>
      <c r="D399" s="1" t="str">
        <f>dados_01!D399</f>
        <v/>
      </c>
      <c r="E399" s="1" t="str">
        <f>CONCATENATE(LEFT(dados_01!E399,3),REPT("*",6),RIGHT(dados_01!E399,2))</f>
        <v>******</v>
      </c>
      <c r="F399" s="1" t="str">
        <f>dados_01!F399</f>
        <v/>
      </c>
      <c r="G399" s="1" t="str">
        <f>dados_01!G399</f>
        <v/>
      </c>
      <c r="H399" s="1" t="str">
        <f>dados_01!H399</f>
        <v/>
      </c>
      <c r="I399" s="1" t="str">
        <f>dados_01!I399</f>
        <v/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 t="str">
        <f>dados_01!A400</f>
        <v/>
      </c>
      <c r="B400" s="1" t="str">
        <f>dados_01!B400</f>
        <v/>
      </c>
      <c r="C400" s="1" t="str">
        <f>IFERROR(__xludf.DUMMYFUNCTION("JOIN("". "", ARRAYFORMULA(IFERROR(LEFT(SPLIT(dados_01!C400, "" ""), 1))))"),"")</f>
        <v/>
      </c>
      <c r="D400" s="1" t="str">
        <f>dados_01!D400</f>
        <v/>
      </c>
      <c r="E400" s="1" t="str">
        <f>CONCATENATE(LEFT(dados_01!E400,3),REPT("*",6),RIGHT(dados_01!E400,2))</f>
        <v>******</v>
      </c>
      <c r="F400" s="1" t="str">
        <f>dados_01!F400</f>
        <v/>
      </c>
      <c r="G400" s="1" t="str">
        <f>dados_01!G400</f>
        <v/>
      </c>
      <c r="H400" s="1" t="str">
        <f>dados_01!H400</f>
        <v/>
      </c>
      <c r="I400" s="1" t="str">
        <f>dados_01!I400</f>
        <v/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 t="str">
        <f>dados_01!A401</f>
        <v/>
      </c>
      <c r="B401" s="1" t="str">
        <f>dados_01!B401</f>
        <v/>
      </c>
      <c r="C401" s="1" t="str">
        <f>IFERROR(__xludf.DUMMYFUNCTION("JOIN("". "", ARRAYFORMULA(IFERROR(LEFT(SPLIT(dados_01!C401, "" ""), 1))))"),"")</f>
        <v/>
      </c>
      <c r="D401" s="1" t="str">
        <f>dados_01!D401</f>
        <v/>
      </c>
      <c r="E401" s="1" t="str">
        <f>CONCATENATE(LEFT(dados_01!E401,3),REPT("*",6),RIGHT(dados_01!E401,2))</f>
        <v>******</v>
      </c>
      <c r="F401" s="1" t="str">
        <f>dados_01!F401</f>
        <v/>
      </c>
      <c r="G401" s="1" t="str">
        <f>dados_01!G401</f>
        <v/>
      </c>
      <c r="H401" s="1" t="str">
        <f>dados_01!H401</f>
        <v/>
      </c>
      <c r="I401" s="1" t="str">
        <f>dados_01!I401</f>
        <v/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 t="str">
        <f>dados_01!A402</f>
        <v/>
      </c>
      <c r="B402" s="1" t="str">
        <f>dados_01!B402</f>
        <v/>
      </c>
      <c r="C402" s="1" t="str">
        <f>IFERROR(__xludf.DUMMYFUNCTION("JOIN("". "", ARRAYFORMULA(IFERROR(LEFT(SPLIT(dados_01!C402, "" ""), 1))))"),"")</f>
        <v/>
      </c>
      <c r="D402" s="1" t="str">
        <f>dados_01!D402</f>
        <v/>
      </c>
      <c r="E402" s="1" t="str">
        <f>CONCATENATE(LEFT(dados_01!E402,3),REPT("*",6),RIGHT(dados_01!E402,2))</f>
        <v>******</v>
      </c>
      <c r="F402" s="1" t="str">
        <f>dados_01!F402</f>
        <v/>
      </c>
      <c r="G402" s="1" t="str">
        <f>dados_01!G402</f>
        <v/>
      </c>
      <c r="H402" s="1" t="str">
        <f>dados_01!H402</f>
        <v/>
      </c>
      <c r="I402" s="1" t="str">
        <f>dados_01!I402</f>
        <v/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 t="str">
        <f>dados_01!A403</f>
        <v/>
      </c>
      <c r="B403" s="1" t="str">
        <f>dados_01!B403</f>
        <v/>
      </c>
      <c r="C403" s="1" t="str">
        <f>IFERROR(__xludf.DUMMYFUNCTION("JOIN("". "", ARRAYFORMULA(IFERROR(LEFT(SPLIT(dados_01!C403, "" ""), 1))))"),"")</f>
        <v/>
      </c>
      <c r="D403" s="1" t="str">
        <f>dados_01!D403</f>
        <v/>
      </c>
      <c r="E403" s="1" t="str">
        <f>CONCATENATE(LEFT(dados_01!E403,3),REPT("*",6),RIGHT(dados_01!E403,2))</f>
        <v>******</v>
      </c>
      <c r="F403" s="1" t="str">
        <f>dados_01!F403</f>
        <v/>
      </c>
      <c r="G403" s="1" t="str">
        <f>dados_01!G403</f>
        <v/>
      </c>
      <c r="H403" s="1" t="str">
        <f>dados_01!H403</f>
        <v/>
      </c>
      <c r="I403" s="1" t="str">
        <f>dados_01!I403</f>
        <v/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 t="str">
        <f>dados_01!A404</f>
        <v/>
      </c>
      <c r="B404" s="1" t="str">
        <f>dados_01!B404</f>
        <v/>
      </c>
      <c r="C404" s="1" t="str">
        <f>IFERROR(__xludf.DUMMYFUNCTION("JOIN("". "", ARRAYFORMULA(IFERROR(LEFT(SPLIT(dados_01!C404, "" ""), 1))))"),"")</f>
        <v/>
      </c>
      <c r="D404" s="1" t="str">
        <f>dados_01!D404</f>
        <v/>
      </c>
      <c r="E404" s="1" t="str">
        <f>CONCATENATE(LEFT(dados_01!E404,3),REPT("*",6),RIGHT(dados_01!E404,2))</f>
        <v>******</v>
      </c>
      <c r="F404" s="1" t="str">
        <f>dados_01!F404</f>
        <v/>
      </c>
      <c r="G404" s="1" t="str">
        <f>dados_01!G404</f>
        <v/>
      </c>
      <c r="H404" s="1" t="str">
        <f>dados_01!H404</f>
        <v/>
      </c>
      <c r="I404" s="1" t="str">
        <f>dados_01!I404</f>
        <v/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 t="str">
        <f>dados_01!A405</f>
        <v/>
      </c>
      <c r="B405" s="1" t="str">
        <f>dados_01!B405</f>
        <v/>
      </c>
      <c r="C405" s="1" t="str">
        <f>IFERROR(__xludf.DUMMYFUNCTION("JOIN("". "", ARRAYFORMULA(IFERROR(LEFT(SPLIT(dados_01!C405, "" ""), 1))))"),"")</f>
        <v/>
      </c>
      <c r="D405" s="1" t="str">
        <f>dados_01!D405</f>
        <v/>
      </c>
      <c r="E405" s="1" t="str">
        <f>CONCATENATE(LEFT(dados_01!E405,3),REPT("*",6),RIGHT(dados_01!E405,2))</f>
        <v>******</v>
      </c>
      <c r="F405" s="1" t="str">
        <f>dados_01!F405</f>
        <v/>
      </c>
      <c r="G405" s="1" t="str">
        <f>dados_01!G405</f>
        <v/>
      </c>
      <c r="H405" s="1" t="str">
        <f>dados_01!H405</f>
        <v/>
      </c>
      <c r="I405" s="1" t="str">
        <f>dados_01!I405</f>
        <v/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 t="str">
        <f>dados_01!A406</f>
        <v/>
      </c>
      <c r="B406" s="1" t="str">
        <f>dados_01!B406</f>
        <v/>
      </c>
      <c r="C406" s="1" t="str">
        <f>IFERROR(__xludf.DUMMYFUNCTION("JOIN("". "", ARRAYFORMULA(IFERROR(LEFT(SPLIT(dados_01!C406, "" ""), 1))))"),"")</f>
        <v/>
      </c>
      <c r="D406" s="1" t="str">
        <f>dados_01!D406</f>
        <v/>
      </c>
      <c r="E406" s="1" t="str">
        <f>CONCATENATE(LEFT(dados_01!E406,3),REPT("*",6),RIGHT(dados_01!E406,2))</f>
        <v>******</v>
      </c>
      <c r="F406" s="1" t="str">
        <f>dados_01!F406</f>
        <v/>
      </c>
      <c r="G406" s="1" t="str">
        <f>dados_01!G406</f>
        <v/>
      </c>
      <c r="H406" s="1" t="str">
        <f>dados_01!H406</f>
        <v/>
      </c>
      <c r="I406" s="1" t="str">
        <f>dados_01!I406</f>
        <v/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 t="str">
        <f>dados_01!A407</f>
        <v/>
      </c>
      <c r="B407" s="1" t="str">
        <f>dados_01!B407</f>
        <v/>
      </c>
      <c r="C407" s="1" t="str">
        <f>IFERROR(__xludf.DUMMYFUNCTION("JOIN("". "", ARRAYFORMULA(IFERROR(LEFT(SPLIT(dados_01!C407, "" ""), 1))))"),"")</f>
        <v/>
      </c>
      <c r="D407" s="1" t="str">
        <f>dados_01!D407</f>
        <v/>
      </c>
      <c r="E407" s="1" t="str">
        <f>CONCATENATE(LEFT(dados_01!E407,3),REPT("*",6),RIGHT(dados_01!E407,2))</f>
        <v>******</v>
      </c>
      <c r="F407" s="1" t="str">
        <f>dados_01!F407</f>
        <v/>
      </c>
      <c r="G407" s="1" t="str">
        <f>dados_01!G407</f>
        <v/>
      </c>
      <c r="H407" s="1" t="str">
        <f>dados_01!H407</f>
        <v/>
      </c>
      <c r="I407" s="1" t="str">
        <f>dados_01!I407</f>
        <v/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 t="str">
        <f>dados_01!A408</f>
        <v/>
      </c>
      <c r="B408" s="1" t="str">
        <f>dados_01!B408</f>
        <v/>
      </c>
      <c r="C408" s="1" t="str">
        <f>IFERROR(__xludf.DUMMYFUNCTION("JOIN("". "", ARRAYFORMULA(IFERROR(LEFT(SPLIT(dados_01!C408, "" ""), 1))))"),"")</f>
        <v/>
      </c>
      <c r="D408" s="1" t="str">
        <f>dados_01!D408</f>
        <v/>
      </c>
      <c r="E408" s="1" t="str">
        <f>CONCATENATE(LEFT(dados_01!E408,3),REPT("*",6),RIGHT(dados_01!E408,2))</f>
        <v>******</v>
      </c>
      <c r="F408" s="1" t="str">
        <f>dados_01!F408</f>
        <v/>
      </c>
      <c r="G408" s="1" t="str">
        <f>dados_01!G408</f>
        <v/>
      </c>
      <c r="H408" s="1" t="str">
        <f>dados_01!H408</f>
        <v/>
      </c>
      <c r="I408" s="1" t="str">
        <f>dados_01!I408</f>
        <v/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 t="str">
        <f>dados_01!A409</f>
        <v/>
      </c>
      <c r="B409" s="1" t="str">
        <f>dados_01!B409</f>
        <v/>
      </c>
      <c r="C409" s="1" t="str">
        <f>IFERROR(__xludf.DUMMYFUNCTION("JOIN("". "", ARRAYFORMULA(IFERROR(LEFT(SPLIT(dados_01!C409, "" ""), 1))))"),"")</f>
        <v/>
      </c>
      <c r="D409" s="1" t="str">
        <f>dados_01!D409</f>
        <v/>
      </c>
      <c r="E409" s="1" t="str">
        <f>CONCATENATE(LEFT(dados_01!E409,3),REPT("*",6),RIGHT(dados_01!E409,2))</f>
        <v>******</v>
      </c>
      <c r="F409" s="1" t="str">
        <f>dados_01!F409</f>
        <v/>
      </c>
      <c r="G409" s="1" t="str">
        <f>dados_01!G409</f>
        <v/>
      </c>
      <c r="H409" s="1" t="str">
        <f>dados_01!H409</f>
        <v/>
      </c>
      <c r="I409" s="1" t="str">
        <f>dados_01!I409</f>
        <v/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 t="str">
        <f>dados_01!A410</f>
        <v/>
      </c>
      <c r="B410" s="1" t="str">
        <f>dados_01!B410</f>
        <v/>
      </c>
      <c r="C410" s="1" t="str">
        <f>IFERROR(__xludf.DUMMYFUNCTION("JOIN("". "", ARRAYFORMULA(IFERROR(LEFT(SPLIT(dados_01!C410, "" ""), 1))))"),"")</f>
        <v/>
      </c>
      <c r="D410" s="1" t="str">
        <f>dados_01!D410</f>
        <v/>
      </c>
      <c r="E410" s="1" t="str">
        <f>CONCATENATE(LEFT(dados_01!E410,3),REPT("*",6),RIGHT(dados_01!E410,2))</f>
        <v>******</v>
      </c>
      <c r="F410" s="1" t="str">
        <f>dados_01!F410</f>
        <v/>
      </c>
      <c r="G410" s="1" t="str">
        <f>dados_01!G410</f>
        <v/>
      </c>
      <c r="H410" s="1" t="str">
        <f>dados_01!H410</f>
        <v/>
      </c>
      <c r="I410" s="1" t="str">
        <f>dados_01!I410</f>
        <v/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 t="str">
        <f>dados_01!A411</f>
        <v/>
      </c>
      <c r="B411" s="1" t="str">
        <f>dados_01!B411</f>
        <v/>
      </c>
      <c r="C411" s="1" t="str">
        <f>IFERROR(__xludf.DUMMYFUNCTION("JOIN("". "", ARRAYFORMULA(IFERROR(LEFT(SPLIT(dados_01!C411, "" ""), 1))))"),"")</f>
        <v/>
      </c>
      <c r="D411" s="1" t="str">
        <f>dados_01!D411</f>
        <v/>
      </c>
      <c r="E411" s="1" t="str">
        <f>CONCATENATE(LEFT(dados_01!E411,3),REPT("*",6),RIGHT(dados_01!E411,2))</f>
        <v>******</v>
      </c>
      <c r="F411" s="1" t="str">
        <f>dados_01!F411</f>
        <v/>
      </c>
      <c r="G411" s="1" t="str">
        <f>dados_01!G411</f>
        <v/>
      </c>
      <c r="H411" s="1" t="str">
        <f>dados_01!H411</f>
        <v/>
      </c>
      <c r="I411" s="1" t="str">
        <f>dados_01!I411</f>
        <v/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 t="str">
        <f>dados_01!A412</f>
        <v/>
      </c>
      <c r="B412" s="1" t="str">
        <f>dados_01!B412</f>
        <v/>
      </c>
      <c r="C412" s="1" t="str">
        <f>IFERROR(__xludf.DUMMYFUNCTION("JOIN("". "", ARRAYFORMULA(IFERROR(LEFT(SPLIT(dados_01!C412, "" ""), 1))))"),"")</f>
        <v/>
      </c>
      <c r="D412" s="1" t="str">
        <f>dados_01!D412</f>
        <v/>
      </c>
      <c r="E412" s="1" t="str">
        <f>CONCATENATE(LEFT(dados_01!E412,3),REPT("*",6),RIGHT(dados_01!E412,2))</f>
        <v>******</v>
      </c>
      <c r="F412" s="1" t="str">
        <f>dados_01!F412</f>
        <v/>
      </c>
      <c r="G412" s="1" t="str">
        <f>dados_01!G412</f>
        <v/>
      </c>
      <c r="H412" s="1" t="str">
        <f>dados_01!H412</f>
        <v/>
      </c>
      <c r="I412" s="1" t="str">
        <f>dados_01!I412</f>
        <v/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 t="str">
        <f>dados_01!A413</f>
        <v/>
      </c>
      <c r="B413" s="1" t="str">
        <f>dados_01!B413</f>
        <v/>
      </c>
      <c r="C413" s="1" t="str">
        <f>IFERROR(__xludf.DUMMYFUNCTION("JOIN("". "", ARRAYFORMULA(IFERROR(LEFT(SPLIT(dados_01!C413, "" ""), 1))))"),"")</f>
        <v/>
      </c>
      <c r="D413" s="1" t="str">
        <f>dados_01!D413</f>
        <v/>
      </c>
      <c r="E413" s="1" t="str">
        <f>CONCATENATE(LEFT(dados_01!E413,3),REPT("*",6),RIGHT(dados_01!E413,2))</f>
        <v>******</v>
      </c>
      <c r="F413" s="1" t="str">
        <f>dados_01!F413</f>
        <v/>
      </c>
      <c r="G413" s="1" t="str">
        <f>dados_01!G413</f>
        <v/>
      </c>
      <c r="H413" s="1" t="str">
        <f>dados_01!H413</f>
        <v/>
      </c>
      <c r="I413" s="1" t="str">
        <f>dados_01!I413</f>
        <v/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 t="str">
        <f>dados_01!A414</f>
        <v/>
      </c>
      <c r="B414" s="1" t="str">
        <f>dados_01!B414</f>
        <v/>
      </c>
      <c r="C414" s="1" t="str">
        <f>IFERROR(__xludf.DUMMYFUNCTION("JOIN("". "", ARRAYFORMULA(IFERROR(LEFT(SPLIT(dados_01!C414, "" ""), 1))))"),"")</f>
        <v/>
      </c>
      <c r="D414" s="1" t="str">
        <f>dados_01!D414</f>
        <v/>
      </c>
      <c r="E414" s="1" t="str">
        <f>CONCATENATE(LEFT(dados_01!E414,3),REPT("*",6),RIGHT(dados_01!E414,2))</f>
        <v>******</v>
      </c>
      <c r="F414" s="1" t="str">
        <f>dados_01!F414</f>
        <v/>
      </c>
      <c r="G414" s="1" t="str">
        <f>dados_01!G414</f>
        <v/>
      </c>
      <c r="H414" s="1" t="str">
        <f>dados_01!H414</f>
        <v/>
      </c>
      <c r="I414" s="1" t="str">
        <f>dados_01!I414</f>
        <v/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 t="str">
        <f>dados_01!A415</f>
        <v/>
      </c>
      <c r="B415" s="1" t="str">
        <f>dados_01!B415</f>
        <v/>
      </c>
      <c r="C415" s="1" t="str">
        <f>IFERROR(__xludf.DUMMYFUNCTION("JOIN("". "", ARRAYFORMULA(IFERROR(LEFT(SPLIT(dados_01!C415, "" ""), 1))))"),"")</f>
        <v/>
      </c>
      <c r="D415" s="1" t="str">
        <f>dados_01!D415</f>
        <v/>
      </c>
      <c r="E415" s="1" t="str">
        <f>CONCATENATE(LEFT(dados_01!E415,3),REPT("*",6),RIGHT(dados_01!E415,2))</f>
        <v>******</v>
      </c>
      <c r="F415" s="1" t="str">
        <f>dados_01!F415</f>
        <v/>
      </c>
      <c r="G415" s="1" t="str">
        <f>dados_01!G415</f>
        <v/>
      </c>
      <c r="H415" s="1" t="str">
        <f>dados_01!H415</f>
        <v/>
      </c>
      <c r="I415" s="1" t="str">
        <f>dados_01!I415</f>
        <v/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 t="str">
        <f>dados_01!A416</f>
        <v/>
      </c>
      <c r="B416" s="1" t="str">
        <f>dados_01!B416</f>
        <v/>
      </c>
      <c r="C416" s="1" t="str">
        <f>IFERROR(__xludf.DUMMYFUNCTION("JOIN("". "", ARRAYFORMULA(IFERROR(LEFT(SPLIT(dados_01!C416, "" ""), 1))))"),"")</f>
        <v/>
      </c>
      <c r="D416" s="1" t="str">
        <f>dados_01!D416</f>
        <v/>
      </c>
      <c r="E416" s="1" t="str">
        <f>CONCATENATE(LEFT(dados_01!E416,3),REPT("*",6),RIGHT(dados_01!E416,2))</f>
        <v>******</v>
      </c>
      <c r="F416" s="1" t="str">
        <f>dados_01!F416</f>
        <v/>
      </c>
      <c r="G416" s="1" t="str">
        <f>dados_01!G416</f>
        <v/>
      </c>
      <c r="H416" s="1" t="str">
        <f>dados_01!H416</f>
        <v/>
      </c>
      <c r="I416" s="1" t="str">
        <f>dados_01!I416</f>
        <v/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 t="str">
        <f>dados_01!A417</f>
        <v/>
      </c>
      <c r="B417" s="1" t="str">
        <f>dados_01!B417</f>
        <v/>
      </c>
      <c r="C417" s="1" t="str">
        <f>IFERROR(__xludf.DUMMYFUNCTION("JOIN("". "", ARRAYFORMULA(IFERROR(LEFT(SPLIT(dados_01!C417, "" ""), 1))))"),"")</f>
        <v/>
      </c>
      <c r="D417" s="1" t="str">
        <f>dados_01!D417</f>
        <v/>
      </c>
      <c r="E417" s="1" t="str">
        <f>CONCATENATE(LEFT(dados_01!E417,3),REPT("*",6),RIGHT(dados_01!E417,2))</f>
        <v>******</v>
      </c>
      <c r="F417" s="1" t="str">
        <f>dados_01!F417</f>
        <v/>
      </c>
      <c r="G417" s="1" t="str">
        <f>dados_01!G417</f>
        <v/>
      </c>
      <c r="H417" s="1" t="str">
        <f>dados_01!H417</f>
        <v/>
      </c>
      <c r="I417" s="1" t="str">
        <f>dados_01!I417</f>
        <v/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 t="str">
        <f>dados_01!A418</f>
        <v/>
      </c>
      <c r="B418" s="1" t="str">
        <f>dados_01!B418</f>
        <v/>
      </c>
      <c r="C418" s="1" t="str">
        <f>IFERROR(__xludf.DUMMYFUNCTION("JOIN("". "", ARRAYFORMULA(IFERROR(LEFT(SPLIT(dados_01!C418, "" ""), 1))))"),"")</f>
        <v/>
      </c>
      <c r="D418" s="1" t="str">
        <f>dados_01!D418</f>
        <v/>
      </c>
      <c r="E418" s="1" t="str">
        <f>CONCATENATE(LEFT(dados_01!E418,3),REPT("*",6),RIGHT(dados_01!E418,2))</f>
        <v>******</v>
      </c>
      <c r="F418" s="1" t="str">
        <f>dados_01!F418</f>
        <v/>
      </c>
      <c r="G418" s="1" t="str">
        <f>dados_01!G418</f>
        <v/>
      </c>
      <c r="H418" s="1" t="str">
        <f>dados_01!H418</f>
        <v/>
      </c>
      <c r="I418" s="1" t="str">
        <f>dados_01!I418</f>
        <v/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 t="str">
        <f>dados_01!A419</f>
        <v/>
      </c>
      <c r="B419" s="1" t="str">
        <f>dados_01!B419</f>
        <v/>
      </c>
      <c r="C419" s="1" t="str">
        <f>IFERROR(__xludf.DUMMYFUNCTION("JOIN("". "", ARRAYFORMULA(IFERROR(LEFT(SPLIT(dados_01!C419, "" ""), 1))))"),"")</f>
        <v/>
      </c>
      <c r="D419" s="1" t="str">
        <f>dados_01!D419</f>
        <v/>
      </c>
      <c r="E419" s="1" t="str">
        <f>CONCATENATE(LEFT(dados_01!E419,3),REPT("*",6),RIGHT(dados_01!E419,2))</f>
        <v>******</v>
      </c>
      <c r="F419" s="1" t="str">
        <f>dados_01!F419</f>
        <v/>
      </c>
      <c r="G419" s="1" t="str">
        <f>dados_01!G419</f>
        <v/>
      </c>
      <c r="H419" s="1" t="str">
        <f>dados_01!H419</f>
        <v/>
      </c>
      <c r="I419" s="1" t="str">
        <f>dados_01!I419</f>
        <v/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 t="str">
        <f>dados_01!A420</f>
        <v/>
      </c>
      <c r="B420" s="1" t="str">
        <f>dados_01!B420</f>
        <v/>
      </c>
      <c r="C420" s="1" t="str">
        <f>IFERROR(__xludf.DUMMYFUNCTION("JOIN("". "", ARRAYFORMULA(IFERROR(LEFT(SPLIT(dados_01!C420, "" ""), 1))))"),"")</f>
        <v/>
      </c>
      <c r="D420" s="1" t="str">
        <f>dados_01!D420</f>
        <v/>
      </c>
      <c r="E420" s="1" t="str">
        <f>CONCATENATE(LEFT(dados_01!E420,3),REPT("*",6),RIGHT(dados_01!E420,2))</f>
        <v>******</v>
      </c>
      <c r="F420" s="1" t="str">
        <f>dados_01!F420</f>
        <v/>
      </c>
      <c r="G420" s="1" t="str">
        <f>dados_01!G420</f>
        <v/>
      </c>
      <c r="H420" s="1" t="str">
        <f>dados_01!H420</f>
        <v/>
      </c>
      <c r="I420" s="1" t="str">
        <f>dados_01!I420</f>
        <v/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 t="str">
        <f>dados_01!A421</f>
        <v/>
      </c>
      <c r="B421" s="1" t="str">
        <f>dados_01!B421</f>
        <v/>
      </c>
      <c r="C421" s="1" t="str">
        <f>IFERROR(__xludf.DUMMYFUNCTION("JOIN("". "", ARRAYFORMULA(IFERROR(LEFT(SPLIT(dados_01!C421, "" ""), 1))))"),"")</f>
        <v/>
      </c>
      <c r="D421" s="1" t="str">
        <f>dados_01!D421</f>
        <v/>
      </c>
      <c r="E421" s="1" t="str">
        <f>CONCATENATE(LEFT(dados_01!E421,3),REPT("*",6),RIGHT(dados_01!E421,2))</f>
        <v>******</v>
      </c>
      <c r="F421" s="1" t="str">
        <f>dados_01!F421</f>
        <v/>
      </c>
      <c r="G421" s="1" t="str">
        <f>dados_01!G421</f>
        <v/>
      </c>
      <c r="H421" s="1" t="str">
        <f>dados_01!H421</f>
        <v/>
      </c>
      <c r="I421" s="1" t="str">
        <f>dados_01!I421</f>
        <v/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 t="str">
        <f>dados_01!A422</f>
        <v/>
      </c>
      <c r="B422" s="1" t="str">
        <f>dados_01!B422</f>
        <v/>
      </c>
      <c r="C422" s="1" t="str">
        <f>IFERROR(__xludf.DUMMYFUNCTION("JOIN("". "", ARRAYFORMULA(IFERROR(LEFT(SPLIT(dados_01!C422, "" ""), 1))))"),"")</f>
        <v/>
      </c>
      <c r="D422" s="1" t="str">
        <f>dados_01!D422</f>
        <v/>
      </c>
      <c r="E422" s="1" t="str">
        <f>CONCATENATE(LEFT(dados_01!E422,3),REPT("*",6),RIGHT(dados_01!E422,2))</f>
        <v>******</v>
      </c>
      <c r="F422" s="1" t="str">
        <f>dados_01!F422</f>
        <v/>
      </c>
      <c r="G422" s="1" t="str">
        <f>dados_01!G422</f>
        <v/>
      </c>
      <c r="H422" s="1" t="str">
        <f>dados_01!H422</f>
        <v/>
      </c>
      <c r="I422" s="1" t="str">
        <f>dados_01!I422</f>
        <v/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 t="str">
        <f>dados_01!A423</f>
        <v/>
      </c>
      <c r="B423" s="1" t="str">
        <f>dados_01!B423</f>
        <v/>
      </c>
      <c r="C423" s="1" t="str">
        <f>IFERROR(__xludf.DUMMYFUNCTION("JOIN("". "", ARRAYFORMULA(IFERROR(LEFT(SPLIT(dados_01!C423, "" ""), 1))))"),"")</f>
        <v/>
      </c>
      <c r="D423" s="1" t="str">
        <f>dados_01!D423</f>
        <v/>
      </c>
      <c r="E423" s="1" t="str">
        <f>CONCATENATE(LEFT(dados_01!E423,3),REPT("*",6),RIGHT(dados_01!E423,2))</f>
        <v>******</v>
      </c>
      <c r="F423" s="1" t="str">
        <f>dados_01!F423</f>
        <v/>
      </c>
      <c r="G423" s="1" t="str">
        <f>dados_01!G423</f>
        <v/>
      </c>
      <c r="H423" s="1" t="str">
        <f>dados_01!H423</f>
        <v/>
      </c>
      <c r="I423" s="1" t="str">
        <f>dados_01!I423</f>
        <v/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 t="str">
        <f>dados_01!A424</f>
        <v/>
      </c>
      <c r="B424" s="1" t="str">
        <f>dados_01!B424</f>
        <v/>
      </c>
      <c r="C424" s="1" t="str">
        <f>IFERROR(__xludf.DUMMYFUNCTION("JOIN("". "", ARRAYFORMULA(IFERROR(LEFT(SPLIT(dados_01!C424, "" ""), 1))))"),"")</f>
        <v/>
      </c>
      <c r="D424" s="1" t="str">
        <f>dados_01!D424</f>
        <v/>
      </c>
      <c r="E424" s="1" t="str">
        <f>CONCATENATE(LEFT(dados_01!E424,3),REPT("*",6),RIGHT(dados_01!E424,2))</f>
        <v>******</v>
      </c>
      <c r="F424" s="1" t="str">
        <f>dados_01!F424</f>
        <v/>
      </c>
      <c r="G424" s="1" t="str">
        <f>dados_01!G424</f>
        <v/>
      </c>
      <c r="H424" s="1" t="str">
        <f>dados_01!H424</f>
        <v/>
      </c>
      <c r="I424" s="1" t="str">
        <f>dados_01!I424</f>
        <v/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 t="str">
        <f>dados_01!A425</f>
        <v/>
      </c>
      <c r="B425" s="1" t="str">
        <f>dados_01!B425</f>
        <v/>
      </c>
      <c r="C425" s="1" t="str">
        <f>IFERROR(__xludf.DUMMYFUNCTION("JOIN("". "", ARRAYFORMULA(IFERROR(LEFT(SPLIT(dados_01!C425, "" ""), 1))))"),"")</f>
        <v/>
      </c>
      <c r="D425" s="1" t="str">
        <f>dados_01!D425</f>
        <v/>
      </c>
      <c r="E425" s="1" t="str">
        <f>CONCATENATE(LEFT(dados_01!E425,3),REPT("*",6),RIGHT(dados_01!E425,2))</f>
        <v>******</v>
      </c>
      <c r="F425" s="1" t="str">
        <f>dados_01!F425</f>
        <v/>
      </c>
      <c r="G425" s="1" t="str">
        <f>dados_01!G425</f>
        <v/>
      </c>
      <c r="H425" s="1" t="str">
        <f>dados_01!H425</f>
        <v/>
      </c>
      <c r="I425" s="1" t="str">
        <f>dados_01!I425</f>
        <v/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 t="str">
        <f>dados_01!A426</f>
        <v/>
      </c>
      <c r="B426" s="1" t="str">
        <f>dados_01!B426</f>
        <v/>
      </c>
      <c r="C426" s="1" t="str">
        <f>IFERROR(__xludf.DUMMYFUNCTION("JOIN("". "", ARRAYFORMULA(IFERROR(LEFT(SPLIT(dados_01!C426, "" ""), 1))))"),"")</f>
        <v/>
      </c>
      <c r="D426" s="1" t="str">
        <f>dados_01!D426</f>
        <v/>
      </c>
      <c r="E426" s="1" t="str">
        <f>CONCATENATE(LEFT(dados_01!E426,3),REPT("*",6),RIGHT(dados_01!E426,2))</f>
        <v>******</v>
      </c>
      <c r="F426" s="1" t="str">
        <f>dados_01!F426</f>
        <v/>
      </c>
      <c r="G426" s="1" t="str">
        <f>dados_01!G426</f>
        <v/>
      </c>
      <c r="H426" s="1" t="str">
        <f>dados_01!H426</f>
        <v/>
      </c>
      <c r="I426" s="1" t="str">
        <f>dados_01!I426</f>
        <v/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 t="str">
        <f>dados_01!A427</f>
        <v/>
      </c>
      <c r="B427" s="1" t="str">
        <f>dados_01!B427</f>
        <v/>
      </c>
      <c r="C427" s="1" t="str">
        <f>IFERROR(__xludf.DUMMYFUNCTION("JOIN("". "", ARRAYFORMULA(IFERROR(LEFT(SPLIT(dados_01!C427, "" ""), 1))))"),"")</f>
        <v/>
      </c>
      <c r="D427" s="1" t="str">
        <f>dados_01!D427</f>
        <v/>
      </c>
      <c r="E427" s="1" t="str">
        <f>CONCATENATE(LEFT(dados_01!E427,3),REPT("*",6),RIGHT(dados_01!E427,2))</f>
        <v>******</v>
      </c>
      <c r="F427" s="1" t="str">
        <f>dados_01!F427</f>
        <v/>
      </c>
      <c r="G427" s="1" t="str">
        <f>dados_01!G427</f>
        <v/>
      </c>
      <c r="H427" s="1" t="str">
        <f>dados_01!H427</f>
        <v/>
      </c>
      <c r="I427" s="1" t="str">
        <f>dados_01!I427</f>
        <v/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 t="str">
        <f>dados_01!A428</f>
        <v/>
      </c>
      <c r="B428" s="1" t="str">
        <f>dados_01!B428</f>
        <v/>
      </c>
      <c r="C428" s="1" t="str">
        <f>IFERROR(__xludf.DUMMYFUNCTION("JOIN("". "", ARRAYFORMULA(IFERROR(LEFT(SPLIT(dados_01!C428, "" ""), 1))))"),"")</f>
        <v/>
      </c>
      <c r="D428" s="1" t="str">
        <f>dados_01!D428</f>
        <v/>
      </c>
      <c r="E428" s="1" t="str">
        <f>CONCATENATE(LEFT(dados_01!E428,3),REPT("*",6),RIGHT(dados_01!E428,2))</f>
        <v>******</v>
      </c>
      <c r="F428" s="1" t="str">
        <f>dados_01!F428</f>
        <v/>
      </c>
      <c r="G428" s="1" t="str">
        <f>dados_01!G428</f>
        <v/>
      </c>
      <c r="H428" s="1" t="str">
        <f>dados_01!H428</f>
        <v/>
      </c>
      <c r="I428" s="1" t="str">
        <f>dados_01!I428</f>
        <v/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 t="str">
        <f>dados_01!A429</f>
        <v/>
      </c>
      <c r="B429" s="1" t="str">
        <f>dados_01!B429</f>
        <v/>
      </c>
      <c r="C429" s="1" t="str">
        <f>IFERROR(__xludf.DUMMYFUNCTION("JOIN("". "", ARRAYFORMULA(IFERROR(LEFT(SPLIT(dados_01!C429, "" ""), 1))))"),"")</f>
        <v/>
      </c>
      <c r="D429" s="1" t="str">
        <f>dados_01!D429</f>
        <v/>
      </c>
      <c r="E429" s="1" t="str">
        <f>CONCATENATE(LEFT(dados_01!E429,3),REPT("*",6),RIGHT(dados_01!E429,2))</f>
        <v>******</v>
      </c>
      <c r="F429" s="1" t="str">
        <f>dados_01!F429</f>
        <v/>
      </c>
      <c r="G429" s="1" t="str">
        <f>dados_01!G429</f>
        <v/>
      </c>
      <c r="H429" s="1" t="str">
        <f>dados_01!H429</f>
        <v/>
      </c>
      <c r="I429" s="1" t="str">
        <f>dados_01!I429</f>
        <v/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 t="str">
        <f>dados_01!A430</f>
        <v/>
      </c>
      <c r="B430" s="1" t="str">
        <f>dados_01!B430</f>
        <v/>
      </c>
      <c r="C430" s="1" t="str">
        <f>IFERROR(__xludf.DUMMYFUNCTION("JOIN("". "", ARRAYFORMULA(IFERROR(LEFT(SPLIT(dados_01!C430, "" ""), 1))))"),"")</f>
        <v/>
      </c>
      <c r="D430" s="1" t="str">
        <f>dados_01!D430</f>
        <v/>
      </c>
      <c r="E430" s="1" t="str">
        <f>CONCATENATE(LEFT(dados_01!E430,3),REPT("*",6),RIGHT(dados_01!E430,2))</f>
        <v>******</v>
      </c>
      <c r="F430" s="1" t="str">
        <f>dados_01!F430</f>
        <v/>
      </c>
      <c r="G430" s="1" t="str">
        <f>dados_01!G430</f>
        <v/>
      </c>
      <c r="H430" s="1" t="str">
        <f>dados_01!H430</f>
        <v/>
      </c>
      <c r="I430" s="1" t="str">
        <f>dados_01!I430</f>
        <v/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 t="str">
        <f>dados_01!A431</f>
        <v/>
      </c>
      <c r="B431" s="1" t="str">
        <f>dados_01!B431</f>
        <v/>
      </c>
      <c r="C431" s="1" t="str">
        <f>IFERROR(__xludf.DUMMYFUNCTION("JOIN("". "", ARRAYFORMULA(IFERROR(LEFT(SPLIT(dados_01!C431, "" ""), 1))))"),"")</f>
        <v/>
      </c>
      <c r="D431" s="1" t="str">
        <f>dados_01!D431</f>
        <v/>
      </c>
      <c r="E431" s="1" t="str">
        <f>CONCATENATE(LEFT(dados_01!E431,3),REPT("*",6),RIGHT(dados_01!E431,2))</f>
        <v>******</v>
      </c>
      <c r="F431" s="1" t="str">
        <f>dados_01!F431</f>
        <v/>
      </c>
      <c r="G431" s="1" t="str">
        <f>dados_01!G431</f>
        <v/>
      </c>
      <c r="H431" s="1" t="str">
        <f>dados_01!H431</f>
        <v/>
      </c>
      <c r="I431" s="1" t="str">
        <f>dados_01!I431</f>
        <v/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 t="str">
        <f>dados_01!A432</f>
        <v/>
      </c>
      <c r="B432" s="1" t="str">
        <f>dados_01!B432</f>
        <v/>
      </c>
      <c r="C432" s="1" t="str">
        <f>IFERROR(__xludf.DUMMYFUNCTION("JOIN("". "", ARRAYFORMULA(IFERROR(LEFT(SPLIT(dados_01!C432, "" ""), 1))))"),"")</f>
        <v/>
      </c>
      <c r="D432" s="1" t="str">
        <f>dados_01!D432</f>
        <v/>
      </c>
      <c r="E432" s="1" t="str">
        <f>CONCATENATE(LEFT(dados_01!E432,3),REPT("*",6),RIGHT(dados_01!E432,2))</f>
        <v>******</v>
      </c>
      <c r="F432" s="1" t="str">
        <f>dados_01!F432</f>
        <v/>
      </c>
      <c r="G432" s="1" t="str">
        <f>dados_01!G432</f>
        <v/>
      </c>
      <c r="H432" s="1" t="str">
        <f>dados_01!H432</f>
        <v/>
      </c>
      <c r="I432" s="1" t="str">
        <f>dados_01!I432</f>
        <v/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 t="str">
        <f>dados_01!A433</f>
        <v/>
      </c>
      <c r="B433" s="1" t="str">
        <f>dados_01!B433</f>
        <v/>
      </c>
      <c r="C433" s="1" t="str">
        <f>IFERROR(__xludf.DUMMYFUNCTION("JOIN("". "", ARRAYFORMULA(IFERROR(LEFT(SPLIT(dados_01!C433, "" ""), 1))))"),"")</f>
        <v/>
      </c>
      <c r="D433" s="1" t="str">
        <f>dados_01!D433</f>
        <v/>
      </c>
      <c r="E433" s="1" t="str">
        <f>CONCATENATE(LEFT(dados_01!E433,3),REPT("*",6),RIGHT(dados_01!E433,2))</f>
        <v>******</v>
      </c>
      <c r="F433" s="1" t="str">
        <f>dados_01!F433</f>
        <v/>
      </c>
      <c r="G433" s="1" t="str">
        <f>dados_01!G433</f>
        <v/>
      </c>
      <c r="H433" s="1" t="str">
        <f>dados_01!H433</f>
        <v/>
      </c>
      <c r="I433" s="1" t="str">
        <f>dados_01!I433</f>
        <v/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 t="str">
        <f>dados_01!A434</f>
        <v/>
      </c>
      <c r="B434" s="1" t="str">
        <f>dados_01!B434</f>
        <v/>
      </c>
      <c r="C434" s="1" t="str">
        <f>IFERROR(__xludf.DUMMYFUNCTION("JOIN("". "", ARRAYFORMULA(IFERROR(LEFT(SPLIT(dados_01!C434, "" ""), 1))))"),"")</f>
        <v/>
      </c>
      <c r="D434" s="1" t="str">
        <f>dados_01!D434</f>
        <v/>
      </c>
      <c r="E434" s="1" t="str">
        <f>CONCATENATE(LEFT(dados_01!E434,3),REPT("*",6),RIGHT(dados_01!E434,2))</f>
        <v>******</v>
      </c>
      <c r="F434" s="1" t="str">
        <f>dados_01!F434</f>
        <v/>
      </c>
      <c r="G434" s="1" t="str">
        <f>dados_01!G434</f>
        <v/>
      </c>
      <c r="H434" s="1" t="str">
        <f>dados_01!H434</f>
        <v/>
      </c>
      <c r="I434" s="1" t="str">
        <f>dados_01!I434</f>
        <v/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 t="str">
        <f>dados_01!A435</f>
        <v/>
      </c>
      <c r="B435" s="1" t="str">
        <f>dados_01!B435</f>
        <v/>
      </c>
      <c r="C435" s="1" t="str">
        <f>IFERROR(__xludf.DUMMYFUNCTION("JOIN("". "", ARRAYFORMULA(IFERROR(LEFT(SPLIT(dados_01!C435, "" ""), 1))))"),"")</f>
        <v/>
      </c>
      <c r="D435" s="1" t="str">
        <f>dados_01!D435</f>
        <v/>
      </c>
      <c r="E435" s="1" t="str">
        <f>CONCATENATE(LEFT(dados_01!E435,3),REPT("*",6),RIGHT(dados_01!E435,2))</f>
        <v>******</v>
      </c>
      <c r="F435" s="1" t="str">
        <f>dados_01!F435</f>
        <v/>
      </c>
      <c r="G435" s="1" t="str">
        <f>dados_01!G435</f>
        <v/>
      </c>
      <c r="H435" s="1" t="str">
        <f>dados_01!H435</f>
        <v/>
      </c>
      <c r="I435" s="1" t="str">
        <f>dados_01!I435</f>
        <v/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 t="str">
        <f>dados_01!A436</f>
        <v/>
      </c>
      <c r="B436" s="1" t="str">
        <f>dados_01!B436</f>
        <v/>
      </c>
      <c r="C436" s="1" t="str">
        <f>IFERROR(__xludf.DUMMYFUNCTION("JOIN("". "", ARRAYFORMULA(IFERROR(LEFT(SPLIT(dados_01!C436, "" ""), 1))))"),"")</f>
        <v/>
      </c>
      <c r="D436" s="1" t="str">
        <f>dados_01!D436</f>
        <v/>
      </c>
      <c r="E436" s="1" t="str">
        <f>CONCATENATE(LEFT(dados_01!E436,3),REPT("*",6),RIGHT(dados_01!E436,2))</f>
        <v>******</v>
      </c>
      <c r="F436" s="1" t="str">
        <f>dados_01!F436</f>
        <v/>
      </c>
      <c r="G436" s="1" t="str">
        <f>dados_01!G436</f>
        <v/>
      </c>
      <c r="H436" s="1" t="str">
        <f>dados_01!H436</f>
        <v/>
      </c>
      <c r="I436" s="1" t="str">
        <f>dados_01!I436</f>
        <v/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 t="str">
        <f>dados_01!A437</f>
        <v/>
      </c>
      <c r="B437" s="1" t="str">
        <f>dados_01!B437</f>
        <v/>
      </c>
      <c r="C437" s="1" t="str">
        <f>IFERROR(__xludf.DUMMYFUNCTION("JOIN("". "", ARRAYFORMULA(IFERROR(LEFT(SPLIT(dados_01!C437, "" ""), 1))))"),"")</f>
        <v/>
      </c>
      <c r="D437" s="1" t="str">
        <f>dados_01!D437</f>
        <v/>
      </c>
      <c r="E437" s="1" t="str">
        <f>CONCATENATE(LEFT(dados_01!E437,3),REPT("*",6),RIGHT(dados_01!E437,2))</f>
        <v>******</v>
      </c>
      <c r="F437" s="1" t="str">
        <f>dados_01!F437</f>
        <v/>
      </c>
      <c r="G437" s="1" t="str">
        <f>dados_01!G437</f>
        <v/>
      </c>
      <c r="H437" s="1" t="str">
        <f>dados_01!H437</f>
        <v/>
      </c>
      <c r="I437" s="1" t="str">
        <f>dados_01!I437</f>
        <v/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 t="str">
        <f>dados_01!A438</f>
        <v/>
      </c>
      <c r="B438" s="1" t="str">
        <f>dados_01!B438</f>
        <v/>
      </c>
      <c r="C438" s="1" t="str">
        <f>IFERROR(__xludf.DUMMYFUNCTION("JOIN("". "", ARRAYFORMULA(IFERROR(LEFT(SPLIT(dados_01!C438, "" ""), 1))))"),"")</f>
        <v/>
      </c>
      <c r="D438" s="1" t="str">
        <f>dados_01!D438</f>
        <v/>
      </c>
      <c r="E438" s="1" t="str">
        <f>CONCATENATE(LEFT(dados_01!E438,3),REPT("*",6),RIGHT(dados_01!E438,2))</f>
        <v>******</v>
      </c>
      <c r="F438" s="1" t="str">
        <f>dados_01!F438</f>
        <v/>
      </c>
      <c r="G438" s="1" t="str">
        <f>dados_01!G438</f>
        <v/>
      </c>
      <c r="H438" s="1" t="str">
        <f>dados_01!H438</f>
        <v/>
      </c>
      <c r="I438" s="1" t="str">
        <f>dados_01!I438</f>
        <v/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 t="str">
        <f>dados_01!A439</f>
        <v/>
      </c>
      <c r="B439" s="1" t="str">
        <f>dados_01!B439</f>
        <v/>
      </c>
      <c r="C439" s="1" t="str">
        <f>IFERROR(__xludf.DUMMYFUNCTION("JOIN("". "", ARRAYFORMULA(IFERROR(LEFT(SPLIT(dados_01!C439, "" ""), 1))))"),"")</f>
        <v/>
      </c>
      <c r="D439" s="1" t="str">
        <f>dados_01!D439</f>
        <v/>
      </c>
      <c r="E439" s="1" t="str">
        <f>CONCATENATE(LEFT(dados_01!E439,3),REPT("*",6),RIGHT(dados_01!E439,2))</f>
        <v>******</v>
      </c>
      <c r="F439" s="1" t="str">
        <f>dados_01!F439</f>
        <v/>
      </c>
      <c r="G439" s="1" t="str">
        <f>dados_01!G439</f>
        <v/>
      </c>
      <c r="H439" s="1" t="str">
        <f>dados_01!H439</f>
        <v/>
      </c>
      <c r="I439" s="1" t="str">
        <f>dados_01!I439</f>
        <v/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 t="str">
        <f>dados_01!A440</f>
        <v/>
      </c>
      <c r="B440" s="1" t="str">
        <f>dados_01!B440</f>
        <v/>
      </c>
      <c r="C440" s="1" t="str">
        <f>IFERROR(__xludf.DUMMYFUNCTION("JOIN("". "", ARRAYFORMULA(IFERROR(LEFT(SPLIT(dados_01!C440, "" ""), 1))))"),"")</f>
        <v/>
      </c>
      <c r="D440" s="1" t="str">
        <f>dados_01!D440</f>
        <v/>
      </c>
      <c r="E440" s="1" t="str">
        <f>CONCATENATE(LEFT(dados_01!E440,3),REPT("*",6),RIGHT(dados_01!E440,2))</f>
        <v>******</v>
      </c>
      <c r="F440" s="1" t="str">
        <f>dados_01!F440</f>
        <v/>
      </c>
      <c r="G440" s="1" t="str">
        <f>dados_01!G440</f>
        <v/>
      </c>
      <c r="H440" s="1" t="str">
        <f>dados_01!H440</f>
        <v/>
      </c>
      <c r="I440" s="1" t="str">
        <f>dados_01!I440</f>
        <v/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 t="str">
        <f>dados_01!A441</f>
        <v/>
      </c>
      <c r="B441" s="1" t="str">
        <f>dados_01!B441</f>
        <v/>
      </c>
      <c r="C441" s="1" t="str">
        <f>IFERROR(__xludf.DUMMYFUNCTION("JOIN("". "", ARRAYFORMULA(IFERROR(LEFT(SPLIT(dados_01!C441, "" ""), 1))))"),"")</f>
        <v/>
      </c>
      <c r="D441" s="1" t="str">
        <f>dados_01!D441</f>
        <v/>
      </c>
      <c r="E441" s="1" t="str">
        <f>CONCATENATE(LEFT(dados_01!E441,3),REPT("*",6),RIGHT(dados_01!E441,2))</f>
        <v>******</v>
      </c>
      <c r="F441" s="1" t="str">
        <f>dados_01!F441</f>
        <v/>
      </c>
      <c r="G441" s="1" t="str">
        <f>dados_01!G441</f>
        <v/>
      </c>
      <c r="H441" s="1" t="str">
        <f>dados_01!H441</f>
        <v/>
      </c>
      <c r="I441" s="1" t="str">
        <f>dados_01!I441</f>
        <v/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 t="str">
        <f>dados_01!A442</f>
        <v/>
      </c>
      <c r="B442" s="1" t="str">
        <f>dados_01!B442</f>
        <v/>
      </c>
      <c r="C442" s="1" t="str">
        <f>IFERROR(__xludf.DUMMYFUNCTION("JOIN("". "", ARRAYFORMULA(IFERROR(LEFT(SPLIT(dados_01!C442, "" ""), 1))))"),"")</f>
        <v/>
      </c>
      <c r="D442" s="1" t="str">
        <f>dados_01!D442</f>
        <v/>
      </c>
      <c r="E442" s="1" t="str">
        <f>CONCATENATE(LEFT(dados_01!E442,3),REPT("*",6),RIGHT(dados_01!E442,2))</f>
        <v>******</v>
      </c>
      <c r="F442" s="1" t="str">
        <f>dados_01!F442</f>
        <v/>
      </c>
      <c r="G442" s="1" t="str">
        <f>dados_01!G442</f>
        <v/>
      </c>
      <c r="H442" s="1" t="str">
        <f>dados_01!H442</f>
        <v/>
      </c>
      <c r="I442" s="1" t="str">
        <f>dados_01!I442</f>
        <v/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 t="str">
        <f>dados_01!A443</f>
        <v/>
      </c>
      <c r="B443" s="1" t="str">
        <f>dados_01!B443</f>
        <v/>
      </c>
      <c r="C443" s="1" t="str">
        <f>IFERROR(__xludf.DUMMYFUNCTION("JOIN("". "", ARRAYFORMULA(IFERROR(LEFT(SPLIT(dados_01!C443, "" ""), 1))))"),"")</f>
        <v/>
      </c>
      <c r="D443" s="1" t="str">
        <f>dados_01!D443</f>
        <v/>
      </c>
      <c r="E443" s="1" t="str">
        <f>CONCATENATE(LEFT(dados_01!E443,3),REPT("*",6),RIGHT(dados_01!E443,2))</f>
        <v>******</v>
      </c>
      <c r="F443" s="1" t="str">
        <f>dados_01!F443</f>
        <v/>
      </c>
      <c r="G443" s="1" t="str">
        <f>dados_01!G443</f>
        <v/>
      </c>
      <c r="H443" s="1" t="str">
        <f>dados_01!H443</f>
        <v/>
      </c>
      <c r="I443" s="1" t="str">
        <f>dados_01!I443</f>
        <v/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 t="str">
        <f>dados_01!A444</f>
        <v/>
      </c>
      <c r="B444" s="1" t="str">
        <f>dados_01!B444</f>
        <v/>
      </c>
      <c r="C444" s="1" t="str">
        <f>IFERROR(__xludf.DUMMYFUNCTION("JOIN("". "", ARRAYFORMULA(IFERROR(LEFT(SPLIT(dados_01!C444, "" ""), 1))))"),"")</f>
        <v/>
      </c>
      <c r="D444" s="1" t="str">
        <f>dados_01!D444</f>
        <v/>
      </c>
      <c r="E444" s="1" t="str">
        <f>CONCATENATE(LEFT(dados_01!E444,3),REPT("*",6),RIGHT(dados_01!E444,2))</f>
        <v>******</v>
      </c>
      <c r="F444" s="1" t="str">
        <f>dados_01!F444</f>
        <v/>
      </c>
      <c r="G444" s="1" t="str">
        <f>dados_01!G444</f>
        <v/>
      </c>
      <c r="H444" s="1" t="str">
        <f>dados_01!H444</f>
        <v/>
      </c>
      <c r="I444" s="1" t="str">
        <f>dados_01!I444</f>
        <v/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 t="str">
        <f>dados_01!A445</f>
        <v/>
      </c>
      <c r="B445" s="1" t="str">
        <f>dados_01!B445</f>
        <v/>
      </c>
      <c r="C445" s="1" t="str">
        <f>IFERROR(__xludf.DUMMYFUNCTION("JOIN("". "", ARRAYFORMULA(IFERROR(LEFT(SPLIT(dados_01!C445, "" ""), 1))))"),"")</f>
        <v/>
      </c>
      <c r="D445" s="1" t="str">
        <f>dados_01!D445</f>
        <v/>
      </c>
      <c r="E445" s="1" t="str">
        <f>CONCATENATE(LEFT(dados_01!E445,3),REPT("*",6),RIGHT(dados_01!E445,2))</f>
        <v>******</v>
      </c>
      <c r="F445" s="1" t="str">
        <f>dados_01!F445</f>
        <v/>
      </c>
      <c r="G445" s="1" t="str">
        <f>dados_01!G445</f>
        <v/>
      </c>
      <c r="H445" s="1" t="str">
        <f>dados_01!H445</f>
        <v/>
      </c>
      <c r="I445" s="1" t="str">
        <f>dados_01!I445</f>
        <v/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 t="str">
        <f>dados_01!A446</f>
        <v/>
      </c>
      <c r="B446" s="1" t="str">
        <f>dados_01!B446</f>
        <v/>
      </c>
      <c r="C446" s="1" t="str">
        <f>IFERROR(__xludf.DUMMYFUNCTION("JOIN("". "", ARRAYFORMULA(IFERROR(LEFT(SPLIT(dados_01!C446, "" ""), 1))))"),"")</f>
        <v/>
      </c>
      <c r="D446" s="1" t="str">
        <f>dados_01!D446</f>
        <v/>
      </c>
      <c r="E446" s="1" t="str">
        <f>CONCATENATE(LEFT(dados_01!E446,3),REPT("*",6),RIGHT(dados_01!E446,2))</f>
        <v>******</v>
      </c>
      <c r="F446" s="1" t="str">
        <f>dados_01!F446</f>
        <v/>
      </c>
      <c r="G446" s="1" t="str">
        <f>dados_01!G446</f>
        <v/>
      </c>
      <c r="H446" s="1" t="str">
        <f>dados_01!H446</f>
        <v/>
      </c>
      <c r="I446" s="1" t="str">
        <f>dados_01!I446</f>
        <v/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 t="str">
        <f>dados_01!A447</f>
        <v/>
      </c>
      <c r="B447" s="1" t="str">
        <f>dados_01!B447</f>
        <v/>
      </c>
      <c r="C447" s="1" t="str">
        <f>IFERROR(__xludf.DUMMYFUNCTION("JOIN("". "", ARRAYFORMULA(IFERROR(LEFT(SPLIT(dados_01!C447, "" ""), 1))))"),"")</f>
        <v/>
      </c>
      <c r="D447" s="1" t="str">
        <f>dados_01!D447</f>
        <v/>
      </c>
      <c r="E447" s="1" t="str">
        <f>CONCATENATE(LEFT(dados_01!E447,3),REPT("*",6),RIGHT(dados_01!E447,2))</f>
        <v>******</v>
      </c>
      <c r="F447" s="1" t="str">
        <f>dados_01!F447</f>
        <v/>
      </c>
      <c r="G447" s="1" t="str">
        <f>dados_01!G447</f>
        <v/>
      </c>
      <c r="H447" s="1" t="str">
        <f>dados_01!H447</f>
        <v/>
      </c>
      <c r="I447" s="1" t="str">
        <f>dados_01!I447</f>
        <v/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 t="str">
        <f>dados_01!A448</f>
        <v/>
      </c>
      <c r="B448" s="1" t="str">
        <f>dados_01!B448</f>
        <v/>
      </c>
      <c r="C448" s="1" t="str">
        <f>IFERROR(__xludf.DUMMYFUNCTION("JOIN("". "", ARRAYFORMULA(IFERROR(LEFT(SPLIT(dados_01!C448, "" ""), 1))))"),"")</f>
        <v/>
      </c>
      <c r="D448" s="1" t="str">
        <f>dados_01!D448</f>
        <v/>
      </c>
      <c r="E448" s="1" t="str">
        <f>CONCATENATE(LEFT(dados_01!E448,3),REPT("*",6),RIGHT(dados_01!E448,2))</f>
        <v>******</v>
      </c>
      <c r="F448" s="1" t="str">
        <f>dados_01!F448</f>
        <v/>
      </c>
      <c r="G448" s="1" t="str">
        <f>dados_01!G448</f>
        <v/>
      </c>
      <c r="H448" s="1" t="str">
        <f>dados_01!H448</f>
        <v/>
      </c>
      <c r="I448" s="1" t="str">
        <f>dados_01!I448</f>
        <v/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 t="str">
        <f>dados_01!A449</f>
        <v/>
      </c>
      <c r="B449" s="1" t="str">
        <f>dados_01!B449</f>
        <v/>
      </c>
      <c r="C449" s="1" t="str">
        <f>IFERROR(__xludf.DUMMYFUNCTION("JOIN("". "", ARRAYFORMULA(IFERROR(LEFT(SPLIT(dados_01!C449, "" ""), 1))))"),"")</f>
        <v/>
      </c>
      <c r="D449" s="1" t="str">
        <f>dados_01!D449</f>
        <v/>
      </c>
      <c r="E449" s="1" t="str">
        <f>CONCATENATE(LEFT(dados_01!E449,3),REPT("*",6),RIGHT(dados_01!E449,2))</f>
        <v>******</v>
      </c>
      <c r="F449" s="1" t="str">
        <f>dados_01!F449</f>
        <v/>
      </c>
      <c r="G449" s="1" t="str">
        <f>dados_01!G449</f>
        <v/>
      </c>
      <c r="H449" s="1" t="str">
        <f>dados_01!H449</f>
        <v/>
      </c>
      <c r="I449" s="1" t="str">
        <f>dados_01!I449</f>
        <v/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 t="str">
        <f>dados_01!A450</f>
        <v/>
      </c>
      <c r="B450" s="1" t="str">
        <f>dados_01!B450</f>
        <v/>
      </c>
      <c r="C450" s="1" t="str">
        <f>IFERROR(__xludf.DUMMYFUNCTION("JOIN("". "", ARRAYFORMULA(IFERROR(LEFT(SPLIT(dados_01!C450, "" ""), 1))))"),"")</f>
        <v/>
      </c>
      <c r="D450" s="1" t="str">
        <f>dados_01!D450</f>
        <v/>
      </c>
      <c r="E450" s="1" t="str">
        <f>CONCATENATE(LEFT(dados_01!E450,3),REPT("*",6),RIGHT(dados_01!E450,2))</f>
        <v>******</v>
      </c>
      <c r="F450" s="1" t="str">
        <f>dados_01!F450</f>
        <v/>
      </c>
      <c r="G450" s="1" t="str">
        <f>dados_01!G450</f>
        <v/>
      </c>
      <c r="H450" s="1" t="str">
        <f>dados_01!H450</f>
        <v/>
      </c>
      <c r="I450" s="1" t="str">
        <f>dados_01!I450</f>
        <v/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 t="str">
        <f>dados_01!A451</f>
        <v/>
      </c>
      <c r="B451" s="1" t="str">
        <f>dados_01!B451</f>
        <v/>
      </c>
      <c r="C451" s="1" t="str">
        <f>IFERROR(__xludf.DUMMYFUNCTION("JOIN("". "", ARRAYFORMULA(IFERROR(LEFT(SPLIT(dados_01!C451, "" ""), 1))))"),"")</f>
        <v/>
      </c>
      <c r="D451" s="1" t="str">
        <f>dados_01!D451</f>
        <v/>
      </c>
      <c r="E451" s="1" t="str">
        <f>CONCATENATE(LEFT(dados_01!E451,3),REPT("*",6),RIGHT(dados_01!E451,2))</f>
        <v>******</v>
      </c>
      <c r="F451" s="1" t="str">
        <f>dados_01!F451</f>
        <v/>
      </c>
      <c r="G451" s="1" t="str">
        <f>dados_01!G451</f>
        <v/>
      </c>
      <c r="H451" s="1" t="str">
        <f>dados_01!H451</f>
        <v/>
      </c>
      <c r="I451" s="1" t="str">
        <f>dados_01!I451</f>
        <v/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 t="str">
        <f>dados_01!A452</f>
        <v/>
      </c>
      <c r="B452" s="1" t="str">
        <f>dados_01!B452</f>
        <v/>
      </c>
      <c r="C452" s="1" t="str">
        <f>IFERROR(__xludf.DUMMYFUNCTION("JOIN("". "", ARRAYFORMULA(IFERROR(LEFT(SPLIT(dados_01!C452, "" ""), 1))))"),"")</f>
        <v/>
      </c>
      <c r="D452" s="1" t="str">
        <f>dados_01!D452</f>
        <v/>
      </c>
      <c r="E452" s="1" t="str">
        <f>CONCATENATE(LEFT(dados_01!E452,3),REPT("*",6),RIGHT(dados_01!E452,2))</f>
        <v>******</v>
      </c>
      <c r="F452" s="1" t="str">
        <f>dados_01!F452</f>
        <v/>
      </c>
      <c r="G452" s="1" t="str">
        <f>dados_01!G452</f>
        <v/>
      </c>
      <c r="H452" s="1" t="str">
        <f>dados_01!H452</f>
        <v/>
      </c>
      <c r="I452" s="1" t="str">
        <f>dados_01!I452</f>
        <v/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 t="str">
        <f>dados_01!A453</f>
        <v/>
      </c>
      <c r="B453" s="1" t="str">
        <f>dados_01!B453</f>
        <v/>
      </c>
      <c r="C453" s="1" t="str">
        <f>IFERROR(__xludf.DUMMYFUNCTION("JOIN("". "", ARRAYFORMULA(IFERROR(LEFT(SPLIT(dados_01!C453, "" ""), 1))))"),"")</f>
        <v/>
      </c>
      <c r="D453" s="1" t="str">
        <f>dados_01!D453</f>
        <v/>
      </c>
      <c r="E453" s="1" t="str">
        <f>CONCATENATE(LEFT(dados_01!E453,3),REPT("*",6),RIGHT(dados_01!E453,2))</f>
        <v>******</v>
      </c>
      <c r="F453" s="1" t="str">
        <f>dados_01!F453</f>
        <v/>
      </c>
      <c r="G453" s="1" t="str">
        <f>dados_01!G453</f>
        <v/>
      </c>
      <c r="H453" s="1" t="str">
        <f>dados_01!H453</f>
        <v/>
      </c>
      <c r="I453" s="1" t="str">
        <f>dados_01!I453</f>
        <v/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 t="str">
        <f>dados_01!A454</f>
        <v/>
      </c>
      <c r="B454" s="1" t="str">
        <f>dados_01!B454</f>
        <v/>
      </c>
      <c r="C454" s="1" t="str">
        <f>IFERROR(__xludf.DUMMYFUNCTION("JOIN("". "", ARRAYFORMULA(IFERROR(LEFT(SPLIT(dados_01!C454, "" ""), 1))))"),"")</f>
        <v/>
      </c>
      <c r="D454" s="1" t="str">
        <f>dados_01!D454</f>
        <v/>
      </c>
      <c r="E454" s="1" t="str">
        <f>CONCATENATE(LEFT(dados_01!E454,3),REPT("*",6),RIGHT(dados_01!E454,2))</f>
        <v>******</v>
      </c>
      <c r="F454" s="1" t="str">
        <f>dados_01!F454</f>
        <v/>
      </c>
      <c r="G454" s="1" t="str">
        <f>dados_01!G454</f>
        <v/>
      </c>
      <c r="H454" s="1" t="str">
        <f>dados_01!H454</f>
        <v/>
      </c>
      <c r="I454" s="1" t="str">
        <f>dados_01!I454</f>
        <v/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 t="str">
        <f>dados_01!A455</f>
        <v/>
      </c>
      <c r="B455" s="1" t="str">
        <f>dados_01!B455</f>
        <v/>
      </c>
      <c r="C455" s="1" t="str">
        <f>IFERROR(__xludf.DUMMYFUNCTION("JOIN("". "", ARRAYFORMULA(IFERROR(LEFT(SPLIT(dados_01!C455, "" ""), 1))))"),"")</f>
        <v/>
      </c>
      <c r="D455" s="1" t="str">
        <f>dados_01!D455</f>
        <v/>
      </c>
      <c r="E455" s="1" t="str">
        <f>CONCATENATE(LEFT(dados_01!E455,3),REPT("*",6),RIGHT(dados_01!E455,2))</f>
        <v>******</v>
      </c>
      <c r="F455" s="1" t="str">
        <f>dados_01!F455</f>
        <v/>
      </c>
      <c r="G455" s="1" t="str">
        <f>dados_01!G455</f>
        <v/>
      </c>
      <c r="H455" s="1" t="str">
        <f>dados_01!H455</f>
        <v/>
      </c>
      <c r="I455" s="1" t="str">
        <f>dados_01!I455</f>
        <v/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 t="str">
        <f>dados_01!A456</f>
        <v/>
      </c>
      <c r="B456" s="1" t="str">
        <f>dados_01!B456</f>
        <v/>
      </c>
      <c r="C456" s="1" t="str">
        <f>IFERROR(__xludf.DUMMYFUNCTION("JOIN("". "", ARRAYFORMULA(IFERROR(LEFT(SPLIT(dados_01!C456, "" ""), 1))))"),"")</f>
        <v/>
      </c>
      <c r="D456" s="1" t="str">
        <f>dados_01!D456</f>
        <v/>
      </c>
      <c r="E456" s="1" t="str">
        <f>CONCATENATE(LEFT(dados_01!E456,3),REPT("*",6),RIGHT(dados_01!E456,2))</f>
        <v>******</v>
      </c>
      <c r="F456" s="1" t="str">
        <f>dados_01!F456</f>
        <v/>
      </c>
      <c r="G456" s="1" t="str">
        <f>dados_01!G456</f>
        <v/>
      </c>
      <c r="H456" s="1" t="str">
        <f>dados_01!H456</f>
        <v/>
      </c>
      <c r="I456" s="1" t="str">
        <f>dados_01!I456</f>
        <v/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 t="str">
        <f>dados_01!A457</f>
        <v/>
      </c>
      <c r="B457" s="1" t="str">
        <f>dados_01!B457</f>
        <v/>
      </c>
      <c r="C457" s="1" t="str">
        <f>IFERROR(__xludf.DUMMYFUNCTION("JOIN("". "", ARRAYFORMULA(IFERROR(LEFT(SPLIT(dados_01!C457, "" ""), 1))))"),"")</f>
        <v/>
      </c>
      <c r="D457" s="1" t="str">
        <f>dados_01!D457</f>
        <v/>
      </c>
      <c r="E457" s="1" t="str">
        <f>CONCATENATE(LEFT(dados_01!E457,3),REPT("*",6),RIGHT(dados_01!E457,2))</f>
        <v>******</v>
      </c>
      <c r="F457" s="1" t="str">
        <f>dados_01!F457</f>
        <v/>
      </c>
      <c r="G457" s="1" t="str">
        <f>dados_01!G457</f>
        <v/>
      </c>
      <c r="H457" s="1" t="str">
        <f>dados_01!H457</f>
        <v/>
      </c>
      <c r="I457" s="1" t="str">
        <f>dados_01!I457</f>
        <v/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 t="str">
        <f>dados_01!A458</f>
        <v/>
      </c>
      <c r="B458" s="1" t="str">
        <f>dados_01!B458</f>
        <v/>
      </c>
      <c r="C458" s="1" t="str">
        <f>IFERROR(__xludf.DUMMYFUNCTION("JOIN("". "", ARRAYFORMULA(IFERROR(LEFT(SPLIT(dados_01!C458, "" ""), 1))))"),"")</f>
        <v/>
      </c>
      <c r="D458" s="1" t="str">
        <f>dados_01!D458</f>
        <v/>
      </c>
      <c r="E458" s="1" t="str">
        <f>CONCATENATE(LEFT(dados_01!E458,3),REPT("*",6),RIGHT(dados_01!E458,2))</f>
        <v>******</v>
      </c>
      <c r="F458" s="1" t="str">
        <f>dados_01!F458</f>
        <v/>
      </c>
      <c r="G458" s="1" t="str">
        <f>dados_01!G458</f>
        <v/>
      </c>
      <c r="H458" s="1" t="str">
        <f>dados_01!H458</f>
        <v/>
      </c>
      <c r="I458" s="1" t="str">
        <f>dados_01!I458</f>
        <v/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 t="str">
        <f>dados_01!A459</f>
        <v/>
      </c>
      <c r="B459" s="1" t="str">
        <f>dados_01!B459</f>
        <v/>
      </c>
      <c r="C459" s="1" t="str">
        <f>IFERROR(__xludf.DUMMYFUNCTION("JOIN("". "", ARRAYFORMULA(IFERROR(LEFT(SPLIT(dados_01!C459, "" ""), 1))))"),"")</f>
        <v/>
      </c>
      <c r="D459" s="1" t="str">
        <f>dados_01!D459</f>
        <v/>
      </c>
      <c r="E459" s="1" t="str">
        <f>CONCATENATE(LEFT(dados_01!E459,3),REPT("*",6),RIGHT(dados_01!E459,2))</f>
        <v>******</v>
      </c>
      <c r="F459" s="1" t="str">
        <f>dados_01!F459</f>
        <v/>
      </c>
      <c r="G459" s="1" t="str">
        <f>dados_01!G459</f>
        <v/>
      </c>
      <c r="H459" s="1" t="str">
        <f>dados_01!H459</f>
        <v/>
      </c>
      <c r="I459" s="1" t="str">
        <f>dados_01!I459</f>
        <v/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 t="str">
        <f>dados_01!A460</f>
        <v/>
      </c>
      <c r="B460" s="1" t="str">
        <f>dados_01!B460</f>
        <v/>
      </c>
      <c r="C460" s="1" t="str">
        <f>IFERROR(__xludf.DUMMYFUNCTION("JOIN("". "", ARRAYFORMULA(IFERROR(LEFT(SPLIT(dados_01!C460, "" ""), 1))))"),"")</f>
        <v/>
      </c>
      <c r="D460" s="1" t="str">
        <f>dados_01!D460</f>
        <v/>
      </c>
      <c r="E460" s="1" t="str">
        <f>CONCATENATE(LEFT(dados_01!E460,3),REPT("*",6),RIGHT(dados_01!E460,2))</f>
        <v>******</v>
      </c>
      <c r="F460" s="1" t="str">
        <f>dados_01!F460</f>
        <v/>
      </c>
      <c r="G460" s="1" t="str">
        <f>dados_01!G460</f>
        <v/>
      </c>
      <c r="H460" s="1" t="str">
        <f>dados_01!H460</f>
        <v/>
      </c>
      <c r="I460" s="1" t="str">
        <f>dados_01!I460</f>
        <v/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 t="str">
        <f>dados_01!A461</f>
        <v/>
      </c>
      <c r="B461" s="1" t="str">
        <f>dados_01!B461</f>
        <v/>
      </c>
      <c r="C461" s="1" t="str">
        <f>IFERROR(__xludf.DUMMYFUNCTION("JOIN("". "", ARRAYFORMULA(IFERROR(LEFT(SPLIT(dados_01!C461, "" ""), 1))))"),"")</f>
        <v/>
      </c>
      <c r="D461" s="1" t="str">
        <f>dados_01!D461</f>
        <v/>
      </c>
      <c r="E461" s="1" t="str">
        <f>CONCATENATE(LEFT(dados_01!E461,3),REPT("*",6),RIGHT(dados_01!E461,2))</f>
        <v>******</v>
      </c>
      <c r="F461" s="1" t="str">
        <f>dados_01!F461</f>
        <v/>
      </c>
      <c r="G461" s="1" t="str">
        <f>dados_01!G461</f>
        <v/>
      </c>
      <c r="H461" s="1" t="str">
        <f>dados_01!H461</f>
        <v/>
      </c>
      <c r="I461" s="1" t="str">
        <f>dados_01!I461</f>
        <v/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 t="str">
        <f>dados_01!A462</f>
        <v/>
      </c>
      <c r="B462" s="1" t="str">
        <f>dados_01!B462</f>
        <v/>
      </c>
      <c r="C462" s="1" t="str">
        <f>IFERROR(__xludf.DUMMYFUNCTION("JOIN("". "", ARRAYFORMULA(IFERROR(LEFT(SPLIT(dados_01!C462, "" ""), 1))))"),"")</f>
        <v/>
      </c>
      <c r="D462" s="1" t="str">
        <f>dados_01!D462</f>
        <v/>
      </c>
      <c r="E462" s="1" t="str">
        <f>CONCATENATE(LEFT(dados_01!E462,3),REPT("*",6),RIGHT(dados_01!E462,2))</f>
        <v>******</v>
      </c>
      <c r="F462" s="1" t="str">
        <f>dados_01!F462</f>
        <v/>
      </c>
      <c r="G462" s="1" t="str">
        <f>dados_01!G462</f>
        <v/>
      </c>
      <c r="H462" s="1" t="str">
        <f>dados_01!H462</f>
        <v/>
      </c>
      <c r="I462" s="1" t="str">
        <f>dados_01!I462</f>
        <v/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 t="str">
        <f>dados_01!A463</f>
        <v/>
      </c>
      <c r="B463" s="1" t="str">
        <f>dados_01!B463</f>
        <v/>
      </c>
      <c r="C463" s="1" t="str">
        <f>IFERROR(__xludf.DUMMYFUNCTION("JOIN("". "", ARRAYFORMULA(IFERROR(LEFT(SPLIT(dados_01!C463, "" ""), 1))))"),"")</f>
        <v/>
      </c>
      <c r="D463" s="1" t="str">
        <f>dados_01!D463</f>
        <v/>
      </c>
      <c r="E463" s="1" t="str">
        <f>CONCATENATE(LEFT(dados_01!E463,3),REPT("*",6),RIGHT(dados_01!E463,2))</f>
        <v>******</v>
      </c>
      <c r="F463" s="1" t="str">
        <f>dados_01!F463</f>
        <v/>
      </c>
      <c r="G463" s="1" t="str">
        <f>dados_01!G463</f>
        <v/>
      </c>
      <c r="H463" s="1" t="str">
        <f>dados_01!H463</f>
        <v/>
      </c>
      <c r="I463" s="1" t="str">
        <f>dados_01!I463</f>
        <v/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 t="str">
        <f>dados_01!A464</f>
        <v/>
      </c>
      <c r="B464" s="1" t="str">
        <f>dados_01!B464</f>
        <v/>
      </c>
      <c r="C464" s="1" t="str">
        <f>IFERROR(__xludf.DUMMYFUNCTION("JOIN("". "", ARRAYFORMULA(IFERROR(LEFT(SPLIT(dados_01!C464, "" ""), 1))))"),"")</f>
        <v/>
      </c>
      <c r="D464" s="1" t="str">
        <f>dados_01!D464</f>
        <v/>
      </c>
      <c r="E464" s="1" t="str">
        <f>CONCATENATE(LEFT(dados_01!E464,3),REPT("*",6),RIGHT(dados_01!E464,2))</f>
        <v>******</v>
      </c>
      <c r="F464" s="1" t="str">
        <f>dados_01!F464</f>
        <v/>
      </c>
      <c r="G464" s="1" t="str">
        <f>dados_01!G464</f>
        <v/>
      </c>
      <c r="H464" s="1" t="str">
        <f>dados_01!H464</f>
        <v/>
      </c>
      <c r="I464" s="1" t="str">
        <f>dados_01!I464</f>
        <v/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 t="str">
        <f>dados_01!A465</f>
        <v/>
      </c>
      <c r="B465" s="1" t="str">
        <f>dados_01!B465</f>
        <v/>
      </c>
      <c r="C465" s="1" t="str">
        <f>IFERROR(__xludf.DUMMYFUNCTION("JOIN("". "", ARRAYFORMULA(IFERROR(LEFT(SPLIT(dados_01!C465, "" ""), 1))))"),"")</f>
        <v/>
      </c>
      <c r="D465" s="1" t="str">
        <f>dados_01!D465</f>
        <v/>
      </c>
      <c r="E465" s="1" t="str">
        <f>CONCATENATE(LEFT(dados_01!E465,3),REPT("*",6),RIGHT(dados_01!E465,2))</f>
        <v>******</v>
      </c>
      <c r="F465" s="1" t="str">
        <f>dados_01!F465</f>
        <v/>
      </c>
      <c r="G465" s="1" t="str">
        <f>dados_01!G465</f>
        <v/>
      </c>
      <c r="H465" s="1" t="str">
        <f>dados_01!H465</f>
        <v/>
      </c>
      <c r="I465" s="1" t="str">
        <f>dados_01!I465</f>
        <v/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 t="str">
        <f>dados_01!A466</f>
        <v/>
      </c>
      <c r="B466" s="1" t="str">
        <f>dados_01!B466</f>
        <v/>
      </c>
      <c r="C466" s="1" t="str">
        <f>IFERROR(__xludf.DUMMYFUNCTION("JOIN("". "", ARRAYFORMULA(IFERROR(LEFT(SPLIT(dados_01!C466, "" ""), 1))))"),"")</f>
        <v/>
      </c>
      <c r="D466" s="1" t="str">
        <f>dados_01!D466</f>
        <v/>
      </c>
      <c r="E466" s="1" t="str">
        <f>CONCATENATE(LEFT(dados_01!E466,3),REPT("*",6),RIGHT(dados_01!E466,2))</f>
        <v>******</v>
      </c>
      <c r="F466" s="1" t="str">
        <f>dados_01!F466</f>
        <v/>
      </c>
      <c r="G466" s="1" t="str">
        <f>dados_01!G466</f>
        <v/>
      </c>
      <c r="H466" s="1" t="str">
        <f>dados_01!H466</f>
        <v/>
      </c>
      <c r="I466" s="1" t="str">
        <f>dados_01!I466</f>
        <v/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 t="str">
        <f>dados_01!A467</f>
        <v/>
      </c>
      <c r="B467" s="1" t="str">
        <f>dados_01!B467</f>
        <v/>
      </c>
      <c r="C467" s="1" t="str">
        <f>IFERROR(__xludf.DUMMYFUNCTION("JOIN("". "", ARRAYFORMULA(IFERROR(LEFT(SPLIT(dados_01!C467, "" ""), 1))))"),"")</f>
        <v/>
      </c>
      <c r="D467" s="1" t="str">
        <f>dados_01!D467</f>
        <v/>
      </c>
      <c r="E467" s="1" t="str">
        <f>CONCATENATE(LEFT(dados_01!E467,3),REPT("*",6),RIGHT(dados_01!E467,2))</f>
        <v>******</v>
      </c>
      <c r="F467" s="1" t="str">
        <f>dados_01!F467</f>
        <v/>
      </c>
      <c r="G467" s="1" t="str">
        <f>dados_01!G467</f>
        <v/>
      </c>
      <c r="H467" s="1" t="str">
        <f>dados_01!H467</f>
        <v/>
      </c>
      <c r="I467" s="1" t="str">
        <f>dados_01!I467</f>
        <v/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 t="str">
        <f>dados_01!A468</f>
        <v/>
      </c>
      <c r="B468" s="1" t="str">
        <f>dados_01!B468</f>
        <v/>
      </c>
      <c r="C468" s="1" t="str">
        <f>IFERROR(__xludf.DUMMYFUNCTION("JOIN("". "", ARRAYFORMULA(IFERROR(LEFT(SPLIT(dados_01!C468, "" ""), 1))))"),"")</f>
        <v/>
      </c>
      <c r="D468" s="1" t="str">
        <f>dados_01!D468</f>
        <v/>
      </c>
      <c r="E468" s="1" t="str">
        <f>CONCATENATE(LEFT(dados_01!E468,3),REPT("*",6),RIGHT(dados_01!E468,2))</f>
        <v>******</v>
      </c>
      <c r="F468" s="1" t="str">
        <f>dados_01!F468</f>
        <v/>
      </c>
      <c r="G468" s="1" t="str">
        <f>dados_01!G468</f>
        <v/>
      </c>
      <c r="H468" s="1" t="str">
        <f>dados_01!H468</f>
        <v/>
      </c>
      <c r="I468" s="1" t="str">
        <f>dados_01!I468</f>
        <v/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 t="str">
        <f>dados_01!A469</f>
        <v/>
      </c>
      <c r="B469" s="1" t="str">
        <f>dados_01!B469</f>
        <v/>
      </c>
      <c r="C469" s="1" t="str">
        <f>IFERROR(__xludf.DUMMYFUNCTION("JOIN("". "", ARRAYFORMULA(IFERROR(LEFT(SPLIT(dados_01!C469, "" ""), 1))))"),"")</f>
        <v/>
      </c>
      <c r="D469" s="1" t="str">
        <f>dados_01!D469</f>
        <v/>
      </c>
      <c r="E469" s="1" t="str">
        <f>CONCATENATE(LEFT(dados_01!E469,3),REPT("*",6),RIGHT(dados_01!E469,2))</f>
        <v>******</v>
      </c>
      <c r="F469" s="1" t="str">
        <f>dados_01!F469</f>
        <v/>
      </c>
      <c r="G469" s="1" t="str">
        <f>dados_01!G469</f>
        <v/>
      </c>
      <c r="H469" s="1" t="str">
        <f>dados_01!H469</f>
        <v/>
      </c>
      <c r="I469" s="1" t="str">
        <f>dados_01!I469</f>
        <v/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 t="str">
        <f>dados_01!A470</f>
        <v/>
      </c>
      <c r="B470" s="1" t="str">
        <f>dados_01!B470</f>
        <v/>
      </c>
      <c r="C470" s="1" t="str">
        <f>IFERROR(__xludf.DUMMYFUNCTION("JOIN("". "", ARRAYFORMULA(IFERROR(LEFT(SPLIT(dados_01!C470, "" ""), 1))))"),"")</f>
        <v/>
      </c>
      <c r="D470" s="1" t="str">
        <f>dados_01!D470</f>
        <v/>
      </c>
      <c r="E470" s="1" t="str">
        <f>CONCATENATE(LEFT(dados_01!E470,3),REPT("*",6),RIGHT(dados_01!E470,2))</f>
        <v>******</v>
      </c>
      <c r="F470" s="1" t="str">
        <f>dados_01!F470</f>
        <v/>
      </c>
      <c r="G470" s="1" t="str">
        <f>dados_01!G470</f>
        <v/>
      </c>
      <c r="H470" s="1" t="str">
        <f>dados_01!H470</f>
        <v/>
      </c>
      <c r="I470" s="1" t="str">
        <f>dados_01!I470</f>
        <v/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 t="str">
        <f>dados_01!A471</f>
        <v/>
      </c>
      <c r="B471" s="1" t="str">
        <f>dados_01!B471</f>
        <v/>
      </c>
      <c r="C471" s="1" t="str">
        <f>IFERROR(__xludf.DUMMYFUNCTION("JOIN("". "", ARRAYFORMULA(IFERROR(LEFT(SPLIT(dados_01!C471, "" ""), 1))))"),"")</f>
        <v/>
      </c>
      <c r="D471" s="1" t="str">
        <f>dados_01!D471</f>
        <v/>
      </c>
      <c r="E471" s="1" t="str">
        <f>CONCATENATE(LEFT(dados_01!E471,3),REPT("*",6),RIGHT(dados_01!E471,2))</f>
        <v>******</v>
      </c>
      <c r="F471" s="1" t="str">
        <f>dados_01!F471</f>
        <v/>
      </c>
      <c r="G471" s="1" t="str">
        <f>dados_01!G471</f>
        <v/>
      </c>
      <c r="H471" s="1" t="str">
        <f>dados_01!H471</f>
        <v/>
      </c>
      <c r="I471" s="1" t="str">
        <f>dados_01!I471</f>
        <v/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 t="str">
        <f>dados_01!A472</f>
        <v/>
      </c>
      <c r="B472" s="1" t="str">
        <f>dados_01!B472</f>
        <v/>
      </c>
      <c r="C472" s="1" t="str">
        <f>IFERROR(__xludf.DUMMYFUNCTION("JOIN("". "", ARRAYFORMULA(IFERROR(LEFT(SPLIT(dados_01!C472, "" ""), 1))))"),"")</f>
        <v/>
      </c>
      <c r="D472" s="1" t="str">
        <f>dados_01!D472</f>
        <v/>
      </c>
      <c r="E472" s="1" t="str">
        <f>CONCATENATE(LEFT(dados_01!E472,3),REPT("*",6),RIGHT(dados_01!E472,2))</f>
        <v>******</v>
      </c>
      <c r="F472" s="1" t="str">
        <f>dados_01!F472</f>
        <v/>
      </c>
      <c r="G472" s="1" t="str">
        <f>dados_01!G472</f>
        <v/>
      </c>
      <c r="H472" s="1" t="str">
        <f>dados_01!H472</f>
        <v/>
      </c>
      <c r="I472" s="1" t="str">
        <f>dados_01!I472</f>
        <v/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 t="str">
        <f>dados_01!A473</f>
        <v/>
      </c>
      <c r="B473" s="1" t="str">
        <f>dados_01!B473</f>
        <v/>
      </c>
      <c r="C473" s="1" t="str">
        <f>IFERROR(__xludf.DUMMYFUNCTION("JOIN("". "", ARRAYFORMULA(IFERROR(LEFT(SPLIT(dados_01!C473, "" ""), 1))))"),"")</f>
        <v/>
      </c>
      <c r="D473" s="1" t="str">
        <f>dados_01!D473</f>
        <v/>
      </c>
      <c r="E473" s="1" t="str">
        <f>CONCATENATE(LEFT(dados_01!E473,3),REPT("*",6),RIGHT(dados_01!E473,2))</f>
        <v>******</v>
      </c>
      <c r="F473" s="1" t="str">
        <f>dados_01!F473</f>
        <v/>
      </c>
      <c r="G473" s="1" t="str">
        <f>dados_01!G473</f>
        <v/>
      </c>
      <c r="H473" s="1" t="str">
        <f>dados_01!H473</f>
        <v/>
      </c>
      <c r="I473" s="1" t="str">
        <f>dados_01!I473</f>
        <v/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 t="str">
        <f>dados_01!A474</f>
        <v/>
      </c>
      <c r="B474" s="1" t="str">
        <f>dados_01!B474</f>
        <v/>
      </c>
      <c r="C474" s="1" t="str">
        <f>IFERROR(__xludf.DUMMYFUNCTION("JOIN("". "", ARRAYFORMULA(IFERROR(LEFT(SPLIT(dados_01!C474, "" ""), 1))))"),"")</f>
        <v/>
      </c>
      <c r="D474" s="1" t="str">
        <f>dados_01!D474</f>
        <v/>
      </c>
      <c r="E474" s="1" t="str">
        <f>CONCATENATE(LEFT(dados_01!E474,3),REPT("*",6),RIGHT(dados_01!E474,2))</f>
        <v>******</v>
      </c>
      <c r="F474" s="1" t="str">
        <f>dados_01!F474</f>
        <v/>
      </c>
      <c r="G474" s="1" t="str">
        <f>dados_01!G474</f>
        <v/>
      </c>
      <c r="H474" s="1" t="str">
        <f>dados_01!H474</f>
        <v/>
      </c>
      <c r="I474" s="1" t="str">
        <f>dados_01!I474</f>
        <v/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 t="str">
        <f>dados_01!A475</f>
        <v/>
      </c>
      <c r="B475" s="1" t="str">
        <f>dados_01!B475</f>
        <v/>
      </c>
      <c r="C475" s="1" t="str">
        <f>IFERROR(__xludf.DUMMYFUNCTION("JOIN("". "", ARRAYFORMULA(IFERROR(LEFT(SPLIT(dados_01!C475, "" ""), 1))))"),"")</f>
        <v/>
      </c>
      <c r="D475" s="1" t="str">
        <f>dados_01!D475</f>
        <v/>
      </c>
      <c r="E475" s="1" t="str">
        <f>CONCATENATE(LEFT(dados_01!E475,3),REPT("*",6),RIGHT(dados_01!E475,2))</f>
        <v>******</v>
      </c>
      <c r="F475" s="1" t="str">
        <f>dados_01!F475</f>
        <v/>
      </c>
      <c r="G475" s="1" t="str">
        <f>dados_01!G475</f>
        <v/>
      </c>
      <c r="H475" s="1" t="str">
        <f>dados_01!H475</f>
        <v/>
      </c>
      <c r="I475" s="1" t="str">
        <f>dados_01!I475</f>
        <v/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 t="str">
        <f>dados_01!A476</f>
        <v/>
      </c>
      <c r="B476" s="1" t="str">
        <f>dados_01!B476</f>
        <v/>
      </c>
      <c r="C476" s="1" t="str">
        <f>IFERROR(__xludf.DUMMYFUNCTION("JOIN("". "", ARRAYFORMULA(IFERROR(LEFT(SPLIT(dados_01!C476, "" ""), 1))))"),"")</f>
        <v/>
      </c>
      <c r="D476" s="1" t="str">
        <f>dados_01!D476</f>
        <v/>
      </c>
      <c r="E476" s="1" t="str">
        <f>CONCATENATE(LEFT(dados_01!E476,3),REPT("*",6),RIGHT(dados_01!E476,2))</f>
        <v>******</v>
      </c>
      <c r="F476" s="1" t="str">
        <f>dados_01!F476</f>
        <v/>
      </c>
      <c r="G476" s="1" t="str">
        <f>dados_01!G476</f>
        <v/>
      </c>
      <c r="H476" s="1" t="str">
        <f>dados_01!H476</f>
        <v/>
      </c>
      <c r="I476" s="1" t="str">
        <f>dados_01!I476</f>
        <v/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 t="str">
        <f>dados_01!A477</f>
        <v/>
      </c>
      <c r="B477" s="1" t="str">
        <f>dados_01!B477</f>
        <v/>
      </c>
      <c r="C477" s="1" t="str">
        <f>IFERROR(__xludf.DUMMYFUNCTION("JOIN("". "", ARRAYFORMULA(IFERROR(LEFT(SPLIT(dados_01!C477, "" ""), 1))))"),"")</f>
        <v/>
      </c>
      <c r="D477" s="1" t="str">
        <f>dados_01!D477</f>
        <v/>
      </c>
      <c r="E477" s="1" t="str">
        <f>CONCATENATE(LEFT(dados_01!E477,3),REPT("*",6),RIGHT(dados_01!E477,2))</f>
        <v>******</v>
      </c>
      <c r="F477" s="1" t="str">
        <f>dados_01!F477</f>
        <v/>
      </c>
      <c r="G477" s="1" t="str">
        <f>dados_01!G477</f>
        <v/>
      </c>
      <c r="H477" s="1" t="str">
        <f>dados_01!H477</f>
        <v/>
      </c>
      <c r="I477" s="1" t="str">
        <f>dados_01!I477</f>
        <v/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 t="str">
        <f>dados_01!A478</f>
        <v/>
      </c>
      <c r="B478" s="1" t="str">
        <f>dados_01!B478</f>
        <v/>
      </c>
      <c r="C478" s="1" t="str">
        <f>IFERROR(__xludf.DUMMYFUNCTION("JOIN("". "", ARRAYFORMULA(IFERROR(LEFT(SPLIT(dados_01!C478, "" ""), 1))))"),"")</f>
        <v/>
      </c>
      <c r="D478" s="1" t="str">
        <f>dados_01!D478</f>
        <v/>
      </c>
      <c r="E478" s="1" t="str">
        <f>CONCATENATE(LEFT(dados_01!E478,3),REPT("*",6),RIGHT(dados_01!E478,2))</f>
        <v>******</v>
      </c>
      <c r="F478" s="1" t="str">
        <f>dados_01!F478</f>
        <v/>
      </c>
      <c r="G478" s="1" t="str">
        <f>dados_01!G478</f>
        <v/>
      </c>
      <c r="H478" s="1" t="str">
        <f>dados_01!H478</f>
        <v/>
      </c>
      <c r="I478" s="1" t="str">
        <f>dados_01!I478</f>
        <v/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 t="str">
        <f>dados_01!A479</f>
        <v/>
      </c>
      <c r="B479" s="1" t="str">
        <f>dados_01!B479</f>
        <v/>
      </c>
      <c r="C479" s="1" t="str">
        <f>IFERROR(__xludf.DUMMYFUNCTION("JOIN("". "", ARRAYFORMULA(IFERROR(LEFT(SPLIT(dados_01!C479, "" ""), 1))))"),"")</f>
        <v/>
      </c>
      <c r="D479" s="1" t="str">
        <f>dados_01!D479</f>
        <v/>
      </c>
      <c r="E479" s="1" t="str">
        <f>CONCATENATE(LEFT(dados_01!E479,3),REPT("*",6),RIGHT(dados_01!E479,2))</f>
        <v>******</v>
      </c>
      <c r="F479" s="1" t="str">
        <f>dados_01!F479</f>
        <v/>
      </c>
      <c r="G479" s="1" t="str">
        <f>dados_01!G479</f>
        <v/>
      </c>
      <c r="H479" s="1" t="str">
        <f>dados_01!H479</f>
        <v/>
      </c>
      <c r="I479" s="1" t="str">
        <f>dados_01!I479</f>
        <v/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 t="str">
        <f>dados_01!A480</f>
        <v/>
      </c>
      <c r="B480" s="1" t="str">
        <f>dados_01!B480</f>
        <v/>
      </c>
      <c r="C480" s="1" t="str">
        <f>IFERROR(__xludf.DUMMYFUNCTION("JOIN("". "", ARRAYFORMULA(IFERROR(LEFT(SPLIT(dados_01!C480, "" ""), 1))))"),"")</f>
        <v/>
      </c>
      <c r="D480" s="1" t="str">
        <f>dados_01!D480</f>
        <v/>
      </c>
      <c r="E480" s="1" t="str">
        <f>CONCATENATE(LEFT(dados_01!E480,3),REPT("*",6),RIGHT(dados_01!E480,2))</f>
        <v>******</v>
      </c>
      <c r="F480" s="1" t="str">
        <f>dados_01!F480</f>
        <v/>
      </c>
      <c r="G480" s="1" t="str">
        <f>dados_01!G480</f>
        <v/>
      </c>
      <c r="H480" s="1" t="str">
        <f>dados_01!H480</f>
        <v/>
      </c>
      <c r="I480" s="1" t="str">
        <f>dados_01!I480</f>
        <v/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 t="str">
        <f>dados_01!A481</f>
        <v/>
      </c>
      <c r="B481" s="1" t="str">
        <f>dados_01!B481</f>
        <v/>
      </c>
      <c r="C481" s="1" t="str">
        <f>IFERROR(__xludf.DUMMYFUNCTION("JOIN("". "", ARRAYFORMULA(IFERROR(LEFT(SPLIT(dados_01!C481, "" ""), 1))))"),"")</f>
        <v/>
      </c>
      <c r="D481" s="1" t="str">
        <f>dados_01!D481</f>
        <v/>
      </c>
      <c r="E481" s="1" t="str">
        <f>CONCATENATE(LEFT(dados_01!E481,3),REPT("*",6),RIGHT(dados_01!E481,2))</f>
        <v>******</v>
      </c>
      <c r="F481" s="1" t="str">
        <f>dados_01!F481</f>
        <v/>
      </c>
      <c r="G481" s="1" t="str">
        <f>dados_01!G481</f>
        <v/>
      </c>
      <c r="H481" s="1" t="str">
        <f>dados_01!H481</f>
        <v/>
      </c>
      <c r="I481" s="1" t="str">
        <f>dados_01!I481</f>
        <v/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 t="str">
        <f>dados_01!A482</f>
        <v/>
      </c>
      <c r="B482" s="1" t="str">
        <f>dados_01!B482</f>
        <v/>
      </c>
      <c r="C482" s="1" t="str">
        <f>IFERROR(__xludf.DUMMYFUNCTION("JOIN("". "", ARRAYFORMULA(IFERROR(LEFT(SPLIT(dados_01!C482, "" ""), 1))))"),"")</f>
        <v/>
      </c>
      <c r="D482" s="1" t="str">
        <f>dados_01!D482</f>
        <v/>
      </c>
      <c r="E482" s="1" t="str">
        <f>CONCATENATE(LEFT(dados_01!E482,3),REPT("*",6),RIGHT(dados_01!E482,2))</f>
        <v>******</v>
      </c>
      <c r="F482" s="1" t="str">
        <f>dados_01!F482</f>
        <v/>
      </c>
      <c r="G482" s="1" t="str">
        <f>dados_01!G482</f>
        <v/>
      </c>
      <c r="H482" s="1" t="str">
        <f>dados_01!H482</f>
        <v/>
      </c>
      <c r="I482" s="1" t="str">
        <f>dados_01!I482</f>
        <v/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 t="str">
        <f>dados_01!A483</f>
        <v/>
      </c>
      <c r="B483" s="1" t="str">
        <f>dados_01!B483</f>
        <v/>
      </c>
      <c r="C483" s="1" t="str">
        <f>IFERROR(__xludf.DUMMYFUNCTION("JOIN("". "", ARRAYFORMULA(IFERROR(LEFT(SPLIT(dados_01!C483, "" ""), 1))))"),"")</f>
        <v/>
      </c>
      <c r="D483" s="1" t="str">
        <f>dados_01!D483</f>
        <v/>
      </c>
      <c r="E483" s="1" t="str">
        <f>CONCATENATE(LEFT(dados_01!E483,3),REPT("*",6),RIGHT(dados_01!E483,2))</f>
        <v>******</v>
      </c>
      <c r="F483" s="1" t="str">
        <f>dados_01!F483</f>
        <v/>
      </c>
      <c r="G483" s="1" t="str">
        <f>dados_01!G483</f>
        <v/>
      </c>
      <c r="H483" s="1" t="str">
        <f>dados_01!H483</f>
        <v/>
      </c>
      <c r="I483" s="1" t="str">
        <f>dados_01!I483</f>
        <v/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 t="str">
        <f>dados_01!A484</f>
        <v/>
      </c>
      <c r="B484" s="1" t="str">
        <f>dados_01!B484</f>
        <v/>
      </c>
      <c r="C484" s="1" t="str">
        <f>IFERROR(__xludf.DUMMYFUNCTION("JOIN("". "", ARRAYFORMULA(IFERROR(LEFT(SPLIT(dados_01!C484, "" ""), 1))))"),"")</f>
        <v/>
      </c>
      <c r="D484" s="1" t="str">
        <f>dados_01!D484</f>
        <v/>
      </c>
      <c r="E484" s="1" t="str">
        <f>CONCATENATE(LEFT(dados_01!E484,3),REPT("*",6),RIGHT(dados_01!E484,2))</f>
        <v>******</v>
      </c>
      <c r="F484" s="1" t="str">
        <f>dados_01!F484</f>
        <v/>
      </c>
      <c r="G484" s="1" t="str">
        <f>dados_01!G484</f>
        <v/>
      </c>
      <c r="H484" s="1" t="str">
        <f>dados_01!H484</f>
        <v/>
      </c>
      <c r="I484" s="1" t="str">
        <f>dados_01!I484</f>
        <v/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 t="str">
        <f>dados_01!A485</f>
        <v/>
      </c>
      <c r="B485" s="1" t="str">
        <f>dados_01!B485</f>
        <v/>
      </c>
      <c r="C485" s="1" t="str">
        <f>IFERROR(__xludf.DUMMYFUNCTION("JOIN("". "", ARRAYFORMULA(IFERROR(LEFT(SPLIT(dados_01!C485, "" ""), 1))))"),"")</f>
        <v/>
      </c>
      <c r="D485" s="1" t="str">
        <f>dados_01!D485</f>
        <v/>
      </c>
      <c r="E485" s="1" t="str">
        <f>CONCATENATE(LEFT(dados_01!E485,3),REPT("*",6),RIGHT(dados_01!E485,2))</f>
        <v>******</v>
      </c>
      <c r="F485" s="1" t="str">
        <f>dados_01!F485</f>
        <v/>
      </c>
      <c r="G485" s="1" t="str">
        <f>dados_01!G485</f>
        <v/>
      </c>
      <c r="H485" s="1" t="str">
        <f>dados_01!H485</f>
        <v/>
      </c>
      <c r="I485" s="1" t="str">
        <f>dados_01!I485</f>
        <v/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 t="str">
        <f>dados_01!A486</f>
        <v/>
      </c>
      <c r="B486" s="1" t="str">
        <f>dados_01!B486</f>
        <v/>
      </c>
      <c r="C486" s="1" t="str">
        <f>IFERROR(__xludf.DUMMYFUNCTION("JOIN("". "", ARRAYFORMULA(IFERROR(LEFT(SPLIT(dados_01!C486, "" ""), 1))))"),"")</f>
        <v/>
      </c>
      <c r="D486" s="1" t="str">
        <f>dados_01!D486</f>
        <v/>
      </c>
      <c r="E486" s="1" t="str">
        <f>CONCATENATE(LEFT(dados_01!E486,3),REPT("*",6),RIGHT(dados_01!E486,2))</f>
        <v>******</v>
      </c>
      <c r="F486" s="1" t="str">
        <f>dados_01!F486</f>
        <v/>
      </c>
      <c r="G486" s="1" t="str">
        <f>dados_01!G486</f>
        <v/>
      </c>
      <c r="H486" s="1" t="str">
        <f>dados_01!H486</f>
        <v/>
      </c>
      <c r="I486" s="1" t="str">
        <f>dados_01!I486</f>
        <v/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 t="str">
        <f>dados_01!A487</f>
        <v/>
      </c>
      <c r="B487" s="1" t="str">
        <f>dados_01!B487</f>
        <v/>
      </c>
      <c r="C487" s="1" t="str">
        <f>IFERROR(__xludf.DUMMYFUNCTION("JOIN("". "", ARRAYFORMULA(IFERROR(LEFT(SPLIT(dados_01!C487, "" ""), 1))))"),"")</f>
        <v/>
      </c>
      <c r="D487" s="1" t="str">
        <f>dados_01!D487</f>
        <v/>
      </c>
      <c r="E487" s="1" t="str">
        <f>CONCATENATE(LEFT(dados_01!E487,3),REPT("*",6),RIGHT(dados_01!E487,2))</f>
        <v>******</v>
      </c>
      <c r="F487" s="1" t="str">
        <f>dados_01!F487</f>
        <v/>
      </c>
      <c r="G487" s="1" t="str">
        <f>dados_01!G487</f>
        <v/>
      </c>
      <c r="H487" s="1" t="str">
        <f>dados_01!H487</f>
        <v/>
      </c>
      <c r="I487" s="1" t="str">
        <f>dados_01!I487</f>
        <v/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 t="str">
        <f>dados_01!A488</f>
        <v/>
      </c>
      <c r="B488" s="1" t="str">
        <f>dados_01!B488</f>
        <v/>
      </c>
      <c r="C488" s="1" t="str">
        <f>IFERROR(__xludf.DUMMYFUNCTION("JOIN("". "", ARRAYFORMULA(IFERROR(LEFT(SPLIT(dados_01!C488, "" ""), 1))))"),"")</f>
        <v/>
      </c>
      <c r="D488" s="1" t="str">
        <f>dados_01!D488</f>
        <v/>
      </c>
      <c r="E488" s="1" t="str">
        <f>CONCATENATE(LEFT(dados_01!E488,3),REPT("*",6),RIGHT(dados_01!E488,2))</f>
        <v>******</v>
      </c>
      <c r="F488" s="1" t="str">
        <f>dados_01!F488</f>
        <v/>
      </c>
      <c r="G488" s="1" t="str">
        <f>dados_01!G488</f>
        <v/>
      </c>
      <c r="H488" s="1" t="str">
        <f>dados_01!H488</f>
        <v/>
      </c>
      <c r="I488" s="1" t="str">
        <f>dados_01!I488</f>
        <v/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 t="str">
        <f>dados_01!A489</f>
        <v/>
      </c>
      <c r="B489" s="1" t="str">
        <f>dados_01!B489</f>
        <v/>
      </c>
      <c r="C489" s="1" t="str">
        <f>IFERROR(__xludf.DUMMYFUNCTION("JOIN("". "", ARRAYFORMULA(IFERROR(LEFT(SPLIT(dados_01!C489, "" ""), 1))))"),"")</f>
        <v/>
      </c>
      <c r="D489" s="1" t="str">
        <f>dados_01!D489</f>
        <v/>
      </c>
      <c r="E489" s="1" t="str">
        <f>CONCATENATE(LEFT(dados_01!E489,3),REPT("*",6),RIGHT(dados_01!E489,2))</f>
        <v>******</v>
      </c>
      <c r="F489" s="1" t="str">
        <f>dados_01!F489</f>
        <v/>
      </c>
      <c r="G489" s="1" t="str">
        <f>dados_01!G489</f>
        <v/>
      </c>
      <c r="H489" s="1" t="str">
        <f>dados_01!H489</f>
        <v/>
      </c>
      <c r="I489" s="1" t="str">
        <f>dados_01!I489</f>
        <v/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 t="str">
        <f>dados_01!A490</f>
        <v/>
      </c>
      <c r="B490" s="1" t="str">
        <f>dados_01!B490</f>
        <v/>
      </c>
      <c r="C490" s="1" t="str">
        <f>IFERROR(__xludf.DUMMYFUNCTION("JOIN("". "", ARRAYFORMULA(IFERROR(LEFT(SPLIT(dados_01!C490, "" ""), 1))))"),"")</f>
        <v/>
      </c>
      <c r="D490" s="1" t="str">
        <f>dados_01!D490</f>
        <v/>
      </c>
      <c r="E490" s="1" t="str">
        <f>CONCATENATE(LEFT(dados_01!E490,3),REPT("*",6),RIGHT(dados_01!E490,2))</f>
        <v>******</v>
      </c>
      <c r="F490" s="1" t="str">
        <f>dados_01!F490</f>
        <v/>
      </c>
      <c r="G490" s="1" t="str">
        <f>dados_01!G490</f>
        <v/>
      </c>
      <c r="H490" s="1" t="str">
        <f>dados_01!H490</f>
        <v/>
      </c>
      <c r="I490" s="1" t="str">
        <f>dados_01!I490</f>
        <v/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 t="str">
        <f>dados_01!A491</f>
        <v/>
      </c>
      <c r="B491" s="1" t="str">
        <f>dados_01!B491</f>
        <v/>
      </c>
      <c r="C491" s="1" t="str">
        <f>IFERROR(__xludf.DUMMYFUNCTION("JOIN("". "", ARRAYFORMULA(IFERROR(LEFT(SPLIT(dados_01!C491, "" ""), 1))))"),"")</f>
        <v/>
      </c>
      <c r="D491" s="1" t="str">
        <f>dados_01!D491</f>
        <v/>
      </c>
      <c r="E491" s="1" t="str">
        <f>CONCATENATE(LEFT(dados_01!E491,3),REPT("*",6),RIGHT(dados_01!E491,2))</f>
        <v>******</v>
      </c>
      <c r="F491" s="1" t="str">
        <f>dados_01!F491</f>
        <v/>
      </c>
      <c r="G491" s="1" t="str">
        <f>dados_01!G491</f>
        <v/>
      </c>
      <c r="H491" s="1" t="str">
        <f>dados_01!H491</f>
        <v/>
      </c>
      <c r="I491" s="1" t="str">
        <f>dados_01!I491</f>
        <v/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 t="str">
        <f>dados_01!A492</f>
        <v/>
      </c>
      <c r="B492" s="1" t="str">
        <f>dados_01!B492</f>
        <v/>
      </c>
      <c r="C492" s="1" t="str">
        <f>IFERROR(__xludf.DUMMYFUNCTION("JOIN("". "", ARRAYFORMULA(IFERROR(LEFT(SPLIT(dados_01!C492, "" ""), 1))))"),"")</f>
        <v/>
      </c>
      <c r="D492" s="1" t="str">
        <f>dados_01!D492</f>
        <v/>
      </c>
      <c r="E492" s="1" t="str">
        <f>CONCATENATE(LEFT(dados_01!E492,3),REPT("*",6),RIGHT(dados_01!E492,2))</f>
        <v>******</v>
      </c>
      <c r="F492" s="1" t="str">
        <f>dados_01!F492</f>
        <v/>
      </c>
      <c r="G492" s="1" t="str">
        <f>dados_01!G492</f>
        <v/>
      </c>
      <c r="H492" s="1" t="str">
        <f>dados_01!H492</f>
        <v/>
      </c>
      <c r="I492" s="1" t="str">
        <f>dados_01!I492</f>
        <v/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 t="str">
        <f>dados_01!A493</f>
        <v/>
      </c>
      <c r="B493" s="1" t="str">
        <f>dados_01!B493</f>
        <v/>
      </c>
      <c r="C493" s="1" t="str">
        <f>IFERROR(__xludf.DUMMYFUNCTION("JOIN("". "", ARRAYFORMULA(IFERROR(LEFT(SPLIT(dados_01!C493, "" ""), 1))))"),"")</f>
        <v/>
      </c>
      <c r="D493" s="1" t="str">
        <f>dados_01!D493</f>
        <v/>
      </c>
      <c r="E493" s="1" t="str">
        <f>CONCATENATE(LEFT(dados_01!E493,3),REPT("*",6),RIGHT(dados_01!E493,2))</f>
        <v>******</v>
      </c>
      <c r="F493" s="1" t="str">
        <f>dados_01!F493</f>
        <v/>
      </c>
      <c r="G493" s="1" t="str">
        <f>dados_01!G493</f>
        <v/>
      </c>
      <c r="H493" s="1" t="str">
        <f>dados_01!H493</f>
        <v/>
      </c>
      <c r="I493" s="1" t="str">
        <f>dados_01!I493</f>
        <v/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 t="str">
        <f>dados_01!A494</f>
        <v/>
      </c>
      <c r="B494" s="1" t="str">
        <f>dados_01!B494</f>
        <v/>
      </c>
      <c r="C494" s="1" t="str">
        <f>IFERROR(__xludf.DUMMYFUNCTION("JOIN("". "", ARRAYFORMULA(IFERROR(LEFT(SPLIT(dados_01!C494, "" ""), 1))))"),"")</f>
        <v/>
      </c>
      <c r="D494" s="1" t="str">
        <f>dados_01!D494</f>
        <v/>
      </c>
      <c r="E494" s="1" t="str">
        <f>CONCATENATE(LEFT(dados_01!E494,3),REPT("*",6),RIGHT(dados_01!E494,2))</f>
        <v>******</v>
      </c>
      <c r="F494" s="1" t="str">
        <f>dados_01!F494</f>
        <v/>
      </c>
      <c r="G494" s="1" t="str">
        <f>dados_01!G494</f>
        <v/>
      </c>
      <c r="H494" s="1" t="str">
        <f>dados_01!H494</f>
        <v/>
      </c>
      <c r="I494" s="1" t="str">
        <f>dados_01!I494</f>
        <v/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 t="str">
        <f>dados_01!A495</f>
        <v/>
      </c>
      <c r="B495" s="1" t="str">
        <f>dados_01!B495</f>
        <v/>
      </c>
      <c r="C495" s="1" t="str">
        <f>IFERROR(__xludf.DUMMYFUNCTION("JOIN("". "", ARRAYFORMULA(IFERROR(LEFT(SPLIT(dados_01!C495, "" ""), 1))))"),"")</f>
        <v/>
      </c>
      <c r="D495" s="1" t="str">
        <f>dados_01!D495</f>
        <v/>
      </c>
      <c r="E495" s="1" t="str">
        <f>CONCATENATE(LEFT(dados_01!E495,3),REPT("*",6),RIGHT(dados_01!E495,2))</f>
        <v>******</v>
      </c>
      <c r="F495" s="1" t="str">
        <f>dados_01!F495</f>
        <v/>
      </c>
      <c r="G495" s="1" t="str">
        <f>dados_01!G495</f>
        <v/>
      </c>
      <c r="H495" s="1" t="str">
        <f>dados_01!H495</f>
        <v/>
      </c>
      <c r="I495" s="1" t="str">
        <f>dados_01!I495</f>
        <v/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 t="str">
        <f>dados_01!A496</f>
        <v/>
      </c>
      <c r="B496" s="1" t="str">
        <f>dados_01!B496</f>
        <v/>
      </c>
      <c r="C496" s="1" t="str">
        <f>IFERROR(__xludf.DUMMYFUNCTION("JOIN("". "", ARRAYFORMULA(IFERROR(LEFT(SPLIT(dados_01!C496, "" ""), 1))))"),"")</f>
        <v/>
      </c>
      <c r="D496" s="1" t="str">
        <f>dados_01!D496</f>
        <v/>
      </c>
      <c r="E496" s="1" t="str">
        <f>CONCATENATE(LEFT(dados_01!E496,3),REPT("*",6),RIGHT(dados_01!E496,2))</f>
        <v>******</v>
      </c>
      <c r="F496" s="1" t="str">
        <f>dados_01!F496</f>
        <v/>
      </c>
      <c r="G496" s="1" t="str">
        <f>dados_01!G496</f>
        <v/>
      </c>
      <c r="H496" s="1" t="str">
        <f>dados_01!H496</f>
        <v/>
      </c>
      <c r="I496" s="1" t="str">
        <f>dados_01!I496</f>
        <v/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 t="str">
        <f>dados_01!A497</f>
        <v/>
      </c>
      <c r="B497" s="1" t="str">
        <f>dados_01!B497</f>
        <v/>
      </c>
      <c r="C497" s="1" t="str">
        <f>IFERROR(__xludf.DUMMYFUNCTION("JOIN("". "", ARRAYFORMULA(IFERROR(LEFT(SPLIT(dados_01!C497, "" ""), 1))))"),"")</f>
        <v/>
      </c>
      <c r="D497" s="1" t="str">
        <f>dados_01!D497</f>
        <v/>
      </c>
      <c r="E497" s="1" t="str">
        <f>CONCATENATE(LEFT(dados_01!E497,3),REPT("*",6),RIGHT(dados_01!E497,2))</f>
        <v>******</v>
      </c>
      <c r="F497" s="1" t="str">
        <f>dados_01!F497</f>
        <v/>
      </c>
      <c r="G497" s="1" t="str">
        <f>dados_01!G497</f>
        <v/>
      </c>
      <c r="H497" s="1" t="str">
        <f>dados_01!H497</f>
        <v/>
      </c>
      <c r="I497" s="1" t="str">
        <f>dados_01!I497</f>
        <v/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 t="str">
        <f>dados_01!A498</f>
        <v/>
      </c>
      <c r="B498" s="1" t="str">
        <f>dados_01!B498</f>
        <v/>
      </c>
      <c r="C498" s="1" t="str">
        <f>IFERROR(__xludf.DUMMYFUNCTION("JOIN("". "", ARRAYFORMULA(IFERROR(LEFT(SPLIT(dados_01!C498, "" ""), 1))))"),"")</f>
        <v/>
      </c>
      <c r="D498" s="1" t="str">
        <f>dados_01!D498</f>
        <v/>
      </c>
      <c r="E498" s="1" t="str">
        <f>CONCATENATE(LEFT(dados_01!E498,3),REPT("*",6),RIGHT(dados_01!E498,2))</f>
        <v>******</v>
      </c>
      <c r="F498" s="1" t="str">
        <f>dados_01!F498</f>
        <v/>
      </c>
      <c r="G498" s="1" t="str">
        <f>dados_01!G498</f>
        <v/>
      </c>
      <c r="H498" s="1" t="str">
        <f>dados_01!H498</f>
        <v/>
      </c>
      <c r="I498" s="1" t="str">
        <f>dados_01!I498</f>
        <v/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 t="str">
        <f>dados_01!A499</f>
        <v/>
      </c>
      <c r="B499" s="1" t="str">
        <f>dados_01!B499</f>
        <v/>
      </c>
      <c r="C499" s="1" t="str">
        <f>IFERROR(__xludf.DUMMYFUNCTION("JOIN("". "", ARRAYFORMULA(IFERROR(LEFT(SPLIT(dados_01!C499, "" ""), 1))))"),"")</f>
        <v/>
      </c>
      <c r="D499" s="1" t="str">
        <f>dados_01!D499</f>
        <v/>
      </c>
      <c r="E499" s="1" t="str">
        <f>CONCATENATE(LEFT(dados_01!E499,3),REPT("*",6),RIGHT(dados_01!E499,2))</f>
        <v>******</v>
      </c>
      <c r="F499" s="1" t="str">
        <f>dados_01!F499</f>
        <v/>
      </c>
      <c r="G499" s="1" t="str">
        <f>dados_01!G499</f>
        <v/>
      </c>
      <c r="H499" s="1" t="str">
        <f>dados_01!H499</f>
        <v/>
      </c>
      <c r="I499" s="1" t="str">
        <f>dados_01!I499</f>
        <v/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 t="str">
        <f>dados_01!A500</f>
        <v/>
      </c>
      <c r="B500" s="1" t="str">
        <f>dados_01!B500</f>
        <v/>
      </c>
      <c r="C500" s="1" t="str">
        <f>IFERROR(__xludf.DUMMYFUNCTION("JOIN("". "", ARRAYFORMULA(IFERROR(LEFT(SPLIT(dados_01!C500, "" ""), 1))))"),"")</f>
        <v/>
      </c>
      <c r="D500" s="1" t="str">
        <f>dados_01!D500</f>
        <v/>
      </c>
      <c r="E500" s="1" t="str">
        <f>CONCATENATE(LEFT(dados_01!E500,3),REPT("*",6),RIGHT(dados_01!E500,2))</f>
        <v>******</v>
      </c>
      <c r="F500" s="1" t="str">
        <f>dados_01!F500</f>
        <v/>
      </c>
      <c r="G500" s="1" t="str">
        <f>dados_01!G500</f>
        <v/>
      </c>
      <c r="H500" s="1" t="str">
        <f>dados_01!H500</f>
        <v/>
      </c>
      <c r="I500" s="1" t="str">
        <f>dados_01!I500</f>
        <v/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 t="str">
        <f>dados_01!A501</f>
        <v/>
      </c>
      <c r="B501" s="1" t="str">
        <f>dados_01!B501</f>
        <v/>
      </c>
      <c r="C501" s="1" t="str">
        <f>IFERROR(__xludf.DUMMYFUNCTION("JOIN("". "", ARRAYFORMULA(IFERROR(LEFT(SPLIT(dados_01!C501, "" ""), 1))))"),"")</f>
        <v/>
      </c>
      <c r="D501" s="1" t="str">
        <f>dados_01!D501</f>
        <v/>
      </c>
      <c r="E501" s="1" t="str">
        <f>CONCATENATE(LEFT(dados_01!E501,3),REPT("*",6),RIGHT(dados_01!E501,2))</f>
        <v>******</v>
      </c>
      <c r="F501" s="1" t="str">
        <f>dados_01!F501</f>
        <v/>
      </c>
      <c r="G501" s="1" t="str">
        <f>dados_01!G501</f>
        <v/>
      </c>
      <c r="H501" s="1" t="str">
        <f>dados_01!H501</f>
        <v/>
      </c>
      <c r="I501" s="1" t="str">
        <f>dados_01!I501</f>
        <v/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 t="str">
        <f>dados_01!A502</f>
        <v/>
      </c>
      <c r="B502" s="1" t="str">
        <f>dados_01!B502</f>
        <v/>
      </c>
      <c r="C502" s="1" t="str">
        <f>IFERROR(__xludf.DUMMYFUNCTION("JOIN("". "", ARRAYFORMULA(IFERROR(LEFT(SPLIT(dados_01!C502, "" ""), 1))))"),"")</f>
        <v/>
      </c>
      <c r="D502" s="1" t="str">
        <f>dados_01!D502</f>
        <v/>
      </c>
      <c r="E502" s="1" t="str">
        <f>CONCATENATE(LEFT(dados_01!E502,3),REPT("*",6),RIGHT(dados_01!E502,2))</f>
        <v>******</v>
      </c>
      <c r="F502" s="1" t="str">
        <f>dados_01!F502</f>
        <v/>
      </c>
      <c r="G502" s="1" t="str">
        <f>dados_01!G502</f>
        <v/>
      </c>
      <c r="H502" s="1" t="str">
        <f>dados_01!H502</f>
        <v/>
      </c>
      <c r="I502" s="1" t="str">
        <f>dados_01!I502</f>
        <v/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 t="str">
        <f>dados_01!A503</f>
        <v/>
      </c>
      <c r="B503" s="1" t="str">
        <f>dados_01!B503</f>
        <v/>
      </c>
      <c r="C503" s="1" t="str">
        <f>IFERROR(__xludf.DUMMYFUNCTION("JOIN("". "", ARRAYFORMULA(IFERROR(LEFT(SPLIT(dados_01!C503, "" ""), 1))))"),"")</f>
        <v/>
      </c>
      <c r="D503" s="1" t="str">
        <f>dados_01!D503</f>
        <v/>
      </c>
      <c r="E503" s="1" t="str">
        <f>CONCATENATE(LEFT(dados_01!E503,3),REPT("*",6),RIGHT(dados_01!E503,2))</f>
        <v>******</v>
      </c>
      <c r="F503" s="1" t="str">
        <f>dados_01!F503</f>
        <v/>
      </c>
      <c r="G503" s="1" t="str">
        <f>dados_01!G503</f>
        <v/>
      </c>
      <c r="H503" s="1" t="str">
        <f>dados_01!H503</f>
        <v/>
      </c>
      <c r="I503" s="1" t="str">
        <f>dados_01!I503</f>
        <v/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 t="str">
        <f>dados_01!A504</f>
        <v/>
      </c>
      <c r="B504" s="1" t="str">
        <f>dados_01!B504</f>
        <v/>
      </c>
      <c r="C504" s="1" t="str">
        <f>IFERROR(__xludf.DUMMYFUNCTION("JOIN("". "", ARRAYFORMULA(IFERROR(LEFT(SPLIT(dados_01!C504, "" ""), 1))))"),"")</f>
        <v/>
      </c>
      <c r="D504" s="1" t="str">
        <f>dados_01!D504</f>
        <v/>
      </c>
      <c r="E504" s="1" t="str">
        <f>CONCATENATE(LEFT(dados_01!E504,3),REPT("*",6),RIGHT(dados_01!E504,2))</f>
        <v>******</v>
      </c>
      <c r="F504" s="1" t="str">
        <f>dados_01!F504</f>
        <v/>
      </c>
      <c r="G504" s="1" t="str">
        <f>dados_01!G504</f>
        <v/>
      </c>
      <c r="H504" s="1" t="str">
        <f>dados_01!H504</f>
        <v/>
      </c>
      <c r="I504" s="1" t="str">
        <f>dados_01!I504</f>
        <v/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 t="str">
        <f>dados_01!A505</f>
        <v/>
      </c>
      <c r="B505" s="1" t="str">
        <f>dados_01!B505</f>
        <v/>
      </c>
      <c r="C505" s="1" t="str">
        <f>IFERROR(__xludf.DUMMYFUNCTION("JOIN("". "", ARRAYFORMULA(IFERROR(LEFT(SPLIT(dados_01!C505, "" ""), 1))))"),"")</f>
        <v/>
      </c>
      <c r="D505" s="1" t="str">
        <f>dados_01!D505</f>
        <v/>
      </c>
      <c r="E505" s="1" t="str">
        <f>CONCATENATE(LEFT(dados_01!E505,3),REPT("*",6),RIGHT(dados_01!E505,2))</f>
        <v>******</v>
      </c>
      <c r="F505" s="1" t="str">
        <f>dados_01!F505</f>
        <v/>
      </c>
      <c r="G505" s="1" t="str">
        <f>dados_01!G505</f>
        <v/>
      </c>
      <c r="H505" s="1" t="str">
        <f>dados_01!H505</f>
        <v/>
      </c>
      <c r="I505" s="1" t="str">
        <f>dados_01!I505</f>
        <v/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 t="str">
        <f>dados_01!A506</f>
        <v/>
      </c>
      <c r="B506" s="1" t="str">
        <f>dados_01!B506</f>
        <v/>
      </c>
      <c r="C506" s="1" t="str">
        <f>IFERROR(__xludf.DUMMYFUNCTION("JOIN("". "", ARRAYFORMULA(IFERROR(LEFT(SPLIT(dados_01!C506, "" ""), 1))))"),"")</f>
        <v/>
      </c>
      <c r="D506" s="1" t="str">
        <f>dados_01!D506</f>
        <v/>
      </c>
      <c r="E506" s="1" t="str">
        <f>CONCATENATE(LEFT(dados_01!E506,3),REPT("*",6),RIGHT(dados_01!E506,2))</f>
        <v>******</v>
      </c>
      <c r="F506" s="1" t="str">
        <f>dados_01!F506</f>
        <v/>
      </c>
      <c r="G506" s="1" t="str">
        <f>dados_01!G506</f>
        <v/>
      </c>
      <c r="H506" s="1" t="str">
        <f>dados_01!H506</f>
        <v/>
      </c>
      <c r="I506" s="1" t="str">
        <f>dados_01!I506</f>
        <v/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 t="str">
        <f>dados_01!A507</f>
        <v/>
      </c>
      <c r="B507" s="1" t="str">
        <f>dados_01!B507</f>
        <v/>
      </c>
      <c r="C507" s="1" t="str">
        <f>IFERROR(__xludf.DUMMYFUNCTION("JOIN("". "", ARRAYFORMULA(IFERROR(LEFT(SPLIT(dados_01!C507, "" ""), 1))))"),"")</f>
        <v/>
      </c>
      <c r="D507" s="1" t="str">
        <f>dados_01!D507</f>
        <v/>
      </c>
      <c r="E507" s="1" t="str">
        <f>CONCATENATE(LEFT(dados_01!E507,3),REPT("*",6),RIGHT(dados_01!E507,2))</f>
        <v>******</v>
      </c>
      <c r="F507" s="1" t="str">
        <f>dados_01!F507</f>
        <v/>
      </c>
      <c r="G507" s="1" t="str">
        <f>dados_01!G507</f>
        <v/>
      </c>
      <c r="H507" s="1" t="str">
        <f>dados_01!H507</f>
        <v/>
      </c>
      <c r="I507" s="1" t="str">
        <f>dados_01!I507</f>
        <v/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 t="str">
        <f>dados_01!A508</f>
        <v/>
      </c>
      <c r="B508" s="1" t="str">
        <f>dados_01!B508</f>
        <v/>
      </c>
      <c r="C508" s="1" t="str">
        <f>IFERROR(__xludf.DUMMYFUNCTION("JOIN("". "", ARRAYFORMULA(IFERROR(LEFT(SPLIT(dados_01!C508, "" ""), 1))))"),"")</f>
        <v/>
      </c>
      <c r="D508" s="1" t="str">
        <f>dados_01!D508</f>
        <v/>
      </c>
      <c r="E508" s="1" t="str">
        <f>CONCATENATE(LEFT(dados_01!E508,3),REPT("*",6),RIGHT(dados_01!E508,2))</f>
        <v>******</v>
      </c>
      <c r="F508" s="1" t="str">
        <f>dados_01!F508</f>
        <v/>
      </c>
      <c r="G508" s="1" t="str">
        <f>dados_01!G508</f>
        <v/>
      </c>
      <c r="H508" s="1" t="str">
        <f>dados_01!H508</f>
        <v/>
      </c>
      <c r="I508" s="1" t="str">
        <f>dados_01!I508</f>
        <v/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 t="str">
        <f>dados_01!A509</f>
        <v/>
      </c>
      <c r="B509" s="1" t="str">
        <f>dados_01!B509</f>
        <v/>
      </c>
      <c r="C509" s="1" t="str">
        <f>IFERROR(__xludf.DUMMYFUNCTION("JOIN("". "", ARRAYFORMULA(IFERROR(LEFT(SPLIT(dados_01!C509, "" ""), 1))))"),"")</f>
        <v/>
      </c>
      <c r="D509" s="1" t="str">
        <f>dados_01!D509</f>
        <v/>
      </c>
      <c r="E509" s="1" t="str">
        <f>CONCATENATE(LEFT(dados_01!E509,3),REPT("*",6),RIGHT(dados_01!E509,2))</f>
        <v>******</v>
      </c>
      <c r="F509" s="1" t="str">
        <f>dados_01!F509</f>
        <v/>
      </c>
      <c r="G509" s="1" t="str">
        <f>dados_01!G509</f>
        <v/>
      </c>
      <c r="H509" s="1" t="str">
        <f>dados_01!H509</f>
        <v/>
      </c>
      <c r="I509" s="1" t="str">
        <f>dados_01!I509</f>
        <v/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 t="str">
        <f>dados_01!A510</f>
        <v/>
      </c>
      <c r="B510" s="1" t="str">
        <f>dados_01!B510</f>
        <v/>
      </c>
      <c r="C510" s="1" t="str">
        <f>IFERROR(__xludf.DUMMYFUNCTION("JOIN("". "", ARRAYFORMULA(IFERROR(LEFT(SPLIT(dados_01!C510, "" ""), 1))))"),"")</f>
        <v/>
      </c>
      <c r="D510" s="1" t="str">
        <f>dados_01!D510</f>
        <v/>
      </c>
      <c r="E510" s="1" t="str">
        <f>CONCATENATE(LEFT(dados_01!E510,3),REPT("*",6),RIGHT(dados_01!E510,2))</f>
        <v>******</v>
      </c>
      <c r="F510" s="1" t="str">
        <f>dados_01!F510</f>
        <v/>
      </c>
      <c r="G510" s="1" t="str">
        <f>dados_01!G510</f>
        <v/>
      </c>
      <c r="H510" s="1" t="str">
        <f>dados_01!H510</f>
        <v/>
      </c>
      <c r="I510" s="1" t="str">
        <f>dados_01!I510</f>
        <v/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 t="str">
        <f>dados_01!A511</f>
        <v/>
      </c>
      <c r="B511" s="1" t="str">
        <f>dados_01!B511</f>
        <v/>
      </c>
      <c r="C511" s="1" t="str">
        <f>IFERROR(__xludf.DUMMYFUNCTION("JOIN("". "", ARRAYFORMULA(IFERROR(LEFT(SPLIT(dados_01!C511, "" ""), 1))))"),"")</f>
        <v/>
      </c>
      <c r="D511" s="1" t="str">
        <f>dados_01!D511</f>
        <v/>
      </c>
      <c r="E511" s="1" t="str">
        <f>CONCATENATE(LEFT(dados_01!E511,3),REPT("*",6),RIGHT(dados_01!E511,2))</f>
        <v>******</v>
      </c>
      <c r="F511" s="1" t="str">
        <f>dados_01!F511</f>
        <v/>
      </c>
      <c r="G511" s="1" t="str">
        <f>dados_01!G511</f>
        <v/>
      </c>
      <c r="H511" s="1" t="str">
        <f>dados_01!H511</f>
        <v/>
      </c>
      <c r="I511" s="1" t="str">
        <f>dados_01!I511</f>
        <v/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 t="str">
        <f>dados_01!A512</f>
        <v/>
      </c>
      <c r="B512" s="1" t="str">
        <f>dados_01!B512</f>
        <v/>
      </c>
      <c r="C512" s="1" t="str">
        <f>IFERROR(__xludf.DUMMYFUNCTION("JOIN("". "", ARRAYFORMULA(IFERROR(LEFT(SPLIT(dados_01!C512, "" ""), 1))))"),"")</f>
        <v/>
      </c>
      <c r="D512" s="1" t="str">
        <f>dados_01!D512</f>
        <v/>
      </c>
      <c r="E512" s="1" t="str">
        <f>CONCATENATE(LEFT(dados_01!E512,3),REPT("*",6),RIGHT(dados_01!E512,2))</f>
        <v>******</v>
      </c>
      <c r="F512" s="1" t="str">
        <f>dados_01!F512</f>
        <v/>
      </c>
      <c r="G512" s="1" t="str">
        <f>dados_01!G512</f>
        <v/>
      </c>
      <c r="H512" s="1" t="str">
        <f>dados_01!H512</f>
        <v/>
      </c>
      <c r="I512" s="1" t="str">
        <f>dados_01!I512</f>
        <v/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 t="str">
        <f>dados_01!A513</f>
        <v/>
      </c>
      <c r="B513" s="1" t="str">
        <f>dados_01!B513</f>
        <v/>
      </c>
      <c r="C513" s="1" t="str">
        <f>IFERROR(__xludf.DUMMYFUNCTION("JOIN("". "", ARRAYFORMULA(IFERROR(LEFT(SPLIT(dados_01!C513, "" ""), 1))))"),"")</f>
        <v/>
      </c>
      <c r="D513" s="1" t="str">
        <f>dados_01!D513</f>
        <v/>
      </c>
      <c r="E513" s="1" t="str">
        <f>CONCATENATE(LEFT(dados_01!E513,3),REPT("*",6),RIGHT(dados_01!E513,2))</f>
        <v>******</v>
      </c>
      <c r="F513" s="1" t="str">
        <f>dados_01!F513</f>
        <v/>
      </c>
      <c r="G513" s="1" t="str">
        <f>dados_01!G513</f>
        <v/>
      </c>
      <c r="H513" s="1" t="str">
        <f>dados_01!H513</f>
        <v/>
      </c>
      <c r="I513" s="1" t="str">
        <f>dados_01!I513</f>
        <v/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 t="str">
        <f>dados_01!A514</f>
        <v/>
      </c>
      <c r="B514" s="1" t="str">
        <f>dados_01!B514</f>
        <v/>
      </c>
      <c r="C514" s="1" t="str">
        <f>IFERROR(__xludf.DUMMYFUNCTION("JOIN("". "", ARRAYFORMULA(IFERROR(LEFT(SPLIT(dados_01!C514, "" ""), 1))))"),"")</f>
        <v/>
      </c>
      <c r="D514" s="1" t="str">
        <f>dados_01!D514</f>
        <v/>
      </c>
      <c r="E514" s="1" t="str">
        <f>CONCATENATE(LEFT(dados_01!E514,3),REPT("*",6),RIGHT(dados_01!E514,2))</f>
        <v>******</v>
      </c>
      <c r="F514" s="1" t="str">
        <f>dados_01!F514</f>
        <v/>
      </c>
      <c r="G514" s="1" t="str">
        <f>dados_01!G514</f>
        <v/>
      </c>
      <c r="H514" s="1" t="str">
        <f>dados_01!H514</f>
        <v/>
      </c>
      <c r="I514" s="1" t="str">
        <f>dados_01!I514</f>
        <v/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 t="str">
        <f>dados_01!A515</f>
        <v/>
      </c>
      <c r="B515" s="1" t="str">
        <f>dados_01!B515</f>
        <v/>
      </c>
      <c r="C515" s="1" t="str">
        <f>IFERROR(__xludf.DUMMYFUNCTION("JOIN("". "", ARRAYFORMULA(IFERROR(LEFT(SPLIT(dados_01!C515, "" ""), 1))))"),"")</f>
        <v/>
      </c>
      <c r="D515" s="1" t="str">
        <f>dados_01!D515</f>
        <v/>
      </c>
      <c r="E515" s="1" t="str">
        <f>CONCATENATE(LEFT(dados_01!E515,3),REPT("*",6),RIGHT(dados_01!E515,2))</f>
        <v>******</v>
      </c>
      <c r="F515" s="1" t="str">
        <f>dados_01!F515</f>
        <v/>
      </c>
      <c r="G515" s="1" t="str">
        <f>dados_01!G515</f>
        <v/>
      </c>
      <c r="H515" s="1" t="str">
        <f>dados_01!H515</f>
        <v/>
      </c>
      <c r="I515" s="1" t="str">
        <f>dados_01!I515</f>
        <v/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 t="str">
        <f>dados_01!A516</f>
        <v/>
      </c>
      <c r="B516" s="1" t="str">
        <f>dados_01!B516</f>
        <v/>
      </c>
      <c r="C516" s="1" t="str">
        <f>IFERROR(__xludf.DUMMYFUNCTION("JOIN("". "", ARRAYFORMULA(IFERROR(LEFT(SPLIT(dados_01!C516, "" ""), 1))))"),"")</f>
        <v/>
      </c>
      <c r="D516" s="1" t="str">
        <f>dados_01!D516</f>
        <v/>
      </c>
      <c r="E516" s="1" t="str">
        <f>CONCATENATE(LEFT(dados_01!E516,3),REPT("*",6),RIGHT(dados_01!E516,2))</f>
        <v>******</v>
      </c>
      <c r="F516" s="1" t="str">
        <f>dados_01!F516</f>
        <v/>
      </c>
      <c r="G516" s="1" t="str">
        <f>dados_01!G516</f>
        <v/>
      </c>
      <c r="H516" s="1" t="str">
        <f>dados_01!H516</f>
        <v/>
      </c>
      <c r="I516" s="1" t="str">
        <f>dados_01!I516</f>
        <v/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 t="str">
        <f>dados_01!A517</f>
        <v/>
      </c>
      <c r="B517" s="1" t="str">
        <f>dados_01!B517</f>
        <v/>
      </c>
      <c r="C517" s="1" t="str">
        <f>IFERROR(__xludf.DUMMYFUNCTION("JOIN("". "", ARRAYFORMULA(IFERROR(LEFT(SPLIT(dados_01!C517, "" ""), 1))))"),"")</f>
        <v/>
      </c>
      <c r="D517" s="1" t="str">
        <f>dados_01!D517</f>
        <v/>
      </c>
      <c r="E517" s="1" t="str">
        <f>CONCATENATE(LEFT(dados_01!E517,3),REPT("*",6),RIGHT(dados_01!E517,2))</f>
        <v>******</v>
      </c>
      <c r="F517" s="1" t="str">
        <f>dados_01!F517</f>
        <v/>
      </c>
      <c r="G517" s="1" t="str">
        <f>dados_01!G517</f>
        <v/>
      </c>
      <c r="H517" s="1" t="str">
        <f>dados_01!H517</f>
        <v/>
      </c>
      <c r="I517" s="1" t="str">
        <f>dados_01!I517</f>
        <v/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 t="str">
        <f>dados_01!A518</f>
        <v/>
      </c>
      <c r="B518" s="1" t="str">
        <f>dados_01!B518</f>
        <v/>
      </c>
      <c r="C518" s="1" t="str">
        <f>IFERROR(__xludf.DUMMYFUNCTION("JOIN("". "", ARRAYFORMULA(IFERROR(LEFT(SPLIT(dados_01!C518, "" ""), 1))))"),"")</f>
        <v/>
      </c>
      <c r="D518" s="1" t="str">
        <f>dados_01!D518</f>
        <v/>
      </c>
      <c r="E518" s="1" t="str">
        <f>CONCATENATE(LEFT(dados_01!E518,3),REPT("*",6),RIGHT(dados_01!E518,2))</f>
        <v>******</v>
      </c>
      <c r="F518" s="1" t="str">
        <f>dados_01!F518</f>
        <v/>
      </c>
      <c r="G518" s="1" t="str">
        <f>dados_01!G518</f>
        <v/>
      </c>
      <c r="H518" s="1" t="str">
        <f>dados_01!H518</f>
        <v/>
      </c>
      <c r="I518" s="1" t="str">
        <f>dados_01!I518</f>
        <v/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 t="str">
        <f>dados_01!A519</f>
        <v/>
      </c>
      <c r="B519" s="1" t="str">
        <f>dados_01!B519</f>
        <v/>
      </c>
      <c r="C519" s="1" t="str">
        <f>IFERROR(__xludf.DUMMYFUNCTION("JOIN("". "", ARRAYFORMULA(IFERROR(LEFT(SPLIT(dados_01!C519, "" ""), 1))))"),"")</f>
        <v/>
      </c>
      <c r="D519" s="1" t="str">
        <f>dados_01!D519</f>
        <v/>
      </c>
      <c r="E519" s="1" t="str">
        <f>CONCATENATE(LEFT(dados_01!E519,3),REPT("*",6),RIGHT(dados_01!E519,2))</f>
        <v>******</v>
      </c>
      <c r="F519" s="1" t="str">
        <f>dados_01!F519</f>
        <v/>
      </c>
      <c r="G519" s="1" t="str">
        <f>dados_01!G519</f>
        <v/>
      </c>
      <c r="H519" s="1" t="str">
        <f>dados_01!H519</f>
        <v/>
      </c>
      <c r="I519" s="1" t="str">
        <f>dados_01!I519</f>
        <v/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 t="str">
        <f>dados_01!A520</f>
        <v/>
      </c>
      <c r="B520" s="1" t="str">
        <f>dados_01!B520</f>
        <v/>
      </c>
      <c r="C520" s="1" t="str">
        <f>IFERROR(__xludf.DUMMYFUNCTION("JOIN("". "", ARRAYFORMULA(IFERROR(LEFT(SPLIT(dados_01!C520, "" ""), 1))))"),"")</f>
        <v/>
      </c>
      <c r="D520" s="1" t="str">
        <f>dados_01!D520</f>
        <v/>
      </c>
      <c r="E520" s="1" t="str">
        <f>CONCATENATE(LEFT(dados_01!E520,3),REPT("*",6),RIGHT(dados_01!E520,2))</f>
        <v>******</v>
      </c>
      <c r="F520" s="1" t="str">
        <f>dados_01!F520</f>
        <v/>
      </c>
      <c r="G520" s="1" t="str">
        <f>dados_01!G520</f>
        <v/>
      </c>
      <c r="H520" s="1" t="str">
        <f>dados_01!H520</f>
        <v/>
      </c>
      <c r="I520" s="1" t="str">
        <f>dados_01!I520</f>
        <v/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 t="str">
        <f>dados_01!A521</f>
        <v/>
      </c>
      <c r="B521" s="1" t="str">
        <f>dados_01!B521</f>
        <v/>
      </c>
      <c r="C521" s="1" t="str">
        <f>IFERROR(__xludf.DUMMYFUNCTION("JOIN("". "", ARRAYFORMULA(IFERROR(LEFT(SPLIT(dados_01!C521, "" ""), 1))))"),"")</f>
        <v/>
      </c>
      <c r="D521" s="1" t="str">
        <f>dados_01!D521</f>
        <v/>
      </c>
      <c r="E521" s="1" t="str">
        <f>CONCATENATE(LEFT(dados_01!E521,3),REPT("*",6),RIGHT(dados_01!E521,2))</f>
        <v>******</v>
      </c>
      <c r="F521" s="1" t="str">
        <f>dados_01!F521</f>
        <v/>
      </c>
      <c r="G521" s="1" t="str">
        <f>dados_01!G521</f>
        <v/>
      </c>
      <c r="H521" s="1" t="str">
        <f>dados_01!H521</f>
        <v/>
      </c>
      <c r="I521" s="1" t="str">
        <f>dados_01!I521</f>
        <v/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 t="str">
        <f>dados_01!A522</f>
        <v/>
      </c>
      <c r="B522" s="1" t="str">
        <f>dados_01!B522</f>
        <v/>
      </c>
      <c r="C522" s="1" t="str">
        <f>IFERROR(__xludf.DUMMYFUNCTION("JOIN("". "", ARRAYFORMULA(IFERROR(LEFT(SPLIT(dados_01!C522, "" ""), 1))))"),"")</f>
        <v/>
      </c>
      <c r="D522" s="1" t="str">
        <f>dados_01!D522</f>
        <v/>
      </c>
      <c r="E522" s="1" t="str">
        <f>CONCATENATE(LEFT(dados_01!E522,3),REPT("*",6),RIGHT(dados_01!E522,2))</f>
        <v>******</v>
      </c>
      <c r="F522" s="1" t="str">
        <f>dados_01!F522</f>
        <v/>
      </c>
      <c r="G522" s="1" t="str">
        <f>dados_01!G522</f>
        <v/>
      </c>
      <c r="H522" s="1" t="str">
        <f>dados_01!H522</f>
        <v/>
      </c>
      <c r="I522" s="1" t="str">
        <f>dados_01!I522</f>
        <v/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 t="str">
        <f>dados_01!A523</f>
        <v/>
      </c>
      <c r="B523" s="1" t="str">
        <f>dados_01!B523</f>
        <v/>
      </c>
      <c r="C523" s="1" t="str">
        <f>IFERROR(__xludf.DUMMYFUNCTION("JOIN("". "", ARRAYFORMULA(IFERROR(LEFT(SPLIT(dados_01!C523, "" ""), 1))))"),"")</f>
        <v/>
      </c>
      <c r="D523" s="1" t="str">
        <f>dados_01!D523</f>
        <v/>
      </c>
      <c r="E523" s="1" t="str">
        <f>CONCATENATE(LEFT(dados_01!E523,3),REPT("*",6),RIGHT(dados_01!E523,2))</f>
        <v>******</v>
      </c>
      <c r="F523" s="1" t="str">
        <f>dados_01!F523</f>
        <v/>
      </c>
      <c r="G523" s="1" t="str">
        <f>dados_01!G523</f>
        <v/>
      </c>
      <c r="H523" s="1" t="str">
        <f>dados_01!H523</f>
        <v/>
      </c>
      <c r="I523" s="1" t="str">
        <f>dados_01!I523</f>
        <v/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 t="str">
        <f>dados_01!A524</f>
        <v/>
      </c>
      <c r="B524" s="1" t="str">
        <f>dados_01!B524</f>
        <v/>
      </c>
      <c r="C524" s="1" t="str">
        <f>IFERROR(__xludf.DUMMYFUNCTION("JOIN("". "", ARRAYFORMULA(IFERROR(LEFT(SPLIT(dados_01!C524, "" ""), 1))))"),"")</f>
        <v/>
      </c>
      <c r="D524" s="1" t="str">
        <f>dados_01!D524</f>
        <v/>
      </c>
      <c r="E524" s="1" t="str">
        <f>CONCATENATE(LEFT(dados_01!E524,3),REPT("*",6),RIGHT(dados_01!E524,2))</f>
        <v>******</v>
      </c>
      <c r="F524" s="1" t="str">
        <f>dados_01!F524</f>
        <v/>
      </c>
      <c r="G524" s="1" t="str">
        <f>dados_01!G524</f>
        <v/>
      </c>
      <c r="H524" s="1" t="str">
        <f>dados_01!H524</f>
        <v/>
      </c>
      <c r="I524" s="1" t="str">
        <f>dados_01!I524</f>
        <v/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 t="str">
        <f>dados_01!A525</f>
        <v/>
      </c>
      <c r="B525" s="1" t="str">
        <f>dados_01!B525</f>
        <v/>
      </c>
      <c r="C525" s="1" t="str">
        <f>IFERROR(__xludf.DUMMYFUNCTION("JOIN("". "", ARRAYFORMULA(IFERROR(LEFT(SPLIT(dados_01!C525, "" ""), 1))))"),"")</f>
        <v/>
      </c>
      <c r="D525" s="1" t="str">
        <f>dados_01!D525</f>
        <v/>
      </c>
      <c r="E525" s="1" t="str">
        <f>CONCATENATE(LEFT(dados_01!E525,3),REPT("*",6),RIGHT(dados_01!E525,2))</f>
        <v>******</v>
      </c>
      <c r="F525" s="1" t="str">
        <f>dados_01!F525</f>
        <v/>
      </c>
      <c r="G525" s="1" t="str">
        <f>dados_01!G525</f>
        <v/>
      </c>
      <c r="H525" s="1" t="str">
        <f>dados_01!H525</f>
        <v/>
      </c>
      <c r="I525" s="1" t="str">
        <f>dados_01!I525</f>
        <v/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 t="str">
        <f>dados_01!A526</f>
        <v/>
      </c>
      <c r="B526" s="1" t="str">
        <f>dados_01!B526</f>
        <v/>
      </c>
      <c r="C526" s="1" t="str">
        <f>IFERROR(__xludf.DUMMYFUNCTION("JOIN("". "", ARRAYFORMULA(IFERROR(LEFT(SPLIT(dados_01!C526, "" ""), 1))))"),"")</f>
        <v/>
      </c>
      <c r="D526" s="1" t="str">
        <f>dados_01!D526</f>
        <v/>
      </c>
      <c r="E526" s="1" t="str">
        <f>CONCATENATE(LEFT(dados_01!E526,3),REPT("*",6),RIGHT(dados_01!E526,2))</f>
        <v>******</v>
      </c>
      <c r="F526" s="1" t="str">
        <f>dados_01!F526</f>
        <v/>
      </c>
      <c r="G526" s="1" t="str">
        <f>dados_01!G526</f>
        <v/>
      </c>
      <c r="H526" s="1" t="str">
        <f>dados_01!H526</f>
        <v/>
      </c>
      <c r="I526" s="1" t="str">
        <f>dados_01!I526</f>
        <v/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 t="str">
        <f>dados_01!A527</f>
        <v/>
      </c>
      <c r="B527" s="1" t="str">
        <f>dados_01!B527</f>
        <v/>
      </c>
      <c r="C527" s="1" t="str">
        <f>IFERROR(__xludf.DUMMYFUNCTION("JOIN("". "", ARRAYFORMULA(IFERROR(LEFT(SPLIT(dados_01!C527, "" ""), 1))))"),"")</f>
        <v/>
      </c>
      <c r="D527" s="1" t="str">
        <f>dados_01!D527</f>
        <v/>
      </c>
      <c r="E527" s="1" t="str">
        <f>CONCATENATE(LEFT(dados_01!E527,3),REPT("*",6),RIGHT(dados_01!E527,2))</f>
        <v>******</v>
      </c>
      <c r="F527" s="1" t="str">
        <f>dados_01!F527</f>
        <v/>
      </c>
      <c r="G527" s="1" t="str">
        <f>dados_01!G527</f>
        <v/>
      </c>
      <c r="H527" s="1" t="str">
        <f>dados_01!H527</f>
        <v/>
      </c>
      <c r="I527" s="1" t="str">
        <f>dados_01!I527</f>
        <v/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 t="str">
        <f>dados_01!A528</f>
        <v/>
      </c>
      <c r="B528" s="1" t="str">
        <f>dados_01!B528</f>
        <v/>
      </c>
      <c r="C528" s="1" t="str">
        <f>IFERROR(__xludf.DUMMYFUNCTION("JOIN("". "", ARRAYFORMULA(IFERROR(LEFT(SPLIT(dados_01!C528, "" ""), 1))))"),"")</f>
        <v/>
      </c>
      <c r="D528" s="1" t="str">
        <f>dados_01!D528</f>
        <v/>
      </c>
      <c r="E528" s="1" t="str">
        <f>CONCATENATE(LEFT(dados_01!E528,3),REPT("*",6),RIGHT(dados_01!E528,2))</f>
        <v>******</v>
      </c>
      <c r="F528" s="1" t="str">
        <f>dados_01!F528</f>
        <v/>
      </c>
      <c r="G528" s="1" t="str">
        <f>dados_01!G528</f>
        <v/>
      </c>
      <c r="H528" s="1" t="str">
        <f>dados_01!H528</f>
        <v/>
      </c>
      <c r="I528" s="1" t="str">
        <f>dados_01!I528</f>
        <v/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 t="str">
        <f>dados_01!A529</f>
        <v/>
      </c>
      <c r="B529" s="1" t="str">
        <f>dados_01!B529</f>
        <v/>
      </c>
      <c r="C529" s="1" t="str">
        <f>IFERROR(__xludf.DUMMYFUNCTION("JOIN("". "", ARRAYFORMULA(IFERROR(LEFT(SPLIT(dados_01!C529, "" ""), 1))))"),"")</f>
        <v/>
      </c>
      <c r="D529" s="1" t="str">
        <f>dados_01!D529</f>
        <v/>
      </c>
      <c r="E529" s="1" t="str">
        <f>CONCATENATE(LEFT(dados_01!E529,3),REPT("*",6),RIGHT(dados_01!E529,2))</f>
        <v>******</v>
      </c>
      <c r="F529" s="1" t="str">
        <f>dados_01!F529</f>
        <v/>
      </c>
      <c r="G529" s="1" t="str">
        <f>dados_01!G529</f>
        <v/>
      </c>
      <c r="H529" s="1" t="str">
        <f>dados_01!H529</f>
        <v/>
      </c>
      <c r="I529" s="1" t="str">
        <f>dados_01!I529</f>
        <v/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 t="str">
        <f>dados_01!A530</f>
        <v/>
      </c>
      <c r="B530" s="1" t="str">
        <f>dados_01!B530</f>
        <v/>
      </c>
      <c r="C530" s="1" t="str">
        <f>IFERROR(__xludf.DUMMYFUNCTION("JOIN("". "", ARRAYFORMULA(IFERROR(LEFT(SPLIT(dados_01!C530, "" ""), 1))))"),"")</f>
        <v/>
      </c>
      <c r="D530" s="1" t="str">
        <f>dados_01!D530</f>
        <v/>
      </c>
      <c r="E530" s="1" t="str">
        <f>CONCATENATE(LEFT(dados_01!E530,3),REPT("*",6),RIGHT(dados_01!E530,2))</f>
        <v>******</v>
      </c>
      <c r="F530" s="1" t="str">
        <f>dados_01!F530</f>
        <v/>
      </c>
      <c r="G530" s="1" t="str">
        <f>dados_01!G530</f>
        <v/>
      </c>
      <c r="H530" s="1" t="str">
        <f>dados_01!H530</f>
        <v/>
      </c>
      <c r="I530" s="1" t="str">
        <f>dados_01!I530</f>
        <v/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 t="str">
        <f>dados_01!A531</f>
        <v/>
      </c>
      <c r="B531" s="1" t="str">
        <f>dados_01!B531</f>
        <v/>
      </c>
      <c r="C531" s="1" t="str">
        <f>IFERROR(__xludf.DUMMYFUNCTION("JOIN("". "", ARRAYFORMULA(IFERROR(LEFT(SPLIT(dados_01!C531, "" ""), 1))))"),"")</f>
        <v/>
      </c>
      <c r="D531" s="1" t="str">
        <f>dados_01!D531</f>
        <v/>
      </c>
      <c r="E531" s="1" t="str">
        <f>CONCATENATE(LEFT(dados_01!E531,3),REPT("*",6),RIGHT(dados_01!E531,2))</f>
        <v>******</v>
      </c>
      <c r="F531" s="1" t="str">
        <f>dados_01!F531</f>
        <v/>
      </c>
      <c r="G531" s="1" t="str">
        <f>dados_01!G531</f>
        <v/>
      </c>
      <c r="H531" s="1" t="str">
        <f>dados_01!H531</f>
        <v/>
      </c>
      <c r="I531" s="1" t="str">
        <f>dados_01!I531</f>
        <v/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 t="str">
        <f>dados_01!A532</f>
        <v/>
      </c>
      <c r="B532" s="1" t="str">
        <f>dados_01!B532</f>
        <v/>
      </c>
      <c r="C532" s="1" t="str">
        <f>IFERROR(__xludf.DUMMYFUNCTION("JOIN("". "", ARRAYFORMULA(IFERROR(LEFT(SPLIT(dados_01!C532, "" ""), 1))))"),"")</f>
        <v/>
      </c>
      <c r="D532" s="1" t="str">
        <f>dados_01!D532</f>
        <v/>
      </c>
      <c r="E532" s="1" t="str">
        <f>CONCATENATE(LEFT(dados_01!E532,3),REPT("*",6),RIGHT(dados_01!E532,2))</f>
        <v>******</v>
      </c>
      <c r="F532" s="1" t="str">
        <f>dados_01!F532</f>
        <v/>
      </c>
      <c r="G532" s="1" t="str">
        <f>dados_01!G532</f>
        <v/>
      </c>
      <c r="H532" s="1" t="str">
        <f>dados_01!H532</f>
        <v/>
      </c>
      <c r="I532" s="1" t="str">
        <f>dados_01!I532</f>
        <v/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 t="str">
        <f>dados_01!A533</f>
        <v/>
      </c>
      <c r="B533" s="1" t="str">
        <f>dados_01!B533</f>
        <v/>
      </c>
      <c r="C533" s="1" t="str">
        <f>IFERROR(__xludf.DUMMYFUNCTION("JOIN("". "", ARRAYFORMULA(IFERROR(LEFT(SPLIT(dados_01!C533, "" ""), 1))))"),"")</f>
        <v/>
      </c>
      <c r="D533" s="1" t="str">
        <f>dados_01!D533</f>
        <v/>
      </c>
      <c r="E533" s="1" t="str">
        <f>CONCATENATE(LEFT(dados_01!E533,3),REPT("*",6),RIGHT(dados_01!E533,2))</f>
        <v>******</v>
      </c>
      <c r="F533" s="1" t="str">
        <f>dados_01!F533</f>
        <v/>
      </c>
      <c r="G533" s="1" t="str">
        <f>dados_01!G533</f>
        <v/>
      </c>
      <c r="H533" s="1" t="str">
        <f>dados_01!H533</f>
        <v/>
      </c>
      <c r="I533" s="1" t="str">
        <f>dados_01!I533</f>
        <v/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 t="str">
        <f>dados_01!A534</f>
        <v/>
      </c>
      <c r="B534" s="1" t="str">
        <f>dados_01!B534</f>
        <v/>
      </c>
      <c r="C534" s="1" t="str">
        <f>IFERROR(__xludf.DUMMYFUNCTION("JOIN("". "", ARRAYFORMULA(IFERROR(LEFT(SPLIT(dados_01!C534, "" ""), 1))))"),"")</f>
        <v/>
      </c>
      <c r="D534" s="1" t="str">
        <f>dados_01!D534</f>
        <v/>
      </c>
      <c r="E534" s="1" t="str">
        <f>CONCATENATE(LEFT(dados_01!E534,3),REPT("*",6),RIGHT(dados_01!E534,2))</f>
        <v>******</v>
      </c>
      <c r="F534" s="1" t="str">
        <f>dados_01!F534</f>
        <v/>
      </c>
      <c r="G534" s="1" t="str">
        <f>dados_01!G534</f>
        <v/>
      </c>
      <c r="H534" s="1" t="str">
        <f>dados_01!H534</f>
        <v/>
      </c>
      <c r="I534" s="1" t="str">
        <f>dados_01!I534</f>
        <v/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 t="str">
        <f>dados_01!A535</f>
        <v/>
      </c>
      <c r="B535" s="1" t="str">
        <f>dados_01!B535</f>
        <v/>
      </c>
      <c r="C535" s="1" t="str">
        <f>IFERROR(__xludf.DUMMYFUNCTION("JOIN("". "", ARRAYFORMULA(IFERROR(LEFT(SPLIT(dados_01!C535, "" ""), 1))))"),"")</f>
        <v/>
      </c>
      <c r="D535" s="1" t="str">
        <f>dados_01!D535</f>
        <v/>
      </c>
      <c r="E535" s="1" t="str">
        <f>CONCATENATE(LEFT(dados_01!E535,3),REPT("*",6),RIGHT(dados_01!E535,2))</f>
        <v>******</v>
      </c>
      <c r="F535" s="1" t="str">
        <f>dados_01!F535</f>
        <v/>
      </c>
      <c r="G535" s="1" t="str">
        <f>dados_01!G535</f>
        <v/>
      </c>
      <c r="H535" s="1" t="str">
        <f>dados_01!H535</f>
        <v/>
      </c>
      <c r="I535" s="1" t="str">
        <f>dados_01!I535</f>
        <v/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 t="str">
        <f>dados_01!A536</f>
        <v/>
      </c>
      <c r="B536" s="1" t="str">
        <f>dados_01!B536</f>
        <v/>
      </c>
      <c r="C536" s="1" t="str">
        <f>IFERROR(__xludf.DUMMYFUNCTION("JOIN("". "", ARRAYFORMULA(IFERROR(LEFT(SPLIT(dados_01!C536, "" ""), 1))))"),"")</f>
        <v/>
      </c>
      <c r="D536" s="1" t="str">
        <f>dados_01!D536</f>
        <v/>
      </c>
      <c r="E536" s="1" t="str">
        <f>CONCATENATE(LEFT(dados_01!E536,3),REPT("*",6),RIGHT(dados_01!E536,2))</f>
        <v>******</v>
      </c>
      <c r="F536" s="1" t="str">
        <f>dados_01!F536</f>
        <v/>
      </c>
      <c r="G536" s="1" t="str">
        <f>dados_01!G536</f>
        <v/>
      </c>
      <c r="H536" s="1" t="str">
        <f>dados_01!H536</f>
        <v/>
      </c>
      <c r="I536" s="1" t="str">
        <f>dados_01!I536</f>
        <v/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 t="str">
        <f>dados_01!A537</f>
        <v/>
      </c>
      <c r="B537" s="1" t="str">
        <f>dados_01!B537</f>
        <v/>
      </c>
      <c r="C537" s="1" t="str">
        <f>IFERROR(__xludf.DUMMYFUNCTION("JOIN("". "", ARRAYFORMULA(IFERROR(LEFT(SPLIT(dados_01!C537, "" ""), 1))))"),"")</f>
        <v/>
      </c>
      <c r="D537" s="1" t="str">
        <f>dados_01!D537</f>
        <v/>
      </c>
      <c r="E537" s="1" t="str">
        <f>CONCATENATE(LEFT(dados_01!E537,3),REPT("*",6),RIGHT(dados_01!E537,2))</f>
        <v>******</v>
      </c>
      <c r="F537" s="1" t="str">
        <f>dados_01!F537</f>
        <v/>
      </c>
      <c r="G537" s="1" t="str">
        <f>dados_01!G537</f>
        <v/>
      </c>
      <c r="H537" s="1" t="str">
        <f>dados_01!H537</f>
        <v/>
      </c>
      <c r="I537" s="1" t="str">
        <f>dados_01!I537</f>
        <v/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 t="str">
        <f>dados_01!A538</f>
        <v/>
      </c>
      <c r="B538" s="1" t="str">
        <f>dados_01!B538</f>
        <v/>
      </c>
      <c r="C538" s="1" t="str">
        <f>IFERROR(__xludf.DUMMYFUNCTION("JOIN("". "", ARRAYFORMULA(IFERROR(LEFT(SPLIT(dados_01!C538, "" ""), 1))))"),"")</f>
        <v/>
      </c>
      <c r="D538" s="1" t="str">
        <f>dados_01!D538</f>
        <v/>
      </c>
      <c r="E538" s="1" t="str">
        <f>CONCATENATE(LEFT(dados_01!E538,3),REPT("*",6),RIGHT(dados_01!E538,2))</f>
        <v>******</v>
      </c>
      <c r="F538" s="1" t="str">
        <f>dados_01!F538</f>
        <v/>
      </c>
      <c r="G538" s="1" t="str">
        <f>dados_01!G538</f>
        <v/>
      </c>
      <c r="H538" s="1" t="str">
        <f>dados_01!H538</f>
        <v/>
      </c>
      <c r="I538" s="1" t="str">
        <f>dados_01!I538</f>
        <v/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 t="str">
        <f>dados_01!A539</f>
        <v/>
      </c>
      <c r="B539" s="1" t="str">
        <f>dados_01!B539</f>
        <v/>
      </c>
      <c r="C539" s="1" t="str">
        <f>IFERROR(__xludf.DUMMYFUNCTION("JOIN("". "", ARRAYFORMULA(IFERROR(LEFT(SPLIT(dados_01!C539, "" ""), 1))))"),"")</f>
        <v/>
      </c>
      <c r="D539" s="1" t="str">
        <f>dados_01!D539</f>
        <v/>
      </c>
      <c r="E539" s="1" t="str">
        <f>CONCATENATE(LEFT(dados_01!E539,3),REPT("*",6),RIGHT(dados_01!E539,2))</f>
        <v>******</v>
      </c>
      <c r="F539" s="1" t="str">
        <f>dados_01!F539</f>
        <v/>
      </c>
      <c r="G539" s="1" t="str">
        <f>dados_01!G539</f>
        <v/>
      </c>
      <c r="H539" s="1" t="str">
        <f>dados_01!H539</f>
        <v/>
      </c>
      <c r="I539" s="1" t="str">
        <f>dados_01!I539</f>
        <v/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 t="str">
        <f>dados_01!A540</f>
        <v/>
      </c>
      <c r="B540" s="1" t="str">
        <f>dados_01!B540</f>
        <v/>
      </c>
      <c r="C540" s="1" t="str">
        <f>IFERROR(__xludf.DUMMYFUNCTION("JOIN("". "", ARRAYFORMULA(IFERROR(LEFT(SPLIT(dados_01!C540, "" ""), 1))))"),"")</f>
        <v/>
      </c>
      <c r="D540" s="1" t="str">
        <f>dados_01!D540</f>
        <v/>
      </c>
      <c r="E540" s="1" t="str">
        <f>CONCATENATE(LEFT(dados_01!E540,3),REPT("*",6),RIGHT(dados_01!E540,2))</f>
        <v>******</v>
      </c>
      <c r="F540" s="1" t="str">
        <f>dados_01!F540</f>
        <v/>
      </c>
      <c r="G540" s="1" t="str">
        <f>dados_01!G540</f>
        <v/>
      </c>
      <c r="H540" s="1" t="str">
        <f>dados_01!H540</f>
        <v/>
      </c>
      <c r="I540" s="1" t="str">
        <f>dados_01!I540</f>
        <v/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 t="str">
        <f>dados_01!A541</f>
        <v/>
      </c>
      <c r="B541" s="1" t="str">
        <f>dados_01!B541</f>
        <v/>
      </c>
      <c r="C541" s="1" t="str">
        <f>IFERROR(__xludf.DUMMYFUNCTION("JOIN("". "", ARRAYFORMULA(IFERROR(LEFT(SPLIT(dados_01!C541, "" ""), 1))))"),"")</f>
        <v/>
      </c>
      <c r="D541" s="1" t="str">
        <f>dados_01!D541</f>
        <v/>
      </c>
      <c r="E541" s="1" t="str">
        <f>CONCATENATE(LEFT(dados_01!E541,3),REPT("*",6),RIGHT(dados_01!E541,2))</f>
        <v>******</v>
      </c>
      <c r="F541" s="1" t="str">
        <f>dados_01!F541</f>
        <v/>
      </c>
      <c r="G541" s="1" t="str">
        <f>dados_01!G541</f>
        <v/>
      </c>
      <c r="H541" s="1" t="str">
        <f>dados_01!H541</f>
        <v/>
      </c>
      <c r="I541" s="1" t="str">
        <f>dados_01!I541</f>
        <v/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 t="str">
        <f>dados_01!A542</f>
        <v/>
      </c>
      <c r="B542" s="1" t="str">
        <f>dados_01!B542</f>
        <v/>
      </c>
      <c r="C542" s="1" t="str">
        <f>IFERROR(__xludf.DUMMYFUNCTION("JOIN("". "", ARRAYFORMULA(IFERROR(LEFT(SPLIT(dados_01!C542, "" ""), 1))))"),"")</f>
        <v/>
      </c>
      <c r="D542" s="1" t="str">
        <f>dados_01!D542</f>
        <v/>
      </c>
      <c r="E542" s="1" t="str">
        <f>CONCATENATE(LEFT(dados_01!E542,3),REPT("*",6),RIGHT(dados_01!E542,2))</f>
        <v>******</v>
      </c>
      <c r="F542" s="1" t="str">
        <f>dados_01!F542</f>
        <v/>
      </c>
      <c r="G542" s="1" t="str">
        <f>dados_01!G542</f>
        <v/>
      </c>
      <c r="H542" s="1" t="str">
        <f>dados_01!H542</f>
        <v/>
      </c>
      <c r="I542" s="1" t="str">
        <f>dados_01!I542</f>
        <v/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 t="str">
        <f>dados_01!A543</f>
        <v/>
      </c>
      <c r="B543" s="1" t="str">
        <f>dados_01!B543</f>
        <v/>
      </c>
      <c r="C543" s="1" t="str">
        <f>IFERROR(__xludf.DUMMYFUNCTION("JOIN("". "", ARRAYFORMULA(IFERROR(LEFT(SPLIT(dados_01!C543, "" ""), 1))))"),"")</f>
        <v/>
      </c>
      <c r="D543" s="1" t="str">
        <f>dados_01!D543</f>
        <v/>
      </c>
      <c r="E543" s="1" t="str">
        <f>CONCATENATE(LEFT(dados_01!E543,3),REPT("*",6),RIGHT(dados_01!E543,2))</f>
        <v>******</v>
      </c>
      <c r="F543" s="1" t="str">
        <f>dados_01!F543</f>
        <v/>
      </c>
      <c r="G543" s="1" t="str">
        <f>dados_01!G543</f>
        <v/>
      </c>
      <c r="H543" s="1" t="str">
        <f>dados_01!H543</f>
        <v/>
      </c>
      <c r="I543" s="1" t="str">
        <f>dados_01!I543</f>
        <v/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 t="str">
        <f>dados_01!A544</f>
        <v/>
      </c>
      <c r="B544" s="1" t="str">
        <f>dados_01!B544</f>
        <v/>
      </c>
      <c r="C544" s="1" t="str">
        <f>IFERROR(__xludf.DUMMYFUNCTION("JOIN("". "", ARRAYFORMULA(IFERROR(LEFT(SPLIT(dados_01!C544, "" ""), 1))))"),"")</f>
        <v/>
      </c>
      <c r="D544" s="1" t="str">
        <f>dados_01!D544</f>
        <v/>
      </c>
      <c r="E544" s="1" t="str">
        <f>CONCATENATE(LEFT(dados_01!E544,3),REPT("*",6),RIGHT(dados_01!E544,2))</f>
        <v>******</v>
      </c>
      <c r="F544" s="1" t="str">
        <f>dados_01!F544</f>
        <v/>
      </c>
      <c r="G544" s="1" t="str">
        <f>dados_01!G544</f>
        <v/>
      </c>
      <c r="H544" s="1" t="str">
        <f>dados_01!H544</f>
        <v/>
      </c>
      <c r="I544" s="1" t="str">
        <f>dados_01!I544</f>
        <v/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 t="str">
        <f>dados_01!A545</f>
        <v/>
      </c>
      <c r="B545" s="1" t="str">
        <f>dados_01!B545</f>
        <v/>
      </c>
      <c r="C545" s="1" t="str">
        <f>IFERROR(__xludf.DUMMYFUNCTION("JOIN("". "", ARRAYFORMULA(IFERROR(LEFT(SPLIT(dados_01!C545, "" ""), 1))))"),"")</f>
        <v/>
      </c>
      <c r="D545" s="1" t="str">
        <f>dados_01!D545</f>
        <v/>
      </c>
      <c r="E545" s="1" t="str">
        <f>CONCATENATE(LEFT(dados_01!E545,3),REPT("*",6),RIGHT(dados_01!E545,2))</f>
        <v>******</v>
      </c>
      <c r="F545" s="1" t="str">
        <f>dados_01!F545</f>
        <v/>
      </c>
      <c r="G545" s="1" t="str">
        <f>dados_01!G545</f>
        <v/>
      </c>
      <c r="H545" s="1" t="str">
        <f>dados_01!H545</f>
        <v/>
      </c>
      <c r="I545" s="1" t="str">
        <f>dados_01!I545</f>
        <v/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 t="str">
        <f>dados_01!A546</f>
        <v/>
      </c>
      <c r="B546" s="1" t="str">
        <f>dados_01!B546</f>
        <v/>
      </c>
      <c r="C546" s="1" t="str">
        <f>IFERROR(__xludf.DUMMYFUNCTION("JOIN("". "", ARRAYFORMULA(IFERROR(LEFT(SPLIT(dados_01!C546, "" ""), 1))))"),"")</f>
        <v/>
      </c>
      <c r="D546" s="1" t="str">
        <f>dados_01!D546</f>
        <v/>
      </c>
      <c r="E546" s="1" t="str">
        <f>CONCATENATE(LEFT(dados_01!E546,3),REPT("*",6),RIGHT(dados_01!E546,2))</f>
        <v>******</v>
      </c>
      <c r="F546" s="1" t="str">
        <f>dados_01!F546</f>
        <v/>
      </c>
      <c r="G546" s="1" t="str">
        <f>dados_01!G546</f>
        <v/>
      </c>
      <c r="H546" s="1" t="str">
        <f>dados_01!H546</f>
        <v/>
      </c>
      <c r="I546" s="1" t="str">
        <f>dados_01!I546</f>
        <v/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 t="str">
        <f>dados_01!A547</f>
        <v/>
      </c>
      <c r="B547" s="1" t="str">
        <f>dados_01!B547</f>
        <v/>
      </c>
      <c r="C547" s="1" t="str">
        <f>IFERROR(__xludf.DUMMYFUNCTION("JOIN("". "", ARRAYFORMULA(IFERROR(LEFT(SPLIT(dados_01!C547, "" ""), 1))))"),"")</f>
        <v/>
      </c>
      <c r="D547" s="1" t="str">
        <f>dados_01!D547</f>
        <v/>
      </c>
      <c r="E547" s="1" t="str">
        <f>CONCATENATE(LEFT(dados_01!E547,3),REPT("*",6),RIGHT(dados_01!E547,2))</f>
        <v>******</v>
      </c>
      <c r="F547" s="1" t="str">
        <f>dados_01!F547</f>
        <v/>
      </c>
      <c r="G547" s="1" t="str">
        <f>dados_01!G547</f>
        <v/>
      </c>
      <c r="H547" s="1" t="str">
        <f>dados_01!H547</f>
        <v/>
      </c>
      <c r="I547" s="1" t="str">
        <f>dados_01!I547</f>
        <v/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 t="str">
        <f>dados_01!A548</f>
        <v/>
      </c>
      <c r="B548" s="1" t="str">
        <f>dados_01!B548</f>
        <v/>
      </c>
      <c r="C548" s="1" t="str">
        <f>IFERROR(__xludf.DUMMYFUNCTION("JOIN("". "", ARRAYFORMULA(IFERROR(LEFT(SPLIT(dados_01!C548, "" ""), 1))))"),"")</f>
        <v/>
      </c>
      <c r="D548" s="1" t="str">
        <f>dados_01!D548</f>
        <v/>
      </c>
      <c r="E548" s="1" t="str">
        <f>CONCATENATE(LEFT(dados_01!E548,3),REPT("*",6),RIGHT(dados_01!E548,2))</f>
        <v>******</v>
      </c>
      <c r="F548" s="1" t="str">
        <f>dados_01!F548</f>
        <v/>
      </c>
      <c r="G548" s="1" t="str">
        <f>dados_01!G548</f>
        <v/>
      </c>
      <c r="H548" s="1" t="str">
        <f>dados_01!H548</f>
        <v/>
      </c>
      <c r="I548" s="1" t="str">
        <f>dados_01!I548</f>
        <v/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 t="str">
        <f>dados_01!A549</f>
        <v/>
      </c>
      <c r="B549" s="1" t="str">
        <f>dados_01!B549</f>
        <v/>
      </c>
      <c r="C549" s="1" t="str">
        <f>IFERROR(__xludf.DUMMYFUNCTION("JOIN("". "", ARRAYFORMULA(IFERROR(LEFT(SPLIT(dados_01!C549, "" ""), 1))))"),"")</f>
        <v/>
      </c>
      <c r="D549" s="1" t="str">
        <f>dados_01!D549</f>
        <v/>
      </c>
      <c r="E549" s="1" t="str">
        <f>CONCATENATE(LEFT(dados_01!E549,3),REPT("*",6),RIGHT(dados_01!E549,2))</f>
        <v>******</v>
      </c>
      <c r="F549" s="1" t="str">
        <f>dados_01!F549</f>
        <v/>
      </c>
      <c r="G549" s="1" t="str">
        <f>dados_01!G549</f>
        <v/>
      </c>
      <c r="H549" s="1" t="str">
        <f>dados_01!H549</f>
        <v/>
      </c>
      <c r="I549" s="1" t="str">
        <f>dados_01!I549</f>
        <v/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 t="str">
        <f>dados_01!A550</f>
        <v/>
      </c>
      <c r="B550" s="1" t="str">
        <f>dados_01!B550</f>
        <v/>
      </c>
      <c r="C550" s="1" t="str">
        <f>IFERROR(__xludf.DUMMYFUNCTION("JOIN("". "", ARRAYFORMULA(IFERROR(LEFT(SPLIT(dados_01!C550, "" ""), 1))))"),"")</f>
        <v/>
      </c>
      <c r="D550" s="1" t="str">
        <f>dados_01!D550</f>
        <v/>
      </c>
      <c r="E550" s="1" t="str">
        <f>CONCATENATE(LEFT(dados_01!E550,3),REPT("*",6),RIGHT(dados_01!E550,2))</f>
        <v>******</v>
      </c>
      <c r="F550" s="1" t="str">
        <f>dados_01!F550</f>
        <v/>
      </c>
      <c r="G550" s="1" t="str">
        <f>dados_01!G550</f>
        <v/>
      </c>
      <c r="H550" s="1" t="str">
        <f>dados_01!H550</f>
        <v/>
      </c>
      <c r="I550" s="1" t="str">
        <f>dados_01!I550</f>
        <v/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 t="str">
        <f>dados_01!A551</f>
        <v/>
      </c>
      <c r="B551" s="1" t="str">
        <f>dados_01!B551</f>
        <v/>
      </c>
      <c r="C551" s="1" t="str">
        <f>IFERROR(__xludf.DUMMYFUNCTION("JOIN("". "", ARRAYFORMULA(IFERROR(LEFT(SPLIT(dados_01!C551, "" ""), 1))))"),"")</f>
        <v/>
      </c>
      <c r="D551" s="1" t="str">
        <f>dados_01!D551</f>
        <v/>
      </c>
      <c r="E551" s="1" t="str">
        <f>CONCATENATE(LEFT(dados_01!E551,3),REPT("*",6),RIGHT(dados_01!E551,2))</f>
        <v>******</v>
      </c>
      <c r="F551" s="1" t="str">
        <f>dados_01!F551</f>
        <v/>
      </c>
      <c r="G551" s="1" t="str">
        <f>dados_01!G551</f>
        <v/>
      </c>
      <c r="H551" s="1" t="str">
        <f>dados_01!H551</f>
        <v/>
      </c>
      <c r="I551" s="1" t="str">
        <f>dados_01!I551</f>
        <v/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 t="str">
        <f>dados_01!A552</f>
        <v/>
      </c>
      <c r="B552" s="1" t="str">
        <f>dados_01!B552</f>
        <v/>
      </c>
      <c r="C552" s="1" t="str">
        <f>IFERROR(__xludf.DUMMYFUNCTION("JOIN("". "", ARRAYFORMULA(IFERROR(LEFT(SPLIT(dados_01!C552, "" ""), 1))))"),"")</f>
        <v/>
      </c>
      <c r="D552" s="1" t="str">
        <f>dados_01!D552</f>
        <v/>
      </c>
      <c r="E552" s="1" t="str">
        <f>CONCATENATE(LEFT(dados_01!E552,3),REPT("*",6),RIGHT(dados_01!E552,2))</f>
        <v>******</v>
      </c>
      <c r="F552" s="1" t="str">
        <f>dados_01!F552</f>
        <v/>
      </c>
      <c r="G552" s="1" t="str">
        <f>dados_01!G552</f>
        <v/>
      </c>
      <c r="H552" s="1" t="str">
        <f>dados_01!H552</f>
        <v/>
      </c>
      <c r="I552" s="1" t="str">
        <f>dados_01!I552</f>
        <v/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 t="str">
        <f>dados_01!A553</f>
        <v/>
      </c>
      <c r="B553" s="1" t="str">
        <f>dados_01!B553</f>
        <v/>
      </c>
      <c r="C553" s="1" t="str">
        <f>IFERROR(__xludf.DUMMYFUNCTION("JOIN("". "", ARRAYFORMULA(IFERROR(LEFT(SPLIT(dados_01!C553, "" ""), 1))))"),"")</f>
        <v/>
      </c>
      <c r="D553" s="1" t="str">
        <f>dados_01!D553</f>
        <v/>
      </c>
      <c r="E553" s="1" t="str">
        <f>CONCATENATE(LEFT(dados_01!E553,3),REPT("*",6),RIGHT(dados_01!E553,2))</f>
        <v>******</v>
      </c>
      <c r="F553" s="1" t="str">
        <f>dados_01!F553</f>
        <v/>
      </c>
      <c r="G553" s="1" t="str">
        <f>dados_01!G553</f>
        <v/>
      </c>
      <c r="H553" s="1" t="str">
        <f>dados_01!H553</f>
        <v/>
      </c>
      <c r="I553" s="1" t="str">
        <f>dados_01!I553</f>
        <v/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 t="str">
        <f>dados_01!A554</f>
        <v/>
      </c>
      <c r="B554" s="1" t="str">
        <f>dados_01!B554</f>
        <v/>
      </c>
      <c r="C554" s="1" t="str">
        <f>IFERROR(__xludf.DUMMYFUNCTION("JOIN("". "", ARRAYFORMULA(IFERROR(LEFT(SPLIT(dados_01!C554, "" ""), 1))))"),"")</f>
        <v/>
      </c>
      <c r="D554" s="1" t="str">
        <f>dados_01!D554</f>
        <v/>
      </c>
      <c r="E554" s="1" t="str">
        <f>CONCATENATE(LEFT(dados_01!E554,3),REPT("*",6),RIGHT(dados_01!E554,2))</f>
        <v>******</v>
      </c>
      <c r="F554" s="1" t="str">
        <f>dados_01!F554</f>
        <v/>
      </c>
      <c r="G554" s="1" t="str">
        <f>dados_01!G554</f>
        <v/>
      </c>
      <c r="H554" s="1" t="str">
        <f>dados_01!H554</f>
        <v/>
      </c>
      <c r="I554" s="1" t="str">
        <f>dados_01!I554</f>
        <v/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 t="str">
        <f>dados_01!A555</f>
        <v/>
      </c>
      <c r="B555" s="1" t="str">
        <f>dados_01!B555</f>
        <v/>
      </c>
      <c r="C555" s="1" t="str">
        <f>IFERROR(__xludf.DUMMYFUNCTION("JOIN("". "", ARRAYFORMULA(IFERROR(LEFT(SPLIT(dados_01!C555, "" ""), 1))))"),"")</f>
        <v/>
      </c>
      <c r="D555" s="1" t="str">
        <f>dados_01!D555</f>
        <v/>
      </c>
      <c r="E555" s="1" t="str">
        <f>CONCATENATE(LEFT(dados_01!E555,3),REPT("*",6),RIGHT(dados_01!E555,2))</f>
        <v>******</v>
      </c>
      <c r="F555" s="1" t="str">
        <f>dados_01!F555</f>
        <v/>
      </c>
      <c r="G555" s="1" t="str">
        <f>dados_01!G555</f>
        <v/>
      </c>
      <c r="H555" s="1" t="str">
        <f>dados_01!H555</f>
        <v/>
      </c>
      <c r="I555" s="1" t="str">
        <f>dados_01!I555</f>
        <v/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 t="str">
        <f>dados_01!A556</f>
        <v/>
      </c>
      <c r="B556" s="1" t="str">
        <f>dados_01!B556</f>
        <v/>
      </c>
      <c r="C556" s="1" t="str">
        <f>IFERROR(__xludf.DUMMYFUNCTION("JOIN("". "", ARRAYFORMULA(IFERROR(LEFT(SPLIT(dados_01!C556, "" ""), 1))))"),"")</f>
        <v/>
      </c>
      <c r="D556" s="1" t="str">
        <f>dados_01!D556</f>
        <v/>
      </c>
      <c r="E556" s="1" t="str">
        <f>CONCATENATE(LEFT(dados_01!E556,3),REPT("*",6),RIGHT(dados_01!E556,2))</f>
        <v>******</v>
      </c>
      <c r="F556" s="1" t="str">
        <f>dados_01!F556</f>
        <v/>
      </c>
      <c r="G556" s="1" t="str">
        <f>dados_01!G556</f>
        <v/>
      </c>
      <c r="H556" s="1" t="str">
        <f>dados_01!H556</f>
        <v/>
      </c>
      <c r="I556" s="1" t="str">
        <f>dados_01!I556</f>
        <v/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 t="str">
        <f>dados_01!A557</f>
        <v/>
      </c>
      <c r="B557" s="1" t="str">
        <f>dados_01!B557</f>
        <v/>
      </c>
      <c r="C557" s="1" t="str">
        <f>IFERROR(__xludf.DUMMYFUNCTION("JOIN("". "", ARRAYFORMULA(IFERROR(LEFT(SPLIT(dados_01!C557, "" ""), 1))))"),"")</f>
        <v/>
      </c>
      <c r="D557" s="1" t="str">
        <f>dados_01!D557</f>
        <v/>
      </c>
      <c r="E557" s="1" t="str">
        <f>CONCATENATE(LEFT(dados_01!E557,3),REPT("*",6),RIGHT(dados_01!E557,2))</f>
        <v>******</v>
      </c>
      <c r="F557" s="1" t="str">
        <f>dados_01!F557</f>
        <v/>
      </c>
      <c r="G557" s="1" t="str">
        <f>dados_01!G557</f>
        <v/>
      </c>
      <c r="H557" s="1" t="str">
        <f>dados_01!H557</f>
        <v/>
      </c>
      <c r="I557" s="1" t="str">
        <f>dados_01!I557</f>
        <v/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 t="str">
        <f>dados_01!A558</f>
        <v/>
      </c>
      <c r="B558" s="1" t="str">
        <f>dados_01!B558</f>
        <v/>
      </c>
      <c r="C558" s="1" t="str">
        <f>IFERROR(__xludf.DUMMYFUNCTION("JOIN("". "", ARRAYFORMULA(IFERROR(LEFT(SPLIT(dados_01!C558, "" ""), 1))))"),"")</f>
        <v/>
      </c>
      <c r="D558" s="1" t="str">
        <f>dados_01!D558</f>
        <v/>
      </c>
      <c r="E558" s="1" t="str">
        <f>CONCATENATE(LEFT(dados_01!E558,3),REPT("*",6),RIGHT(dados_01!E558,2))</f>
        <v>******</v>
      </c>
      <c r="F558" s="1" t="str">
        <f>dados_01!F558</f>
        <v/>
      </c>
      <c r="G558" s="1" t="str">
        <f>dados_01!G558</f>
        <v/>
      </c>
      <c r="H558" s="1" t="str">
        <f>dados_01!H558</f>
        <v/>
      </c>
      <c r="I558" s="1" t="str">
        <f>dados_01!I558</f>
        <v/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 t="str">
        <f>dados_01!A559</f>
        <v/>
      </c>
      <c r="B559" s="1" t="str">
        <f>dados_01!B559</f>
        <v/>
      </c>
      <c r="C559" s="1" t="str">
        <f>IFERROR(__xludf.DUMMYFUNCTION("JOIN("". "", ARRAYFORMULA(IFERROR(LEFT(SPLIT(dados_01!C559, "" ""), 1))))"),"")</f>
        <v/>
      </c>
      <c r="D559" s="1" t="str">
        <f>dados_01!D559</f>
        <v/>
      </c>
      <c r="E559" s="1" t="str">
        <f>CONCATENATE(LEFT(dados_01!E559,3),REPT("*",6),RIGHT(dados_01!E559,2))</f>
        <v>******</v>
      </c>
      <c r="F559" s="1" t="str">
        <f>dados_01!F559</f>
        <v/>
      </c>
      <c r="G559" s="1" t="str">
        <f>dados_01!G559</f>
        <v/>
      </c>
      <c r="H559" s="1" t="str">
        <f>dados_01!H559</f>
        <v/>
      </c>
      <c r="I559" s="1" t="str">
        <f>dados_01!I559</f>
        <v/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 t="str">
        <f>dados_01!A560</f>
        <v/>
      </c>
      <c r="B560" s="1" t="str">
        <f>dados_01!B560</f>
        <v/>
      </c>
      <c r="C560" s="1" t="str">
        <f>IFERROR(__xludf.DUMMYFUNCTION("JOIN("". "", ARRAYFORMULA(IFERROR(LEFT(SPLIT(dados_01!C560, "" ""), 1))))"),"")</f>
        <v/>
      </c>
      <c r="D560" s="1" t="str">
        <f>dados_01!D560</f>
        <v/>
      </c>
      <c r="E560" s="1" t="str">
        <f>CONCATENATE(LEFT(dados_01!E560,3),REPT("*",6),RIGHT(dados_01!E560,2))</f>
        <v>******</v>
      </c>
      <c r="F560" s="1" t="str">
        <f>dados_01!F560</f>
        <v/>
      </c>
      <c r="G560" s="1" t="str">
        <f>dados_01!G560</f>
        <v/>
      </c>
      <c r="H560" s="1" t="str">
        <f>dados_01!H560</f>
        <v/>
      </c>
      <c r="I560" s="1" t="str">
        <f>dados_01!I560</f>
        <v/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 t="str">
        <f>dados_01!A561</f>
        <v/>
      </c>
      <c r="B561" s="1" t="str">
        <f>dados_01!B561</f>
        <v/>
      </c>
      <c r="C561" s="1" t="str">
        <f>IFERROR(__xludf.DUMMYFUNCTION("JOIN("". "", ARRAYFORMULA(IFERROR(LEFT(SPLIT(dados_01!C561, "" ""), 1))))"),"")</f>
        <v/>
      </c>
      <c r="D561" s="1" t="str">
        <f>dados_01!D561</f>
        <v/>
      </c>
      <c r="E561" s="1" t="str">
        <f>CONCATENATE(LEFT(dados_01!E561,3),REPT("*",6),RIGHT(dados_01!E561,2))</f>
        <v>******</v>
      </c>
      <c r="F561" s="1" t="str">
        <f>dados_01!F561</f>
        <v/>
      </c>
      <c r="G561" s="1" t="str">
        <f>dados_01!G561</f>
        <v/>
      </c>
      <c r="H561" s="1" t="str">
        <f>dados_01!H561</f>
        <v/>
      </c>
      <c r="I561" s="1" t="str">
        <f>dados_01!I561</f>
        <v/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 t="str">
        <f>dados_01!A562</f>
        <v/>
      </c>
      <c r="B562" s="1" t="str">
        <f>dados_01!B562</f>
        <v/>
      </c>
      <c r="C562" s="1" t="str">
        <f>IFERROR(__xludf.DUMMYFUNCTION("JOIN("". "", ARRAYFORMULA(IFERROR(LEFT(SPLIT(dados_01!C562, "" ""), 1))))"),"")</f>
        <v/>
      </c>
      <c r="D562" s="1" t="str">
        <f>dados_01!D562</f>
        <v/>
      </c>
      <c r="E562" s="1" t="str">
        <f>CONCATENATE(LEFT(dados_01!E562,3),REPT("*",6),RIGHT(dados_01!E562,2))</f>
        <v>******</v>
      </c>
      <c r="F562" s="1" t="str">
        <f>dados_01!F562</f>
        <v/>
      </c>
      <c r="G562" s="1" t="str">
        <f>dados_01!G562</f>
        <v/>
      </c>
      <c r="H562" s="1" t="str">
        <f>dados_01!H562</f>
        <v/>
      </c>
      <c r="I562" s="1" t="str">
        <f>dados_01!I562</f>
        <v/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 t="str">
        <f>dados_01!A563</f>
        <v/>
      </c>
      <c r="B563" s="1" t="str">
        <f>dados_01!B563</f>
        <v/>
      </c>
      <c r="C563" s="1" t="str">
        <f>IFERROR(__xludf.DUMMYFUNCTION("JOIN("". "", ARRAYFORMULA(IFERROR(LEFT(SPLIT(dados_01!C563, "" ""), 1))))"),"")</f>
        <v/>
      </c>
      <c r="D563" s="1" t="str">
        <f>dados_01!D563</f>
        <v/>
      </c>
      <c r="E563" s="1" t="str">
        <f>CONCATENATE(LEFT(dados_01!E563,3),REPT("*",6),RIGHT(dados_01!E563,2))</f>
        <v>******</v>
      </c>
      <c r="F563" s="1" t="str">
        <f>dados_01!F563</f>
        <v/>
      </c>
      <c r="G563" s="1" t="str">
        <f>dados_01!G563</f>
        <v/>
      </c>
      <c r="H563" s="1" t="str">
        <f>dados_01!H563</f>
        <v/>
      </c>
      <c r="I563" s="1" t="str">
        <f>dados_01!I563</f>
        <v/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 t="str">
        <f>dados_01!A564</f>
        <v/>
      </c>
      <c r="B564" s="1" t="str">
        <f>dados_01!B564</f>
        <v/>
      </c>
      <c r="C564" s="1" t="str">
        <f>IFERROR(__xludf.DUMMYFUNCTION("JOIN("". "", ARRAYFORMULA(IFERROR(LEFT(SPLIT(dados_01!C564, "" ""), 1))))"),"")</f>
        <v/>
      </c>
      <c r="D564" s="1" t="str">
        <f>dados_01!D564</f>
        <v/>
      </c>
      <c r="E564" s="1" t="str">
        <f>CONCATENATE(LEFT(dados_01!E564,3),REPT("*",6),RIGHT(dados_01!E564,2))</f>
        <v>******</v>
      </c>
      <c r="F564" s="1" t="str">
        <f>dados_01!F564</f>
        <v/>
      </c>
      <c r="G564" s="1" t="str">
        <f>dados_01!G564</f>
        <v/>
      </c>
      <c r="H564" s="1" t="str">
        <f>dados_01!H564</f>
        <v/>
      </c>
      <c r="I564" s="1" t="str">
        <f>dados_01!I564</f>
        <v/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 t="str">
        <f>dados_01!A565</f>
        <v/>
      </c>
      <c r="B565" s="1" t="str">
        <f>dados_01!B565</f>
        <v/>
      </c>
      <c r="C565" s="1" t="str">
        <f>IFERROR(__xludf.DUMMYFUNCTION("JOIN("". "", ARRAYFORMULA(IFERROR(LEFT(SPLIT(dados_01!C565, "" ""), 1))))"),"")</f>
        <v/>
      </c>
      <c r="D565" s="1" t="str">
        <f>dados_01!D565</f>
        <v/>
      </c>
      <c r="E565" s="1" t="str">
        <f>CONCATENATE(LEFT(dados_01!E565,3),REPT("*",6),RIGHT(dados_01!E565,2))</f>
        <v>******</v>
      </c>
      <c r="F565" s="1" t="str">
        <f>dados_01!F565</f>
        <v/>
      </c>
      <c r="G565" s="1" t="str">
        <f>dados_01!G565</f>
        <v/>
      </c>
      <c r="H565" s="1" t="str">
        <f>dados_01!H565</f>
        <v/>
      </c>
      <c r="I565" s="1" t="str">
        <f>dados_01!I565</f>
        <v/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 t="str">
        <f>dados_01!A566</f>
        <v/>
      </c>
      <c r="B566" s="1" t="str">
        <f>dados_01!B566</f>
        <v/>
      </c>
      <c r="C566" s="1" t="str">
        <f>IFERROR(__xludf.DUMMYFUNCTION("JOIN("". "", ARRAYFORMULA(IFERROR(LEFT(SPLIT(dados_01!C566, "" ""), 1))))"),"")</f>
        <v/>
      </c>
      <c r="D566" s="1" t="str">
        <f>dados_01!D566</f>
        <v/>
      </c>
      <c r="E566" s="1" t="str">
        <f>CONCATENATE(LEFT(dados_01!E566,3),REPT("*",6),RIGHT(dados_01!E566,2))</f>
        <v>******</v>
      </c>
      <c r="F566" s="1" t="str">
        <f>dados_01!F566</f>
        <v/>
      </c>
      <c r="G566" s="1" t="str">
        <f>dados_01!G566</f>
        <v/>
      </c>
      <c r="H566" s="1" t="str">
        <f>dados_01!H566</f>
        <v/>
      </c>
      <c r="I566" s="1" t="str">
        <f>dados_01!I566</f>
        <v/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 t="str">
        <f>dados_01!A567</f>
        <v/>
      </c>
      <c r="B567" s="1" t="str">
        <f>dados_01!B567</f>
        <v/>
      </c>
      <c r="C567" s="1" t="str">
        <f>IFERROR(__xludf.DUMMYFUNCTION("JOIN("". "", ARRAYFORMULA(IFERROR(LEFT(SPLIT(dados_01!C567, "" ""), 1))))"),"")</f>
        <v/>
      </c>
      <c r="D567" s="1" t="str">
        <f>dados_01!D567</f>
        <v/>
      </c>
      <c r="E567" s="1" t="str">
        <f>CONCATENATE(LEFT(dados_01!E567,3),REPT("*",6),RIGHT(dados_01!E567,2))</f>
        <v>******</v>
      </c>
      <c r="F567" s="1" t="str">
        <f>dados_01!F567</f>
        <v/>
      </c>
      <c r="G567" s="1" t="str">
        <f>dados_01!G567</f>
        <v/>
      </c>
      <c r="H567" s="1" t="str">
        <f>dados_01!H567</f>
        <v/>
      </c>
      <c r="I567" s="1" t="str">
        <f>dados_01!I567</f>
        <v/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 t="str">
        <f>dados_01!A568</f>
        <v/>
      </c>
      <c r="B568" s="1" t="str">
        <f>dados_01!B568</f>
        <v/>
      </c>
      <c r="C568" s="1" t="str">
        <f>IFERROR(__xludf.DUMMYFUNCTION("JOIN("". "", ARRAYFORMULA(IFERROR(LEFT(SPLIT(dados_01!C568, "" ""), 1))))"),"")</f>
        <v/>
      </c>
      <c r="D568" s="1" t="str">
        <f>dados_01!D568</f>
        <v/>
      </c>
      <c r="E568" s="1" t="str">
        <f>CONCATENATE(LEFT(dados_01!E568,3),REPT("*",6),RIGHT(dados_01!E568,2))</f>
        <v>******</v>
      </c>
      <c r="F568" s="1" t="str">
        <f>dados_01!F568</f>
        <v/>
      </c>
      <c r="G568" s="1" t="str">
        <f>dados_01!G568</f>
        <v/>
      </c>
      <c r="H568" s="1" t="str">
        <f>dados_01!H568</f>
        <v/>
      </c>
      <c r="I568" s="1" t="str">
        <f>dados_01!I568</f>
        <v/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 t="str">
        <f>dados_01!A569</f>
        <v/>
      </c>
      <c r="B569" s="1" t="str">
        <f>dados_01!B569</f>
        <v/>
      </c>
      <c r="C569" s="1" t="str">
        <f>IFERROR(__xludf.DUMMYFUNCTION("JOIN("". "", ARRAYFORMULA(IFERROR(LEFT(SPLIT(dados_01!C569, "" ""), 1))))"),"")</f>
        <v/>
      </c>
      <c r="D569" s="1" t="str">
        <f>dados_01!D569</f>
        <v/>
      </c>
      <c r="E569" s="1" t="str">
        <f>CONCATENATE(LEFT(dados_01!E569,3),REPT("*",6),RIGHT(dados_01!E569,2))</f>
        <v>******</v>
      </c>
      <c r="F569" s="1" t="str">
        <f>dados_01!F569</f>
        <v/>
      </c>
      <c r="G569" s="1" t="str">
        <f>dados_01!G569</f>
        <v/>
      </c>
      <c r="H569" s="1" t="str">
        <f>dados_01!H569</f>
        <v/>
      </c>
      <c r="I569" s="1" t="str">
        <f>dados_01!I569</f>
        <v/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 t="str">
        <f>dados_01!A570</f>
        <v/>
      </c>
      <c r="B570" s="1" t="str">
        <f>dados_01!B570</f>
        <v/>
      </c>
      <c r="C570" s="1" t="str">
        <f>IFERROR(__xludf.DUMMYFUNCTION("JOIN("". "", ARRAYFORMULA(IFERROR(LEFT(SPLIT(dados_01!C570, "" ""), 1))))"),"")</f>
        <v/>
      </c>
      <c r="D570" s="1" t="str">
        <f>dados_01!D570</f>
        <v/>
      </c>
      <c r="E570" s="1" t="str">
        <f>CONCATENATE(LEFT(dados_01!E570,3),REPT("*",6),RIGHT(dados_01!E570,2))</f>
        <v>******</v>
      </c>
      <c r="F570" s="1" t="str">
        <f>dados_01!F570</f>
        <v/>
      </c>
      <c r="G570" s="1" t="str">
        <f>dados_01!G570</f>
        <v/>
      </c>
      <c r="H570" s="1" t="str">
        <f>dados_01!H570</f>
        <v/>
      </c>
      <c r="I570" s="1" t="str">
        <f>dados_01!I570</f>
        <v/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 t="str">
        <f>dados_01!A571</f>
        <v/>
      </c>
      <c r="B571" s="1" t="str">
        <f>dados_01!B571</f>
        <v/>
      </c>
      <c r="C571" s="1" t="str">
        <f>IFERROR(__xludf.DUMMYFUNCTION("JOIN("". "", ARRAYFORMULA(IFERROR(LEFT(SPLIT(dados_01!C571, "" ""), 1))))"),"")</f>
        <v/>
      </c>
      <c r="D571" s="1" t="str">
        <f>dados_01!D571</f>
        <v/>
      </c>
      <c r="E571" s="1" t="str">
        <f>CONCATENATE(LEFT(dados_01!E571,3),REPT("*",6),RIGHT(dados_01!E571,2))</f>
        <v>******</v>
      </c>
      <c r="F571" s="1" t="str">
        <f>dados_01!F571</f>
        <v/>
      </c>
      <c r="G571" s="1" t="str">
        <f>dados_01!G571</f>
        <v/>
      </c>
      <c r="H571" s="1" t="str">
        <f>dados_01!H571</f>
        <v/>
      </c>
      <c r="I571" s="1" t="str">
        <f>dados_01!I571</f>
        <v/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 t="str">
        <f>dados_01!A572</f>
        <v/>
      </c>
      <c r="B572" s="1" t="str">
        <f>dados_01!B572</f>
        <v/>
      </c>
      <c r="C572" s="1" t="str">
        <f>IFERROR(__xludf.DUMMYFUNCTION("JOIN("". "", ARRAYFORMULA(IFERROR(LEFT(SPLIT(dados_01!C572, "" ""), 1))))"),"")</f>
        <v/>
      </c>
      <c r="D572" s="1" t="str">
        <f>dados_01!D572</f>
        <v/>
      </c>
      <c r="E572" s="1" t="str">
        <f>CONCATENATE(LEFT(dados_01!E572,3),REPT("*",6),RIGHT(dados_01!E572,2))</f>
        <v>******</v>
      </c>
      <c r="F572" s="1" t="str">
        <f>dados_01!F572</f>
        <v/>
      </c>
      <c r="G572" s="1" t="str">
        <f>dados_01!G572</f>
        <v/>
      </c>
      <c r="H572" s="1" t="str">
        <f>dados_01!H572</f>
        <v/>
      </c>
      <c r="I572" s="1" t="str">
        <f>dados_01!I572</f>
        <v/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 t="str">
        <f>dados_01!A573</f>
        <v/>
      </c>
      <c r="B573" s="1" t="str">
        <f>dados_01!B573</f>
        <v/>
      </c>
      <c r="C573" s="1" t="str">
        <f>IFERROR(__xludf.DUMMYFUNCTION("JOIN("". "", ARRAYFORMULA(IFERROR(LEFT(SPLIT(dados_01!C573, "" ""), 1))))"),"")</f>
        <v/>
      </c>
      <c r="D573" s="1" t="str">
        <f>dados_01!D573</f>
        <v/>
      </c>
      <c r="E573" s="1" t="str">
        <f>CONCATENATE(LEFT(dados_01!E573,3),REPT("*",6),RIGHT(dados_01!E573,2))</f>
        <v>******</v>
      </c>
      <c r="F573" s="1" t="str">
        <f>dados_01!F573</f>
        <v/>
      </c>
      <c r="G573" s="1" t="str">
        <f>dados_01!G573</f>
        <v/>
      </c>
      <c r="H573" s="1" t="str">
        <f>dados_01!H573</f>
        <v/>
      </c>
      <c r="I573" s="1" t="str">
        <f>dados_01!I573</f>
        <v/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 t="str">
        <f>dados_01!A574</f>
        <v/>
      </c>
      <c r="B574" s="1" t="str">
        <f>dados_01!B574</f>
        <v/>
      </c>
      <c r="C574" s="1" t="str">
        <f>IFERROR(__xludf.DUMMYFUNCTION("JOIN("". "", ARRAYFORMULA(IFERROR(LEFT(SPLIT(dados_01!C574, "" ""), 1))))"),"")</f>
        <v/>
      </c>
      <c r="D574" s="1" t="str">
        <f>dados_01!D574</f>
        <v/>
      </c>
      <c r="E574" s="1" t="str">
        <f>CONCATENATE(LEFT(dados_01!E574,3),REPT("*",6),RIGHT(dados_01!E574,2))</f>
        <v>******</v>
      </c>
      <c r="F574" s="1" t="str">
        <f>dados_01!F574</f>
        <v/>
      </c>
      <c r="G574" s="1" t="str">
        <f>dados_01!G574</f>
        <v/>
      </c>
      <c r="H574" s="1" t="str">
        <f>dados_01!H574</f>
        <v/>
      </c>
      <c r="I574" s="1" t="str">
        <f>dados_01!I574</f>
        <v/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 t="str">
        <f>dados_01!A575</f>
        <v/>
      </c>
      <c r="B575" s="1" t="str">
        <f>dados_01!B575</f>
        <v/>
      </c>
      <c r="C575" s="1" t="str">
        <f>IFERROR(__xludf.DUMMYFUNCTION("JOIN("". "", ARRAYFORMULA(IFERROR(LEFT(SPLIT(dados_01!C575, "" ""), 1))))"),"")</f>
        <v/>
      </c>
      <c r="D575" s="1" t="str">
        <f>dados_01!D575</f>
        <v/>
      </c>
      <c r="E575" s="1" t="str">
        <f>CONCATENATE(LEFT(dados_01!E575,3),REPT("*",6),RIGHT(dados_01!E575,2))</f>
        <v>******</v>
      </c>
      <c r="F575" s="1" t="str">
        <f>dados_01!F575</f>
        <v/>
      </c>
      <c r="G575" s="1" t="str">
        <f>dados_01!G575</f>
        <v/>
      </c>
      <c r="H575" s="1" t="str">
        <f>dados_01!H575</f>
        <v/>
      </c>
      <c r="I575" s="1" t="str">
        <f>dados_01!I575</f>
        <v/>
      </c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 t="str">
        <f>dados_01!A576</f>
        <v/>
      </c>
      <c r="B576" s="1" t="str">
        <f>dados_01!B576</f>
        <v/>
      </c>
      <c r="C576" s="1" t="str">
        <f>IFERROR(__xludf.DUMMYFUNCTION("JOIN("". "", ARRAYFORMULA(IFERROR(LEFT(SPLIT(dados_01!C576, "" ""), 1))))"),"")</f>
        <v/>
      </c>
      <c r="D576" s="1" t="str">
        <f>dados_01!D576</f>
        <v/>
      </c>
      <c r="E576" s="1" t="str">
        <f>CONCATENATE(LEFT(dados_01!E576,3),REPT("*",6),RIGHT(dados_01!E576,2))</f>
        <v>******</v>
      </c>
      <c r="F576" s="1" t="str">
        <f>dados_01!F576</f>
        <v/>
      </c>
      <c r="G576" s="1" t="str">
        <f>dados_01!G576</f>
        <v/>
      </c>
      <c r="H576" s="1" t="str">
        <f>dados_01!H576</f>
        <v/>
      </c>
      <c r="I576" s="1" t="str">
        <f>dados_01!I576</f>
        <v/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 t="str">
        <f>dados_01!A577</f>
        <v/>
      </c>
      <c r="B577" s="1" t="str">
        <f>dados_01!B577</f>
        <v/>
      </c>
      <c r="C577" s="1" t="str">
        <f>IFERROR(__xludf.DUMMYFUNCTION("JOIN("". "", ARRAYFORMULA(IFERROR(LEFT(SPLIT(dados_01!C577, "" ""), 1))))"),"")</f>
        <v/>
      </c>
      <c r="D577" s="1" t="str">
        <f>dados_01!D577</f>
        <v/>
      </c>
      <c r="E577" s="1" t="str">
        <f>CONCATENATE(LEFT(dados_01!E577,3),REPT("*",6),RIGHT(dados_01!E577,2))</f>
        <v>******</v>
      </c>
      <c r="F577" s="1" t="str">
        <f>dados_01!F577</f>
        <v/>
      </c>
      <c r="G577" s="1" t="str">
        <f>dados_01!G577</f>
        <v/>
      </c>
      <c r="H577" s="1" t="str">
        <f>dados_01!H577</f>
        <v/>
      </c>
      <c r="I577" s="1" t="str">
        <f>dados_01!I577</f>
        <v/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 t="str">
        <f>dados_01!A578</f>
        <v/>
      </c>
      <c r="B578" s="1" t="str">
        <f>dados_01!B578</f>
        <v/>
      </c>
      <c r="C578" s="1" t="str">
        <f>IFERROR(__xludf.DUMMYFUNCTION("JOIN("". "", ARRAYFORMULA(IFERROR(LEFT(SPLIT(dados_01!C578, "" ""), 1))))"),"")</f>
        <v/>
      </c>
      <c r="D578" s="1" t="str">
        <f>dados_01!D578</f>
        <v/>
      </c>
      <c r="E578" s="1" t="str">
        <f>CONCATENATE(LEFT(dados_01!E578,3),REPT("*",6),RIGHT(dados_01!E578,2))</f>
        <v>******</v>
      </c>
      <c r="F578" s="1" t="str">
        <f>dados_01!F578</f>
        <v/>
      </c>
      <c r="G578" s="1" t="str">
        <f>dados_01!G578</f>
        <v/>
      </c>
      <c r="H578" s="1" t="str">
        <f>dados_01!H578</f>
        <v/>
      </c>
      <c r="I578" s="1" t="str">
        <f>dados_01!I578</f>
        <v/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 t="str">
        <f>dados_01!A579</f>
        <v/>
      </c>
      <c r="B579" s="1" t="str">
        <f>dados_01!B579</f>
        <v/>
      </c>
      <c r="C579" s="1" t="str">
        <f>IFERROR(__xludf.DUMMYFUNCTION("JOIN("". "", ARRAYFORMULA(IFERROR(LEFT(SPLIT(dados_01!C579, "" ""), 1))))"),"")</f>
        <v/>
      </c>
      <c r="D579" s="1" t="str">
        <f>dados_01!D579</f>
        <v/>
      </c>
      <c r="E579" s="1" t="str">
        <f>CONCATENATE(LEFT(dados_01!E579,3),REPT("*",6),RIGHT(dados_01!E579,2))</f>
        <v>******</v>
      </c>
      <c r="F579" s="1" t="str">
        <f>dados_01!F579</f>
        <v/>
      </c>
      <c r="G579" s="1" t="str">
        <f>dados_01!G579</f>
        <v/>
      </c>
      <c r="H579" s="1" t="str">
        <f>dados_01!H579</f>
        <v/>
      </c>
      <c r="I579" s="1" t="str">
        <f>dados_01!I579</f>
        <v/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 t="str">
        <f>dados_01!A580</f>
        <v/>
      </c>
      <c r="B580" s="1" t="str">
        <f>dados_01!B580</f>
        <v/>
      </c>
      <c r="C580" s="1" t="str">
        <f>IFERROR(__xludf.DUMMYFUNCTION("JOIN("". "", ARRAYFORMULA(IFERROR(LEFT(SPLIT(dados_01!C580, "" ""), 1))))"),"")</f>
        <v/>
      </c>
      <c r="D580" s="1" t="str">
        <f>dados_01!D580</f>
        <v/>
      </c>
      <c r="E580" s="1" t="str">
        <f>CONCATENATE(LEFT(dados_01!E580,3),REPT("*",6),RIGHT(dados_01!E580,2))</f>
        <v>******</v>
      </c>
      <c r="F580" s="1" t="str">
        <f>dados_01!F580</f>
        <v/>
      </c>
      <c r="G580" s="1" t="str">
        <f>dados_01!G580</f>
        <v/>
      </c>
      <c r="H580" s="1" t="str">
        <f>dados_01!H580</f>
        <v/>
      </c>
      <c r="I580" s="1" t="str">
        <f>dados_01!I580</f>
        <v/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 t="str">
        <f>dados_01!A581</f>
        <v/>
      </c>
      <c r="B581" s="1" t="str">
        <f>dados_01!B581</f>
        <v/>
      </c>
      <c r="C581" s="1" t="str">
        <f>IFERROR(__xludf.DUMMYFUNCTION("JOIN("". "", ARRAYFORMULA(IFERROR(LEFT(SPLIT(dados_01!C581, "" ""), 1))))"),"")</f>
        <v/>
      </c>
      <c r="D581" s="1" t="str">
        <f>dados_01!D581</f>
        <v/>
      </c>
      <c r="E581" s="1" t="str">
        <f>CONCATENATE(LEFT(dados_01!E581,3),REPT("*",6),RIGHT(dados_01!E581,2))</f>
        <v>******</v>
      </c>
      <c r="F581" s="1" t="str">
        <f>dados_01!F581</f>
        <v/>
      </c>
      <c r="G581" s="1" t="str">
        <f>dados_01!G581</f>
        <v/>
      </c>
      <c r="H581" s="1" t="str">
        <f>dados_01!H581</f>
        <v/>
      </c>
      <c r="I581" s="1" t="str">
        <f>dados_01!I581</f>
        <v/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 t="str">
        <f>dados_01!A582</f>
        <v/>
      </c>
      <c r="B582" s="1" t="str">
        <f>dados_01!B582</f>
        <v/>
      </c>
      <c r="C582" s="1" t="str">
        <f>IFERROR(__xludf.DUMMYFUNCTION("JOIN("". "", ARRAYFORMULA(IFERROR(LEFT(SPLIT(dados_01!C582, "" ""), 1))))"),"")</f>
        <v/>
      </c>
      <c r="D582" s="1" t="str">
        <f>dados_01!D582</f>
        <v/>
      </c>
      <c r="E582" s="1" t="str">
        <f>CONCATENATE(LEFT(dados_01!E582,3),REPT("*",6),RIGHT(dados_01!E582,2))</f>
        <v>******</v>
      </c>
      <c r="F582" s="1" t="str">
        <f>dados_01!F582</f>
        <v/>
      </c>
      <c r="G582" s="1" t="str">
        <f>dados_01!G582</f>
        <v/>
      </c>
      <c r="H582" s="1" t="str">
        <f>dados_01!H582</f>
        <v/>
      </c>
      <c r="I582" s="1" t="str">
        <f>dados_01!I582</f>
        <v/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 t="str">
        <f>dados_01!A583</f>
        <v/>
      </c>
      <c r="B583" s="1" t="str">
        <f>dados_01!B583</f>
        <v/>
      </c>
      <c r="C583" s="1" t="str">
        <f>IFERROR(__xludf.DUMMYFUNCTION("JOIN("". "", ARRAYFORMULA(IFERROR(LEFT(SPLIT(dados_01!C583, "" ""), 1))))"),"")</f>
        <v/>
      </c>
      <c r="D583" s="1" t="str">
        <f>dados_01!D583</f>
        <v/>
      </c>
      <c r="E583" s="1" t="str">
        <f>CONCATENATE(LEFT(dados_01!E583,3),REPT("*",6),RIGHT(dados_01!E583,2))</f>
        <v>******</v>
      </c>
      <c r="F583" s="1" t="str">
        <f>dados_01!F583</f>
        <v/>
      </c>
      <c r="G583" s="1" t="str">
        <f>dados_01!G583</f>
        <v/>
      </c>
      <c r="H583" s="1" t="str">
        <f>dados_01!H583</f>
        <v/>
      </c>
      <c r="I583" s="1" t="str">
        <f>dados_01!I583</f>
        <v/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 t="str">
        <f>dados_01!A584</f>
        <v/>
      </c>
      <c r="B584" s="1" t="str">
        <f>dados_01!B584</f>
        <v/>
      </c>
      <c r="C584" s="1" t="str">
        <f>IFERROR(__xludf.DUMMYFUNCTION("JOIN("". "", ARRAYFORMULA(IFERROR(LEFT(SPLIT(dados_01!C584, "" ""), 1))))"),"")</f>
        <v/>
      </c>
      <c r="D584" s="1" t="str">
        <f>dados_01!D584</f>
        <v/>
      </c>
      <c r="E584" s="1" t="str">
        <f>CONCATENATE(LEFT(dados_01!E584,3),REPT("*",6),RIGHT(dados_01!E584,2))</f>
        <v>******</v>
      </c>
      <c r="F584" s="1" t="str">
        <f>dados_01!F584</f>
        <v/>
      </c>
      <c r="G584" s="1" t="str">
        <f>dados_01!G584</f>
        <v/>
      </c>
      <c r="H584" s="1" t="str">
        <f>dados_01!H584</f>
        <v/>
      </c>
      <c r="I584" s="1" t="str">
        <f>dados_01!I584</f>
        <v/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 t="str">
        <f>dados_01!A585</f>
        <v/>
      </c>
      <c r="B585" s="1" t="str">
        <f>dados_01!B585</f>
        <v/>
      </c>
      <c r="C585" s="1" t="str">
        <f>IFERROR(__xludf.DUMMYFUNCTION("JOIN("". "", ARRAYFORMULA(IFERROR(LEFT(SPLIT(dados_01!C585, "" ""), 1))))"),"")</f>
        <v/>
      </c>
      <c r="D585" s="1" t="str">
        <f>dados_01!D585</f>
        <v/>
      </c>
      <c r="E585" s="1" t="str">
        <f>CONCATENATE(LEFT(dados_01!E585,3),REPT("*",6),RIGHT(dados_01!E585,2))</f>
        <v>******</v>
      </c>
      <c r="F585" s="1" t="str">
        <f>dados_01!F585</f>
        <v/>
      </c>
      <c r="G585" s="1" t="str">
        <f>dados_01!G585</f>
        <v/>
      </c>
      <c r="H585" s="1" t="str">
        <f>dados_01!H585</f>
        <v/>
      </c>
      <c r="I585" s="1" t="str">
        <f>dados_01!I585</f>
        <v/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 t="str">
        <f>dados_01!A586</f>
        <v/>
      </c>
      <c r="B586" s="1" t="str">
        <f>dados_01!B586</f>
        <v/>
      </c>
      <c r="C586" s="1" t="str">
        <f>IFERROR(__xludf.DUMMYFUNCTION("JOIN("". "", ARRAYFORMULA(IFERROR(LEFT(SPLIT(dados_01!C586, "" ""), 1))))"),"")</f>
        <v/>
      </c>
      <c r="D586" s="1" t="str">
        <f>dados_01!D586</f>
        <v/>
      </c>
      <c r="E586" s="1" t="str">
        <f>CONCATENATE(LEFT(dados_01!E586,3),REPT("*",6),RIGHT(dados_01!E586,2))</f>
        <v>******</v>
      </c>
      <c r="F586" s="1" t="str">
        <f>dados_01!F586</f>
        <v/>
      </c>
      <c r="G586" s="1" t="str">
        <f>dados_01!G586</f>
        <v/>
      </c>
      <c r="H586" s="1" t="str">
        <f>dados_01!H586</f>
        <v/>
      </c>
      <c r="I586" s="1" t="str">
        <f>dados_01!I586</f>
        <v/>
      </c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 t="str">
        <f>dados_01!A587</f>
        <v/>
      </c>
      <c r="B587" s="1" t="str">
        <f>dados_01!B587</f>
        <v/>
      </c>
      <c r="C587" s="1" t="str">
        <f>IFERROR(__xludf.DUMMYFUNCTION("JOIN("". "", ARRAYFORMULA(IFERROR(LEFT(SPLIT(dados_01!C587, "" ""), 1))))"),"")</f>
        <v/>
      </c>
      <c r="D587" s="1" t="str">
        <f>dados_01!D587</f>
        <v/>
      </c>
      <c r="E587" s="1" t="str">
        <f>CONCATENATE(LEFT(dados_01!E587,3),REPT("*",6),RIGHT(dados_01!E587,2))</f>
        <v>******</v>
      </c>
      <c r="F587" s="1" t="str">
        <f>dados_01!F587</f>
        <v/>
      </c>
      <c r="G587" s="1" t="str">
        <f>dados_01!G587</f>
        <v/>
      </c>
      <c r="H587" s="1" t="str">
        <f>dados_01!H587</f>
        <v/>
      </c>
      <c r="I587" s="1" t="str">
        <f>dados_01!I587</f>
        <v/>
      </c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 t="str">
        <f>dados_01!A588</f>
        <v/>
      </c>
      <c r="B588" s="1" t="str">
        <f>dados_01!B588</f>
        <v/>
      </c>
      <c r="C588" s="1" t="str">
        <f>IFERROR(__xludf.DUMMYFUNCTION("JOIN("". "", ARRAYFORMULA(IFERROR(LEFT(SPLIT(dados_01!C588, "" ""), 1))))"),"")</f>
        <v/>
      </c>
      <c r="D588" s="1" t="str">
        <f>dados_01!D588</f>
        <v/>
      </c>
      <c r="E588" s="1" t="str">
        <f>CONCATENATE(LEFT(dados_01!E588,3),REPT("*",6),RIGHT(dados_01!E588,2))</f>
        <v>******</v>
      </c>
      <c r="F588" s="1" t="str">
        <f>dados_01!F588</f>
        <v/>
      </c>
      <c r="G588" s="1" t="str">
        <f>dados_01!G588</f>
        <v/>
      </c>
      <c r="H588" s="1" t="str">
        <f>dados_01!H588</f>
        <v/>
      </c>
      <c r="I588" s="1" t="str">
        <f>dados_01!I588</f>
        <v/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 t="str">
        <f>dados_01!A589</f>
        <v/>
      </c>
      <c r="B589" s="1" t="str">
        <f>dados_01!B589</f>
        <v/>
      </c>
      <c r="C589" s="1" t="str">
        <f>IFERROR(__xludf.DUMMYFUNCTION("JOIN("". "", ARRAYFORMULA(IFERROR(LEFT(SPLIT(dados_01!C589, "" ""), 1))))"),"")</f>
        <v/>
      </c>
      <c r="D589" s="1" t="str">
        <f>dados_01!D589</f>
        <v/>
      </c>
      <c r="E589" s="1" t="str">
        <f>CONCATENATE(LEFT(dados_01!E589,3),REPT("*",6),RIGHT(dados_01!E589,2))</f>
        <v>******</v>
      </c>
      <c r="F589" s="1" t="str">
        <f>dados_01!F589</f>
        <v/>
      </c>
      <c r="G589" s="1" t="str">
        <f>dados_01!G589</f>
        <v/>
      </c>
      <c r="H589" s="1" t="str">
        <f>dados_01!H589</f>
        <v/>
      </c>
      <c r="I589" s="1" t="str">
        <f>dados_01!I589</f>
        <v/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 t="str">
        <f>dados_01!A590</f>
        <v/>
      </c>
      <c r="B590" s="1" t="str">
        <f>dados_01!B590</f>
        <v/>
      </c>
      <c r="C590" s="1" t="str">
        <f>IFERROR(__xludf.DUMMYFUNCTION("JOIN("". "", ARRAYFORMULA(IFERROR(LEFT(SPLIT(dados_01!C590, "" ""), 1))))"),"")</f>
        <v/>
      </c>
      <c r="D590" s="1" t="str">
        <f>dados_01!D590</f>
        <v/>
      </c>
      <c r="E590" s="1" t="str">
        <f>CONCATENATE(LEFT(dados_01!E590,3),REPT("*",6),RIGHT(dados_01!E590,2))</f>
        <v>******</v>
      </c>
      <c r="F590" s="1" t="str">
        <f>dados_01!F590</f>
        <v/>
      </c>
      <c r="G590" s="1" t="str">
        <f>dados_01!G590</f>
        <v/>
      </c>
      <c r="H590" s="1" t="str">
        <f>dados_01!H590</f>
        <v/>
      </c>
      <c r="I590" s="1" t="str">
        <f>dados_01!I590</f>
        <v/>
      </c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 t="str">
        <f>dados_01!A591</f>
        <v/>
      </c>
      <c r="B591" s="1" t="str">
        <f>dados_01!B591</f>
        <v/>
      </c>
      <c r="C591" s="1" t="str">
        <f>IFERROR(__xludf.DUMMYFUNCTION("JOIN("". "", ARRAYFORMULA(IFERROR(LEFT(SPLIT(dados_01!C591, "" ""), 1))))"),"")</f>
        <v/>
      </c>
      <c r="D591" s="1" t="str">
        <f>dados_01!D591</f>
        <v/>
      </c>
      <c r="E591" s="1" t="str">
        <f>CONCATENATE(LEFT(dados_01!E591,3),REPT("*",6),RIGHT(dados_01!E591,2))</f>
        <v>******</v>
      </c>
      <c r="F591" s="1" t="str">
        <f>dados_01!F591</f>
        <v/>
      </c>
      <c r="G591" s="1" t="str">
        <f>dados_01!G591</f>
        <v/>
      </c>
      <c r="H591" s="1" t="str">
        <f>dados_01!H591</f>
        <v/>
      </c>
      <c r="I591" s="1" t="str">
        <f>dados_01!I591</f>
        <v/>
      </c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 t="str">
        <f>dados_01!A592</f>
        <v/>
      </c>
      <c r="B592" s="1" t="str">
        <f>dados_01!B592</f>
        <v/>
      </c>
      <c r="C592" s="1" t="str">
        <f>IFERROR(__xludf.DUMMYFUNCTION("JOIN("". "", ARRAYFORMULA(IFERROR(LEFT(SPLIT(dados_01!C592, "" ""), 1))))"),"")</f>
        <v/>
      </c>
      <c r="D592" s="1" t="str">
        <f>dados_01!D592</f>
        <v/>
      </c>
      <c r="E592" s="1" t="str">
        <f>CONCATENATE(LEFT(dados_01!E592,3),REPT("*",6),RIGHT(dados_01!E592,2))</f>
        <v>******</v>
      </c>
      <c r="F592" s="1" t="str">
        <f>dados_01!F592</f>
        <v/>
      </c>
      <c r="G592" s="1" t="str">
        <f>dados_01!G592</f>
        <v/>
      </c>
      <c r="H592" s="1" t="str">
        <f>dados_01!H592</f>
        <v/>
      </c>
      <c r="I592" s="1" t="str">
        <f>dados_01!I592</f>
        <v/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 t="str">
        <f>dados_01!A593</f>
        <v/>
      </c>
      <c r="B593" s="1" t="str">
        <f>dados_01!B593</f>
        <v/>
      </c>
      <c r="C593" s="1" t="str">
        <f>IFERROR(__xludf.DUMMYFUNCTION("JOIN("". "", ARRAYFORMULA(IFERROR(LEFT(SPLIT(dados_01!C593, "" ""), 1))))"),"")</f>
        <v/>
      </c>
      <c r="D593" s="1" t="str">
        <f>dados_01!D593</f>
        <v/>
      </c>
      <c r="E593" s="1" t="str">
        <f>CONCATENATE(LEFT(dados_01!E593,3),REPT("*",6),RIGHT(dados_01!E593,2))</f>
        <v>******</v>
      </c>
      <c r="F593" s="1" t="str">
        <f>dados_01!F593</f>
        <v/>
      </c>
      <c r="G593" s="1" t="str">
        <f>dados_01!G593</f>
        <v/>
      </c>
      <c r="H593" s="1" t="str">
        <f>dados_01!H593</f>
        <v/>
      </c>
      <c r="I593" s="1" t="str">
        <f>dados_01!I593</f>
        <v/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 t="str">
        <f>dados_01!A594</f>
        <v/>
      </c>
      <c r="B594" s="1" t="str">
        <f>dados_01!B594</f>
        <v/>
      </c>
      <c r="C594" s="1" t="str">
        <f>IFERROR(__xludf.DUMMYFUNCTION("JOIN("". "", ARRAYFORMULA(IFERROR(LEFT(SPLIT(dados_01!C594, "" ""), 1))))"),"")</f>
        <v/>
      </c>
      <c r="D594" s="1" t="str">
        <f>dados_01!D594</f>
        <v/>
      </c>
      <c r="E594" s="1" t="str">
        <f>CONCATENATE(LEFT(dados_01!E594,3),REPT("*",6),RIGHT(dados_01!E594,2))</f>
        <v>******</v>
      </c>
      <c r="F594" s="1" t="str">
        <f>dados_01!F594</f>
        <v/>
      </c>
      <c r="G594" s="1" t="str">
        <f>dados_01!G594</f>
        <v/>
      </c>
      <c r="H594" s="1" t="str">
        <f>dados_01!H594</f>
        <v/>
      </c>
      <c r="I594" s="1" t="str">
        <f>dados_01!I594</f>
        <v/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 t="str">
        <f>dados_01!A595</f>
        <v/>
      </c>
      <c r="B595" s="1" t="str">
        <f>dados_01!B595</f>
        <v/>
      </c>
      <c r="C595" s="1" t="str">
        <f>IFERROR(__xludf.DUMMYFUNCTION("JOIN("". "", ARRAYFORMULA(IFERROR(LEFT(SPLIT(dados_01!C595, "" ""), 1))))"),"")</f>
        <v/>
      </c>
      <c r="D595" s="1" t="str">
        <f>dados_01!D595</f>
        <v/>
      </c>
      <c r="E595" s="1" t="str">
        <f>CONCATENATE(LEFT(dados_01!E595,3),REPT("*",6),RIGHT(dados_01!E595,2))</f>
        <v>******</v>
      </c>
      <c r="F595" s="1" t="str">
        <f>dados_01!F595</f>
        <v/>
      </c>
      <c r="G595" s="1" t="str">
        <f>dados_01!G595</f>
        <v/>
      </c>
      <c r="H595" s="1" t="str">
        <f>dados_01!H595</f>
        <v/>
      </c>
      <c r="I595" s="1" t="str">
        <f>dados_01!I595</f>
        <v/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 t="str">
        <f>dados_01!A596</f>
        <v/>
      </c>
      <c r="B596" s="1" t="str">
        <f>dados_01!B596</f>
        <v/>
      </c>
      <c r="C596" s="1" t="str">
        <f>IFERROR(__xludf.DUMMYFUNCTION("JOIN("". "", ARRAYFORMULA(IFERROR(LEFT(SPLIT(dados_01!C596, "" ""), 1))))"),"")</f>
        <v/>
      </c>
      <c r="D596" s="1" t="str">
        <f>dados_01!D596</f>
        <v/>
      </c>
      <c r="E596" s="1" t="str">
        <f>CONCATENATE(LEFT(dados_01!E596,3),REPT("*",6),RIGHT(dados_01!E596,2))</f>
        <v>******</v>
      </c>
      <c r="F596" s="1" t="str">
        <f>dados_01!F596</f>
        <v/>
      </c>
      <c r="G596" s="1" t="str">
        <f>dados_01!G596</f>
        <v/>
      </c>
      <c r="H596" s="1" t="str">
        <f>dados_01!H596</f>
        <v/>
      </c>
      <c r="I596" s="1" t="str">
        <f>dados_01!I596</f>
        <v/>
      </c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 t="str">
        <f>dados_01!A597</f>
        <v/>
      </c>
      <c r="B597" s="1" t="str">
        <f>dados_01!B597</f>
        <v/>
      </c>
      <c r="C597" s="1" t="str">
        <f>IFERROR(__xludf.DUMMYFUNCTION("JOIN("". "", ARRAYFORMULA(IFERROR(LEFT(SPLIT(dados_01!C597, "" ""), 1))))"),"")</f>
        <v/>
      </c>
      <c r="D597" s="1" t="str">
        <f>dados_01!D597</f>
        <v/>
      </c>
      <c r="E597" s="1" t="str">
        <f>CONCATENATE(LEFT(dados_01!E597,3),REPT("*",6),RIGHT(dados_01!E597,2))</f>
        <v>******</v>
      </c>
      <c r="F597" s="1" t="str">
        <f>dados_01!F597</f>
        <v/>
      </c>
      <c r="G597" s="1" t="str">
        <f>dados_01!G597</f>
        <v/>
      </c>
      <c r="H597" s="1" t="str">
        <f>dados_01!H597</f>
        <v/>
      </c>
      <c r="I597" s="1" t="str">
        <f>dados_01!I597</f>
        <v/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 t="str">
        <f>dados_01!A598</f>
        <v/>
      </c>
      <c r="B598" s="1" t="str">
        <f>dados_01!B598</f>
        <v/>
      </c>
      <c r="C598" s="1" t="str">
        <f>IFERROR(__xludf.DUMMYFUNCTION("JOIN("". "", ARRAYFORMULA(IFERROR(LEFT(SPLIT(dados_01!C598, "" ""), 1))))"),"")</f>
        <v/>
      </c>
      <c r="D598" s="1" t="str">
        <f>dados_01!D598</f>
        <v/>
      </c>
      <c r="E598" s="1" t="str">
        <f>CONCATENATE(LEFT(dados_01!E598,3),REPT("*",6),RIGHT(dados_01!E598,2))</f>
        <v>******</v>
      </c>
      <c r="F598" s="1" t="str">
        <f>dados_01!F598</f>
        <v/>
      </c>
      <c r="G598" s="1" t="str">
        <f>dados_01!G598</f>
        <v/>
      </c>
      <c r="H598" s="1" t="str">
        <f>dados_01!H598</f>
        <v/>
      </c>
      <c r="I598" s="1" t="str">
        <f>dados_01!I598</f>
        <v/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 t="str">
        <f>dados_01!A599</f>
        <v/>
      </c>
      <c r="B599" s="1" t="str">
        <f>dados_01!B599</f>
        <v/>
      </c>
      <c r="C599" s="1" t="str">
        <f>IFERROR(__xludf.DUMMYFUNCTION("JOIN("". "", ARRAYFORMULA(IFERROR(LEFT(SPLIT(dados_01!C599, "" ""), 1))))"),"")</f>
        <v/>
      </c>
      <c r="D599" s="1" t="str">
        <f>dados_01!D599</f>
        <v/>
      </c>
      <c r="E599" s="1" t="str">
        <f>CONCATENATE(LEFT(dados_01!E599,3),REPT("*",6),RIGHT(dados_01!E599,2))</f>
        <v>******</v>
      </c>
      <c r="F599" s="1" t="str">
        <f>dados_01!F599</f>
        <v/>
      </c>
      <c r="G599" s="1" t="str">
        <f>dados_01!G599</f>
        <v/>
      </c>
      <c r="H599" s="1" t="str">
        <f>dados_01!H599</f>
        <v/>
      </c>
      <c r="I599" s="1" t="str">
        <f>dados_01!I599</f>
        <v/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 t="str">
        <f>dados_01!A600</f>
        <v/>
      </c>
      <c r="B600" s="1" t="str">
        <f>dados_01!B600</f>
        <v/>
      </c>
      <c r="C600" s="1" t="str">
        <f>IFERROR(__xludf.DUMMYFUNCTION("JOIN("". "", ARRAYFORMULA(IFERROR(LEFT(SPLIT(dados_01!C600, "" ""), 1))))"),"")</f>
        <v/>
      </c>
      <c r="D600" s="1" t="str">
        <f>dados_01!D600</f>
        <v/>
      </c>
      <c r="E600" s="1" t="str">
        <f>CONCATENATE(LEFT(dados_01!E600,3),REPT("*",6),RIGHT(dados_01!E600,2))</f>
        <v>******</v>
      </c>
      <c r="F600" s="1" t="str">
        <f>dados_01!F600</f>
        <v/>
      </c>
      <c r="G600" s="1" t="str">
        <f>dados_01!G600</f>
        <v/>
      </c>
      <c r="H600" s="1" t="str">
        <f>dados_01!H600</f>
        <v/>
      </c>
      <c r="I600" s="1" t="str">
        <f>dados_01!I600</f>
        <v/>
      </c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 t="str">
        <f>dados_01!A601</f>
        <v/>
      </c>
      <c r="B601" s="1" t="str">
        <f>dados_01!B601</f>
        <v/>
      </c>
      <c r="C601" s="1" t="str">
        <f>IFERROR(__xludf.DUMMYFUNCTION("JOIN("". "", ARRAYFORMULA(IFERROR(LEFT(SPLIT(dados_01!C601, "" ""), 1))))"),"")</f>
        <v/>
      </c>
      <c r="D601" s="1" t="str">
        <f>dados_01!D601</f>
        <v/>
      </c>
      <c r="E601" s="1" t="str">
        <f>CONCATENATE(LEFT(dados_01!E601,3),REPT("*",6),RIGHT(dados_01!E601,2))</f>
        <v>******</v>
      </c>
      <c r="F601" s="1" t="str">
        <f>dados_01!F601</f>
        <v/>
      </c>
      <c r="G601" s="1" t="str">
        <f>dados_01!G601</f>
        <v/>
      </c>
      <c r="H601" s="1" t="str">
        <f>dados_01!H601</f>
        <v/>
      </c>
      <c r="I601" s="1" t="str">
        <f>dados_01!I601</f>
        <v/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 t="str">
        <f>dados_01!A602</f>
        <v/>
      </c>
      <c r="B602" s="1" t="str">
        <f>dados_01!B602</f>
        <v/>
      </c>
      <c r="C602" s="1" t="str">
        <f>IFERROR(__xludf.DUMMYFUNCTION("JOIN("". "", ARRAYFORMULA(IFERROR(LEFT(SPLIT(dados_01!C602, "" ""), 1))))"),"")</f>
        <v/>
      </c>
      <c r="D602" s="1" t="str">
        <f>dados_01!D602</f>
        <v/>
      </c>
      <c r="E602" s="1" t="str">
        <f>CONCATENATE(LEFT(dados_01!E602,3),REPT("*",6),RIGHT(dados_01!E602,2))</f>
        <v>******</v>
      </c>
      <c r="F602" s="1" t="str">
        <f>dados_01!F602</f>
        <v/>
      </c>
      <c r="G602" s="1" t="str">
        <f>dados_01!G602</f>
        <v/>
      </c>
      <c r="H602" s="1" t="str">
        <f>dados_01!H602</f>
        <v/>
      </c>
      <c r="I602" s="1" t="str">
        <f>dados_01!I602</f>
        <v/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 t="str">
        <f>dados_01!A603</f>
        <v/>
      </c>
      <c r="B603" s="1" t="str">
        <f>dados_01!B603</f>
        <v/>
      </c>
      <c r="C603" s="1" t="str">
        <f>IFERROR(__xludf.DUMMYFUNCTION("JOIN("". "", ARRAYFORMULA(IFERROR(LEFT(SPLIT(dados_01!C603, "" ""), 1))))"),"")</f>
        <v/>
      </c>
      <c r="D603" s="1" t="str">
        <f>dados_01!D603</f>
        <v/>
      </c>
      <c r="E603" s="1" t="str">
        <f>CONCATENATE(LEFT(dados_01!E603,3),REPT("*",6),RIGHT(dados_01!E603,2))</f>
        <v>******</v>
      </c>
      <c r="F603" s="1" t="str">
        <f>dados_01!F603</f>
        <v/>
      </c>
      <c r="G603" s="1" t="str">
        <f>dados_01!G603</f>
        <v/>
      </c>
      <c r="H603" s="1" t="str">
        <f>dados_01!H603</f>
        <v/>
      </c>
      <c r="I603" s="1" t="str">
        <f>dados_01!I603</f>
        <v/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 t="str">
        <f>dados_01!A604</f>
        <v/>
      </c>
      <c r="B604" s="1" t="str">
        <f>dados_01!B604</f>
        <v/>
      </c>
      <c r="C604" s="1" t="str">
        <f>IFERROR(__xludf.DUMMYFUNCTION("JOIN("". "", ARRAYFORMULA(IFERROR(LEFT(SPLIT(dados_01!C604, "" ""), 1))))"),"")</f>
        <v/>
      </c>
      <c r="D604" s="1" t="str">
        <f>dados_01!D604</f>
        <v/>
      </c>
      <c r="E604" s="1" t="str">
        <f>CONCATENATE(LEFT(dados_01!E604,3),REPT("*",6),RIGHT(dados_01!E604,2))</f>
        <v>******</v>
      </c>
      <c r="F604" s="1" t="str">
        <f>dados_01!F604</f>
        <v/>
      </c>
      <c r="G604" s="1" t="str">
        <f>dados_01!G604</f>
        <v/>
      </c>
      <c r="H604" s="1" t="str">
        <f>dados_01!H604</f>
        <v/>
      </c>
      <c r="I604" s="1" t="str">
        <f>dados_01!I604</f>
        <v/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 t="str">
        <f>dados_01!A605</f>
        <v/>
      </c>
      <c r="B605" s="1" t="str">
        <f>dados_01!B605</f>
        <v/>
      </c>
      <c r="C605" s="1" t="str">
        <f>IFERROR(__xludf.DUMMYFUNCTION("JOIN("". "", ARRAYFORMULA(IFERROR(LEFT(SPLIT(dados_01!C605, "" ""), 1))))"),"")</f>
        <v/>
      </c>
      <c r="D605" s="1" t="str">
        <f>dados_01!D605</f>
        <v/>
      </c>
      <c r="E605" s="1" t="str">
        <f>CONCATENATE(LEFT(dados_01!E605,3),REPT("*",6),RIGHT(dados_01!E605,2))</f>
        <v>******</v>
      </c>
      <c r="F605" s="1" t="str">
        <f>dados_01!F605</f>
        <v/>
      </c>
      <c r="G605" s="1" t="str">
        <f>dados_01!G605</f>
        <v/>
      </c>
      <c r="H605" s="1" t="str">
        <f>dados_01!H605</f>
        <v/>
      </c>
      <c r="I605" s="1" t="str">
        <f>dados_01!I605</f>
        <v/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 t="str">
        <f>dados_01!A606</f>
        <v/>
      </c>
      <c r="B606" s="1" t="str">
        <f>dados_01!B606</f>
        <v/>
      </c>
      <c r="C606" s="1" t="str">
        <f>IFERROR(__xludf.DUMMYFUNCTION("JOIN("". "", ARRAYFORMULA(IFERROR(LEFT(SPLIT(dados_01!C606, "" ""), 1))))"),"")</f>
        <v/>
      </c>
      <c r="D606" s="1" t="str">
        <f>dados_01!D606</f>
        <v/>
      </c>
      <c r="E606" s="1" t="str">
        <f>CONCATENATE(LEFT(dados_01!E606,3),REPT("*",6),RIGHT(dados_01!E606,2))</f>
        <v>******</v>
      </c>
      <c r="F606" s="1" t="str">
        <f>dados_01!F606</f>
        <v/>
      </c>
      <c r="G606" s="1" t="str">
        <f>dados_01!G606</f>
        <v/>
      </c>
      <c r="H606" s="1" t="str">
        <f>dados_01!H606</f>
        <v/>
      </c>
      <c r="I606" s="1" t="str">
        <f>dados_01!I606</f>
        <v/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 t="str">
        <f>dados_01!A607</f>
        <v/>
      </c>
      <c r="B607" s="1" t="str">
        <f>dados_01!B607</f>
        <v/>
      </c>
      <c r="C607" s="1" t="str">
        <f>IFERROR(__xludf.DUMMYFUNCTION("JOIN("". "", ARRAYFORMULA(IFERROR(LEFT(SPLIT(dados_01!C607, "" ""), 1))))"),"")</f>
        <v/>
      </c>
      <c r="D607" s="1" t="str">
        <f>dados_01!D607</f>
        <v/>
      </c>
      <c r="E607" s="1" t="str">
        <f>CONCATENATE(LEFT(dados_01!E607,3),REPT("*",6),RIGHT(dados_01!E607,2))</f>
        <v>******</v>
      </c>
      <c r="F607" s="1" t="str">
        <f>dados_01!F607</f>
        <v/>
      </c>
      <c r="G607" s="1" t="str">
        <f>dados_01!G607</f>
        <v/>
      </c>
      <c r="H607" s="1" t="str">
        <f>dados_01!H607</f>
        <v/>
      </c>
      <c r="I607" s="1" t="str">
        <f>dados_01!I607</f>
        <v/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 t="str">
        <f>dados_01!A608</f>
        <v/>
      </c>
      <c r="B608" s="1" t="str">
        <f>dados_01!B608</f>
        <v/>
      </c>
      <c r="C608" s="1" t="str">
        <f>IFERROR(__xludf.DUMMYFUNCTION("JOIN("". "", ARRAYFORMULA(IFERROR(LEFT(SPLIT(dados_01!C608, "" ""), 1))))"),"")</f>
        <v/>
      </c>
      <c r="D608" s="1" t="str">
        <f>dados_01!D608</f>
        <v/>
      </c>
      <c r="E608" s="1" t="str">
        <f>CONCATENATE(LEFT(dados_01!E608,3),REPT("*",6),RIGHT(dados_01!E608,2))</f>
        <v>******</v>
      </c>
      <c r="F608" s="1" t="str">
        <f>dados_01!F608</f>
        <v/>
      </c>
      <c r="G608" s="1" t="str">
        <f>dados_01!G608</f>
        <v/>
      </c>
      <c r="H608" s="1" t="str">
        <f>dados_01!H608</f>
        <v/>
      </c>
      <c r="I608" s="1" t="str">
        <f>dados_01!I608</f>
        <v/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 t="str">
        <f>dados_01!A609</f>
        <v/>
      </c>
      <c r="B609" s="1" t="str">
        <f>dados_01!B609</f>
        <v/>
      </c>
      <c r="C609" s="1" t="str">
        <f>IFERROR(__xludf.DUMMYFUNCTION("JOIN("". "", ARRAYFORMULA(IFERROR(LEFT(SPLIT(dados_01!C609, "" ""), 1))))"),"")</f>
        <v/>
      </c>
      <c r="D609" s="1" t="str">
        <f>dados_01!D609</f>
        <v/>
      </c>
      <c r="E609" s="1" t="str">
        <f>CONCATENATE(LEFT(dados_01!E609,3),REPT("*",6),RIGHT(dados_01!E609,2))</f>
        <v>******</v>
      </c>
      <c r="F609" s="1" t="str">
        <f>dados_01!F609</f>
        <v/>
      </c>
      <c r="G609" s="1" t="str">
        <f>dados_01!G609</f>
        <v/>
      </c>
      <c r="H609" s="1" t="str">
        <f>dados_01!H609</f>
        <v/>
      </c>
      <c r="I609" s="1" t="str">
        <f>dados_01!I609</f>
        <v/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 t="str">
        <f>dados_01!A610</f>
        <v/>
      </c>
      <c r="B610" s="1" t="str">
        <f>dados_01!B610</f>
        <v/>
      </c>
      <c r="C610" s="1" t="str">
        <f>IFERROR(__xludf.DUMMYFUNCTION("JOIN("". "", ARRAYFORMULA(IFERROR(LEFT(SPLIT(dados_01!C610, "" ""), 1))))"),"")</f>
        <v/>
      </c>
      <c r="D610" s="1" t="str">
        <f>dados_01!D610</f>
        <v/>
      </c>
      <c r="E610" s="1" t="str">
        <f>CONCATENATE(LEFT(dados_01!E610,3),REPT("*",6),RIGHT(dados_01!E610,2))</f>
        <v>******</v>
      </c>
      <c r="F610" s="1" t="str">
        <f>dados_01!F610</f>
        <v/>
      </c>
      <c r="G610" s="1" t="str">
        <f>dados_01!G610</f>
        <v/>
      </c>
      <c r="H610" s="1" t="str">
        <f>dados_01!H610</f>
        <v/>
      </c>
      <c r="I610" s="1" t="str">
        <f>dados_01!I610</f>
        <v/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 t="str">
        <f>dados_01!A611</f>
        <v/>
      </c>
      <c r="B611" s="1" t="str">
        <f>dados_01!B611</f>
        <v/>
      </c>
      <c r="C611" s="1" t="str">
        <f>IFERROR(__xludf.DUMMYFUNCTION("JOIN("". "", ARRAYFORMULA(IFERROR(LEFT(SPLIT(dados_01!C611, "" ""), 1))))"),"")</f>
        <v/>
      </c>
      <c r="D611" s="1" t="str">
        <f>dados_01!D611</f>
        <v/>
      </c>
      <c r="E611" s="1" t="str">
        <f>CONCATENATE(LEFT(dados_01!E611,3),REPT("*",6),RIGHT(dados_01!E611,2))</f>
        <v>******</v>
      </c>
      <c r="F611" s="1" t="str">
        <f>dados_01!F611</f>
        <v/>
      </c>
      <c r="G611" s="1" t="str">
        <f>dados_01!G611</f>
        <v/>
      </c>
      <c r="H611" s="1" t="str">
        <f>dados_01!H611</f>
        <v/>
      </c>
      <c r="I611" s="1" t="str">
        <f>dados_01!I611</f>
        <v/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 t="str">
        <f>dados_01!A612</f>
        <v/>
      </c>
      <c r="B612" s="1" t="str">
        <f>dados_01!B612</f>
        <v/>
      </c>
      <c r="C612" s="1" t="str">
        <f>IFERROR(__xludf.DUMMYFUNCTION("JOIN("". "", ARRAYFORMULA(IFERROR(LEFT(SPLIT(dados_01!C612, "" ""), 1))))"),"")</f>
        <v/>
      </c>
      <c r="D612" s="1" t="str">
        <f>dados_01!D612</f>
        <v/>
      </c>
      <c r="E612" s="1" t="str">
        <f>CONCATENATE(LEFT(dados_01!E612,3),REPT("*",6),RIGHT(dados_01!E612,2))</f>
        <v>******</v>
      </c>
      <c r="F612" s="1" t="str">
        <f>dados_01!F612</f>
        <v/>
      </c>
      <c r="G612" s="1" t="str">
        <f>dados_01!G612</f>
        <v/>
      </c>
      <c r="H612" s="1" t="str">
        <f>dados_01!H612</f>
        <v/>
      </c>
      <c r="I612" s="1" t="str">
        <f>dados_01!I612</f>
        <v/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 t="str">
        <f>dados_01!A613</f>
        <v/>
      </c>
      <c r="B613" s="1" t="str">
        <f>dados_01!B613</f>
        <v/>
      </c>
      <c r="C613" s="1" t="str">
        <f>IFERROR(__xludf.DUMMYFUNCTION("JOIN("". "", ARRAYFORMULA(IFERROR(LEFT(SPLIT(dados_01!C613, "" ""), 1))))"),"")</f>
        <v/>
      </c>
      <c r="D613" s="1" t="str">
        <f>dados_01!D613</f>
        <v/>
      </c>
      <c r="E613" s="1" t="str">
        <f>CONCATENATE(LEFT(dados_01!E613,3),REPT("*",6),RIGHT(dados_01!E613,2))</f>
        <v>******</v>
      </c>
      <c r="F613" s="1" t="str">
        <f>dados_01!F613</f>
        <v/>
      </c>
      <c r="G613" s="1" t="str">
        <f>dados_01!G613</f>
        <v/>
      </c>
      <c r="H613" s="1" t="str">
        <f>dados_01!H613</f>
        <v/>
      </c>
      <c r="I613" s="1" t="str">
        <f>dados_01!I613</f>
        <v/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 t="str">
        <f>dados_01!A614</f>
        <v/>
      </c>
      <c r="B614" s="1" t="str">
        <f>dados_01!B614</f>
        <v/>
      </c>
      <c r="C614" s="1" t="str">
        <f>IFERROR(__xludf.DUMMYFUNCTION("JOIN("". "", ARRAYFORMULA(IFERROR(LEFT(SPLIT(dados_01!C614, "" ""), 1))))"),"")</f>
        <v/>
      </c>
      <c r="D614" s="1" t="str">
        <f>dados_01!D614</f>
        <v/>
      </c>
      <c r="E614" s="1" t="str">
        <f>CONCATENATE(LEFT(dados_01!E614,3),REPT("*",6),RIGHT(dados_01!E614,2))</f>
        <v>******</v>
      </c>
      <c r="F614" s="1" t="str">
        <f>dados_01!F614</f>
        <v/>
      </c>
      <c r="G614" s="1" t="str">
        <f>dados_01!G614</f>
        <v/>
      </c>
      <c r="H614" s="1" t="str">
        <f>dados_01!H614</f>
        <v/>
      </c>
      <c r="I614" s="1" t="str">
        <f>dados_01!I614</f>
        <v/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 t="str">
        <f>dados_01!A615</f>
        <v/>
      </c>
      <c r="B615" s="1" t="str">
        <f>dados_01!B615</f>
        <v/>
      </c>
      <c r="C615" s="1" t="str">
        <f>IFERROR(__xludf.DUMMYFUNCTION("JOIN("". "", ARRAYFORMULA(IFERROR(LEFT(SPLIT(dados_01!C615, "" ""), 1))))"),"")</f>
        <v/>
      </c>
      <c r="D615" s="1" t="str">
        <f>dados_01!D615</f>
        <v/>
      </c>
      <c r="E615" s="1" t="str">
        <f>CONCATENATE(LEFT(dados_01!E615,3),REPT("*",6),RIGHT(dados_01!E615,2))</f>
        <v>******</v>
      </c>
      <c r="F615" s="1" t="str">
        <f>dados_01!F615</f>
        <v/>
      </c>
      <c r="G615" s="1" t="str">
        <f>dados_01!G615</f>
        <v/>
      </c>
      <c r="H615" s="1" t="str">
        <f>dados_01!H615</f>
        <v/>
      </c>
      <c r="I615" s="1" t="str">
        <f>dados_01!I615</f>
        <v/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 t="str">
        <f>dados_01!A616</f>
        <v/>
      </c>
      <c r="B616" s="1" t="str">
        <f>dados_01!B616</f>
        <v/>
      </c>
      <c r="C616" s="1" t="str">
        <f>IFERROR(__xludf.DUMMYFUNCTION("JOIN("". "", ARRAYFORMULA(IFERROR(LEFT(SPLIT(dados_01!C616, "" ""), 1))))"),"")</f>
        <v/>
      </c>
      <c r="D616" s="1" t="str">
        <f>dados_01!D616</f>
        <v/>
      </c>
      <c r="E616" s="1" t="str">
        <f>CONCATENATE(LEFT(dados_01!E616,3),REPT("*",6),RIGHT(dados_01!E616,2))</f>
        <v>******</v>
      </c>
      <c r="F616" s="1" t="str">
        <f>dados_01!F616</f>
        <v/>
      </c>
      <c r="G616" s="1" t="str">
        <f>dados_01!G616</f>
        <v/>
      </c>
      <c r="H616" s="1" t="str">
        <f>dados_01!H616</f>
        <v/>
      </c>
      <c r="I616" s="1" t="str">
        <f>dados_01!I616</f>
        <v/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 t="str">
        <f>dados_01!A617</f>
        <v/>
      </c>
      <c r="B617" s="1" t="str">
        <f>dados_01!B617</f>
        <v/>
      </c>
      <c r="C617" s="1" t="str">
        <f>IFERROR(__xludf.DUMMYFUNCTION("JOIN("". "", ARRAYFORMULA(IFERROR(LEFT(SPLIT(dados_01!C617, "" ""), 1))))"),"")</f>
        <v/>
      </c>
      <c r="D617" s="1" t="str">
        <f>dados_01!D617</f>
        <v/>
      </c>
      <c r="E617" s="1" t="str">
        <f>CONCATENATE(LEFT(dados_01!E617,3),REPT("*",6),RIGHT(dados_01!E617,2))</f>
        <v>******</v>
      </c>
      <c r="F617" s="1" t="str">
        <f>dados_01!F617</f>
        <v/>
      </c>
      <c r="G617" s="1" t="str">
        <f>dados_01!G617</f>
        <v/>
      </c>
      <c r="H617" s="1" t="str">
        <f>dados_01!H617</f>
        <v/>
      </c>
      <c r="I617" s="1" t="str">
        <f>dados_01!I617</f>
        <v/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 t="str">
        <f>dados_01!A618</f>
        <v/>
      </c>
      <c r="B618" s="1" t="str">
        <f>dados_01!B618</f>
        <v/>
      </c>
      <c r="C618" s="1" t="str">
        <f>IFERROR(__xludf.DUMMYFUNCTION("JOIN("". "", ARRAYFORMULA(IFERROR(LEFT(SPLIT(dados_01!C618, "" ""), 1))))"),"")</f>
        <v/>
      </c>
      <c r="D618" s="1" t="str">
        <f>dados_01!D618</f>
        <v/>
      </c>
      <c r="E618" s="1" t="str">
        <f>CONCATENATE(LEFT(dados_01!E618,3),REPT("*",6),RIGHT(dados_01!E618,2))</f>
        <v>******</v>
      </c>
      <c r="F618" s="1" t="str">
        <f>dados_01!F618</f>
        <v/>
      </c>
      <c r="G618" s="1" t="str">
        <f>dados_01!G618</f>
        <v/>
      </c>
      <c r="H618" s="1" t="str">
        <f>dados_01!H618</f>
        <v/>
      </c>
      <c r="I618" s="1" t="str">
        <f>dados_01!I618</f>
        <v/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 t="str">
        <f>dados_01!A619</f>
        <v/>
      </c>
      <c r="B619" s="1" t="str">
        <f>dados_01!B619</f>
        <v/>
      </c>
      <c r="C619" s="1" t="str">
        <f>IFERROR(__xludf.DUMMYFUNCTION("JOIN("". "", ARRAYFORMULA(IFERROR(LEFT(SPLIT(dados_01!C619, "" ""), 1))))"),"")</f>
        <v/>
      </c>
      <c r="D619" s="1" t="str">
        <f>dados_01!D619</f>
        <v/>
      </c>
      <c r="E619" s="1" t="str">
        <f>CONCATENATE(LEFT(dados_01!E619,3),REPT("*",6),RIGHT(dados_01!E619,2))</f>
        <v>******</v>
      </c>
      <c r="F619" s="1" t="str">
        <f>dados_01!F619</f>
        <v/>
      </c>
      <c r="G619" s="1" t="str">
        <f>dados_01!G619</f>
        <v/>
      </c>
      <c r="H619" s="1" t="str">
        <f>dados_01!H619</f>
        <v/>
      </c>
      <c r="I619" s="1" t="str">
        <f>dados_01!I619</f>
        <v/>
      </c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 t="str">
        <f>dados_01!A620</f>
        <v/>
      </c>
      <c r="B620" s="1" t="str">
        <f>dados_01!B620</f>
        <v/>
      </c>
      <c r="C620" s="1" t="str">
        <f>IFERROR(__xludf.DUMMYFUNCTION("JOIN("". "", ARRAYFORMULA(IFERROR(LEFT(SPLIT(dados_01!C620, "" ""), 1))))"),"")</f>
        <v/>
      </c>
      <c r="D620" s="1" t="str">
        <f>dados_01!D620</f>
        <v/>
      </c>
      <c r="E620" s="1" t="str">
        <f>CONCATENATE(LEFT(dados_01!E620,3),REPT("*",6),RIGHT(dados_01!E620,2))</f>
        <v>******</v>
      </c>
      <c r="F620" s="1" t="str">
        <f>dados_01!F620</f>
        <v/>
      </c>
      <c r="G620" s="1" t="str">
        <f>dados_01!G620</f>
        <v/>
      </c>
      <c r="H620" s="1" t="str">
        <f>dados_01!H620</f>
        <v/>
      </c>
      <c r="I620" s="1" t="str">
        <f>dados_01!I620</f>
        <v/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 t="str">
        <f>dados_01!A621</f>
        <v/>
      </c>
      <c r="B621" s="1" t="str">
        <f>dados_01!B621</f>
        <v/>
      </c>
      <c r="C621" s="1" t="str">
        <f>IFERROR(__xludf.DUMMYFUNCTION("JOIN("". "", ARRAYFORMULA(IFERROR(LEFT(SPLIT(dados_01!C621, "" ""), 1))))"),"")</f>
        <v/>
      </c>
      <c r="D621" s="1" t="str">
        <f>dados_01!D621</f>
        <v/>
      </c>
      <c r="E621" s="1" t="str">
        <f>CONCATENATE(LEFT(dados_01!E621,3),REPT("*",6),RIGHT(dados_01!E621,2))</f>
        <v>******</v>
      </c>
      <c r="F621" s="1" t="str">
        <f>dados_01!F621</f>
        <v/>
      </c>
      <c r="G621" s="1" t="str">
        <f>dados_01!G621</f>
        <v/>
      </c>
      <c r="H621" s="1" t="str">
        <f>dados_01!H621</f>
        <v/>
      </c>
      <c r="I621" s="1" t="str">
        <f>dados_01!I621</f>
        <v/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 t="str">
        <f>dados_01!A622</f>
        <v/>
      </c>
      <c r="B622" s="1" t="str">
        <f>dados_01!B622</f>
        <v/>
      </c>
      <c r="C622" s="1" t="str">
        <f>IFERROR(__xludf.DUMMYFUNCTION("JOIN("". "", ARRAYFORMULA(IFERROR(LEFT(SPLIT(dados_01!C622, "" ""), 1))))"),"")</f>
        <v/>
      </c>
      <c r="D622" s="1" t="str">
        <f>dados_01!D622</f>
        <v/>
      </c>
      <c r="E622" s="1" t="str">
        <f>CONCATENATE(LEFT(dados_01!E622,3),REPT("*",6),RIGHT(dados_01!E622,2))</f>
        <v>******</v>
      </c>
      <c r="F622" s="1" t="str">
        <f>dados_01!F622</f>
        <v/>
      </c>
      <c r="G622" s="1" t="str">
        <f>dados_01!G622</f>
        <v/>
      </c>
      <c r="H622" s="1" t="str">
        <f>dados_01!H622</f>
        <v/>
      </c>
      <c r="I622" s="1" t="str">
        <f>dados_01!I622</f>
        <v/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 t="str">
        <f>dados_01!A623</f>
        <v/>
      </c>
      <c r="B623" s="1" t="str">
        <f>dados_01!B623</f>
        <v/>
      </c>
      <c r="C623" s="1" t="str">
        <f>IFERROR(__xludf.DUMMYFUNCTION("JOIN("". "", ARRAYFORMULA(IFERROR(LEFT(SPLIT(dados_01!C623, "" ""), 1))))"),"")</f>
        <v/>
      </c>
      <c r="D623" s="1" t="str">
        <f>dados_01!D623</f>
        <v/>
      </c>
      <c r="E623" s="1" t="str">
        <f>CONCATENATE(LEFT(dados_01!E623,3),REPT("*",6),RIGHT(dados_01!E623,2))</f>
        <v>******</v>
      </c>
      <c r="F623" s="1" t="str">
        <f>dados_01!F623</f>
        <v/>
      </c>
      <c r="G623" s="1" t="str">
        <f>dados_01!G623</f>
        <v/>
      </c>
      <c r="H623" s="1" t="str">
        <f>dados_01!H623</f>
        <v/>
      </c>
      <c r="I623" s="1" t="str">
        <f>dados_01!I623</f>
        <v/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 t="str">
        <f>dados_01!A624</f>
        <v/>
      </c>
      <c r="B624" s="1" t="str">
        <f>dados_01!B624</f>
        <v/>
      </c>
      <c r="C624" s="1" t="str">
        <f>IFERROR(__xludf.DUMMYFUNCTION("JOIN("". "", ARRAYFORMULA(IFERROR(LEFT(SPLIT(dados_01!C624, "" ""), 1))))"),"")</f>
        <v/>
      </c>
      <c r="D624" s="1" t="str">
        <f>dados_01!D624</f>
        <v/>
      </c>
      <c r="E624" s="1" t="str">
        <f>CONCATENATE(LEFT(dados_01!E624,3),REPT("*",6),RIGHT(dados_01!E624,2))</f>
        <v>******</v>
      </c>
      <c r="F624" s="1" t="str">
        <f>dados_01!F624</f>
        <v/>
      </c>
      <c r="G624" s="1" t="str">
        <f>dados_01!G624</f>
        <v/>
      </c>
      <c r="H624" s="1" t="str">
        <f>dados_01!H624</f>
        <v/>
      </c>
      <c r="I624" s="1" t="str">
        <f>dados_01!I624</f>
        <v/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 t="str">
        <f>dados_01!A625</f>
        <v/>
      </c>
      <c r="B625" s="1" t="str">
        <f>dados_01!B625</f>
        <v/>
      </c>
      <c r="C625" s="1" t="str">
        <f>IFERROR(__xludf.DUMMYFUNCTION("JOIN("". "", ARRAYFORMULA(IFERROR(LEFT(SPLIT(dados_01!C625, "" ""), 1))))"),"")</f>
        <v/>
      </c>
      <c r="D625" s="1" t="str">
        <f>dados_01!D625</f>
        <v/>
      </c>
      <c r="E625" s="1" t="str">
        <f>CONCATENATE(LEFT(dados_01!E625,3),REPT("*",6),RIGHT(dados_01!E625,2))</f>
        <v>******</v>
      </c>
      <c r="F625" s="1" t="str">
        <f>dados_01!F625</f>
        <v/>
      </c>
      <c r="G625" s="1" t="str">
        <f>dados_01!G625</f>
        <v/>
      </c>
      <c r="H625" s="1" t="str">
        <f>dados_01!H625</f>
        <v/>
      </c>
      <c r="I625" s="1" t="str">
        <f>dados_01!I625</f>
        <v/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 t="str">
        <f>dados_01!A626</f>
        <v/>
      </c>
      <c r="B626" s="1" t="str">
        <f>dados_01!B626</f>
        <v/>
      </c>
      <c r="C626" s="1" t="str">
        <f>IFERROR(__xludf.DUMMYFUNCTION("JOIN("". "", ARRAYFORMULA(IFERROR(LEFT(SPLIT(dados_01!C626, "" ""), 1))))"),"")</f>
        <v/>
      </c>
      <c r="D626" s="1" t="str">
        <f>dados_01!D626</f>
        <v/>
      </c>
      <c r="E626" s="1" t="str">
        <f>CONCATENATE(LEFT(dados_01!E626,3),REPT("*",6),RIGHT(dados_01!E626,2))</f>
        <v>******</v>
      </c>
      <c r="F626" s="1" t="str">
        <f>dados_01!F626</f>
        <v/>
      </c>
      <c r="G626" s="1" t="str">
        <f>dados_01!G626</f>
        <v/>
      </c>
      <c r="H626" s="1" t="str">
        <f>dados_01!H626</f>
        <v/>
      </c>
      <c r="I626" s="1" t="str">
        <f>dados_01!I626</f>
        <v/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 t="str">
        <f>dados_01!A627</f>
        <v/>
      </c>
      <c r="B627" s="1" t="str">
        <f>dados_01!B627</f>
        <v/>
      </c>
      <c r="C627" s="1" t="str">
        <f>IFERROR(__xludf.DUMMYFUNCTION("JOIN("". "", ARRAYFORMULA(IFERROR(LEFT(SPLIT(dados_01!C627, "" ""), 1))))"),"")</f>
        <v/>
      </c>
      <c r="D627" s="1" t="str">
        <f>dados_01!D627</f>
        <v/>
      </c>
      <c r="E627" s="1" t="str">
        <f>CONCATENATE(LEFT(dados_01!E627,3),REPT("*",6),RIGHT(dados_01!E627,2))</f>
        <v>******</v>
      </c>
      <c r="F627" s="1" t="str">
        <f>dados_01!F627</f>
        <v/>
      </c>
      <c r="G627" s="1" t="str">
        <f>dados_01!G627</f>
        <v/>
      </c>
      <c r="H627" s="1" t="str">
        <f>dados_01!H627</f>
        <v/>
      </c>
      <c r="I627" s="1" t="str">
        <f>dados_01!I627</f>
        <v/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 t="str">
        <f>dados_01!A628</f>
        <v/>
      </c>
      <c r="B628" s="1" t="str">
        <f>dados_01!B628</f>
        <v/>
      </c>
      <c r="C628" s="1" t="str">
        <f>IFERROR(__xludf.DUMMYFUNCTION("JOIN("". "", ARRAYFORMULA(IFERROR(LEFT(SPLIT(dados_01!C628, "" ""), 1))))"),"")</f>
        <v/>
      </c>
      <c r="D628" s="1" t="str">
        <f>dados_01!D628</f>
        <v/>
      </c>
      <c r="E628" s="1" t="str">
        <f>CONCATENATE(LEFT(dados_01!E628,3),REPT("*",6),RIGHT(dados_01!E628,2))</f>
        <v>******</v>
      </c>
      <c r="F628" s="1" t="str">
        <f>dados_01!F628</f>
        <v/>
      </c>
      <c r="G628" s="1" t="str">
        <f>dados_01!G628</f>
        <v/>
      </c>
      <c r="H628" s="1" t="str">
        <f>dados_01!H628</f>
        <v/>
      </c>
      <c r="I628" s="1" t="str">
        <f>dados_01!I628</f>
        <v/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 t="str">
        <f>dados_01!A629</f>
        <v/>
      </c>
      <c r="B629" s="1" t="str">
        <f>dados_01!B629</f>
        <v/>
      </c>
      <c r="C629" s="1" t="str">
        <f>IFERROR(__xludf.DUMMYFUNCTION("JOIN("". "", ARRAYFORMULA(IFERROR(LEFT(SPLIT(dados_01!C629, "" ""), 1))))"),"")</f>
        <v/>
      </c>
      <c r="D629" s="1" t="str">
        <f>dados_01!D629</f>
        <v/>
      </c>
      <c r="E629" s="1" t="str">
        <f>CONCATENATE(LEFT(dados_01!E629,3),REPT("*",6),RIGHT(dados_01!E629,2))</f>
        <v>******</v>
      </c>
      <c r="F629" s="1" t="str">
        <f>dados_01!F629</f>
        <v/>
      </c>
      <c r="G629" s="1" t="str">
        <f>dados_01!G629</f>
        <v/>
      </c>
      <c r="H629" s="1" t="str">
        <f>dados_01!H629</f>
        <v/>
      </c>
      <c r="I629" s="1" t="str">
        <f>dados_01!I629</f>
        <v/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 t="str">
        <f>dados_01!A630</f>
        <v/>
      </c>
      <c r="B630" s="1" t="str">
        <f>dados_01!B630</f>
        <v/>
      </c>
      <c r="C630" s="1" t="str">
        <f>IFERROR(__xludf.DUMMYFUNCTION("JOIN("". "", ARRAYFORMULA(IFERROR(LEFT(SPLIT(dados_01!C630, "" ""), 1))))"),"")</f>
        <v/>
      </c>
      <c r="D630" s="1" t="str">
        <f>dados_01!D630</f>
        <v/>
      </c>
      <c r="E630" s="1" t="str">
        <f>CONCATENATE(LEFT(dados_01!E630,3),REPT("*",6),RIGHT(dados_01!E630,2))</f>
        <v>******</v>
      </c>
      <c r="F630" s="1" t="str">
        <f>dados_01!F630</f>
        <v/>
      </c>
      <c r="G630" s="1" t="str">
        <f>dados_01!G630</f>
        <v/>
      </c>
      <c r="H630" s="1" t="str">
        <f>dados_01!H630</f>
        <v/>
      </c>
      <c r="I630" s="1" t="str">
        <f>dados_01!I630</f>
        <v/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 t="str">
        <f>dados_01!A631</f>
        <v/>
      </c>
      <c r="B631" s="1" t="str">
        <f>dados_01!B631</f>
        <v/>
      </c>
      <c r="C631" s="1" t="str">
        <f>IFERROR(__xludf.DUMMYFUNCTION("JOIN("". "", ARRAYFORMULA(IFERROR(LEFT(SPLIT(dados_01!C631, "" ""), 1))))"),"")</f>
        <v/>
      </c>
      <c r="D631" s="1" t="str">
        <f>dados_01!D631</f>
        <v/>
      </c>
      <c r="E631" s="1" t="str">
        <f>CONCATENATE(LEFT(dados_01!E631,3),REPT("*",6),RIGHT(dados_01!E631,2))</f>
        <v>******</v>
      </c>
      <c r="F631" s="1" t="str">
        <f>dados_01!F631</f>
        <v/>
      </c>
      <c r="G631" s="1" t="str">
        <f>dados_01!G631</f>
        <v/>
      </c>
      <c r="H631" s="1" t="str">
        <f>dados_01!H631</f>
        <v/>
      </c>
      <c r="I631" s="1" t="str">
        <f>dados_01!I631</f>
        <v/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 t="str">
        <f>dados_01!A632</f>
        <v/>
      </c>
      <c r="B632" s="1" t="str">
        <f>dados_01!B632</f>
        <v/>
      </c>
      <c r="C632" s="1" t="str">
        <f>IFERROR(__xludf.DUMMYFUNCTION("JOIN("". "", ARRAYFORMULA(IFERROR(LEFT(SPLIT(dados_01!C632, "" ""), 1))))"),"")</f>
        <v/>
      </c>
      <c r="D632" s="1" t="str">
        <f>dados_01!D632</f>
        <v/>
      </c>
      <c r="E632" s="1" t="str">
        <f>CONCATENATE(LEFT(dados_01!E632,3),REPT("*",6),RIGHT(dados_01!E632,2))</f>
        <v>******</v>
      </c>
      <c r="F632" s="1" t="str">
        <f>dados_01!F632</f>
        <v/>
      </c>
      <c r="G632" s="1" t="str">
        <f>dados_01!G632</f>
        <v/>
      </c>
      <c r="H632" s="1" t="str">
        <f>dados_01!H632</f>
        <v/>
      </c>
      <c r="I632" s="1" t="str">
        <f>dados_01!I632</f>
        <v/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 t="str">
        <f>dados_01!A633</f>
        <v/>
      </c>
      <c r="B633" s="1" t="str">
        <f>dados_01!B633</f>
        <v/>
      </c>
      <c r="C633" s="1" t="str">
        <f>IFERROR(__xludf.DUMMYFUNCTION("JOIN("". "", ARRAYFORMULA(IFERROR(LEFT(SPLIT(dados_01!C633, "" ""), 1))))"),"")</f>
        <v/>
      </c>
      <c r="D633" s="1" t="str">
        <f>dados_01!D633</f>
        <v/>
      </c>
      <c r="E633" s="1" t="str">
        <f>CONCATENATE(LEFT(dados_01!E633,3),REPT("*",6),RIGHT(dados_01!E633,2))</f>
        <v>******</v>
      </c>
      <c r="F633" s="1" t="str">
        <f>dados_01!F633</f>
        <v/>
      </c>
      <c r="G633" s="1" t="str">
        <f>dados_01!G633</f>
        <v/>
      </c>
      <c r="H633" s="1" t="str">
        <f>dados_01!H633</f>
        <v/>
      </c>
      <c r="I633" s="1" t="str">
        <f>dados_01!I633</f>
        <v/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 t="str">
        <f>dados_01!A634</f>
        <v/>
      </c>
      <c r="B634" s="1" t="str">
        <f>dados_01!B634</f>
        <v/>
      </c>
      <c r="C634" s="1" t="str">
        <f>IFERROR(__xludf.DUMMYFUNCTION("JOIN("". "", ARRAYFORMULA(IFERROR(LEFT(SPLIT(dados_01!C634, "" ""), 1))))"),"")</f>
        <v/>
      </c>
      <c r="D634" s="1" t="str">
        <f>dados_01!D634</f>
        <v/>
      </c>
      <c r="E634" s="1" t="str">
        <f>CONCATENATE(LEFT(dados_01!E634,3),REPT("*",6),RIGHT(dados_01!E634,2))</f>
        <v>******</v>
      </c>
      <c r="F634" s="1" t="str">
        <f>dados_01!F634</f>
        <v/>
      </c>
      <c r="G634" s="1" t="str">
        <f>dados_01!G634</f>
        <v/>
      </c>
      <c r="H634" s="1" t="str">
        <f>dados_01!H634</f>
        <v/>
      </c>
      <c r="I634" s="1" t="str">
        <f>dados_01!I634</f>
        <v/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 t="str">
        <f>dados_01!A635</f>
        <v/>
      </c>
      <c r="B635" s="1" t="str">
        <f>dados_01!B635</f>
        <v/>
      </c>
      <c r="C635" s="1" t="str">
        <f>IFERROR(__xludf.DUMMYFUNCTION("JOIN("". "", ARRAYFORMULA(IFERROR(LEFT(SPLIT(dados_01!C635, "" ""), 1))))"),"")</f>
        <v/>
      </c>
      <c r="D635" s="1" t="str">
        <f>dados_01!D635</f>
        <v/>
      </c>
      <c r="E635" s="1" t="str">
        <f>CONCATENATE(LEFT(dados_01!E635,3),REPT("*",6),RIGHT(dados_01!E635,2))</f>
        <v>******</v>
      </c>
      <c r="F635" s="1" t="str">
        <f>dados_01!F635</f>
        <v/>
      </c>
      <c r="G635" s="1" t="str">
        <f>dados_01!G635</f>
        <v/>
      </c>
      <c r="H635" s="1" t="str">
        <f>dados_01!H635</f>
        <v/>
      </c>
      <c r="I635" s="1" t="str">
        <f>dados_01!I635</f>
        <v/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 t="str">
        <f>dados_01!A636</f>
        <v/>
      </c>
      <c r="B636" s="1" t="str">
        <f>dados_01!B636</f>
        <v/>
      </c>
      <c r="C636" s="1" t="str">
        <f>IFERROR(__xludf.DUMMYFUNCTION("JOIN("". "", ARRAYFORMULA(IFERROR(LEFT(SPLIT(dados_01!C636, "" ""), 1))))"),"")</f>
        <v/>
      </c>
      <c r="D636" s="1" t="str">
        <f>dados_01!D636</f>
        <v/>
      </c>
      <c r="E636" s="1" t="str">
        <f>CONCATENATE(LEFT(dados_01!E636,3),REPT("*",6),RIGHT(dados_01!E636,2))</f>
        <v>******</v>
      </c>
      <c r="F636" s="1" t="str">
        <f>dados_01!F636</f>
        <v/>
      </c>
      <c r="G636" s="1" t="str">
        <f>dados_01!G636</f>
        <v/>
      </c>
      <c r="H636" s="1" t="str">
        <f>dados_01!H636</f>
        <v/>
      </c>
      <c r="I636" s="1" t="str">
        <f>dados_01!I636</f>
        <v/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 t="str">
        <f>dados_01!A637</f>
        <v/>
      </c>
      <c r="B637" s="1" t="str">
        <f>dados_01!B637</f>
        <v/>
      </c>
      <c r="C637" s="1" t="str">
        <f>IFERROR(__xludf.DUMMYFUNCTION("JOIN("". "", ARRAYFORMULA(IFERROR(LEFT(SPLIT(dados_01!C637, "" ""), 1))))"),"")</f>
        <v/>
      </c>
      <c r="D637" s="1" t="str">
        <f>dados_01!D637</f>
        <v/>
      </c>
      <c r="E637" s="1" t="str">
        <f>CONCATENATE(LEFT(dados_01!E637,3),REPT("*",6),RIGHT(dados_01!E637,2))</f>
        <v>******</v>
      </c>
      <c r="F637" s="1" t="str">
        <f>dados_01!F637</f>
        <v/>
      </c>
      <c r="G637" s="1" t="str">
        <f>dados_01!G637</f>
        <v/>
      </c>
      <c r="H637" s="1" t="str">
        <f>dados_01!H637</f>
        <v/>
      </c>
      <c r="I637" s="1" t="str">
        <f>dados_01!I637</f>
        <v/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 t="str">
        <f>dados_01!A638</f>
        <v/>
      </c>
      <c r="B638" s="1" t="str">
        <f>dados_01!B638</f>
        <v/>
      </c>
      <c r="C638" s="1" t="str">
        <f>IFERROR(__xludf.DUMMYFUNCTION("JOIN("". "", ARRAYFORMULA(IFERROR(LEFT(SPLIT(dados_01!C638, "" ""), 1))))"),"")</f>
        <v/>
      </c>
      <c r="D638" s="1" t="str">
        <f>dados_01!D638</f>
        <v/>
      </c>
      <c r="E638" s="1" t="str">
        <f>CONCATENATE(LEFT(dados_01!E638,3),REPT("*",6),RIGHT(dados_01!E638,2))</f>
        <v>******</v>
      </c>
      <c r="F638" s="1" t="str">
        <f>dados_01!F638</f>
        <v/>
      </c>
      <c r="G638" s="1" t="str">
        <f>dados_01!G638</f>
        <v/>
      </c>
      <c r="H638" s="1" t="str">
        <f>dados_01!H638</f>
        <v/>
      </c>
      <c r="I638" s="1" t="str">
        <f>dados_01!I638</f>
        <v/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 t="str">
        <f>dados_01!A639</f>
        <v/>
      </c>
      <c r="B639" s="1" t="str">
        <f>dados_01!B639</f>
        <v/>
      </c>
      <c r="C639" s="1" t="str">
        <f>IFERROR(__xludf.DUMMYFUNCTION("JOIN("". "", ARRAYFORMULA(IFERROR(LEFT(SPLIT(dados_01!C639, "" ""), 1))))"),"")</f>
        <v/>
      </c>
      <c r="D639" s="1" t="str">
        <f>dados_01!D639</f>
        <v/>
      </c>
      <c r="E639" s="1" t="str">
        <f>CONCATENATE(LEFT(dados_01!E639,3),REPT("*",6),RIGHT(dados_01!E639,2))</f>
        <v>******</v>
      </c>
      <c r="F639" s="1" t="str">
        <f>dados_01!F639</f>
        <v/>
      </c>
      <c r="G639" s="1" t="str">
        <f>dados_01!G639</f>
        <v/>
      </c>
      <c r="H639" s="1" t="str">
        <f>dados_01!H639</f>
        <v/>
      </c>
      <c r="I639" s="1" t="str">
        <f>dados_01!I639</f>
        <v/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 t="str">
        <f>dados_01!A640</f>
        <v/>
      </c>
      <c r="B640" s="1" t="str">
        <f>dados_01!B640</f>
        <v/>
      </c>
      <c r="C640" s="1" t="str">
        <f>IFERROR(__xludf.DUMMYFUNCTION("JOIN("". "", ARRAYFORMULA(IFERROR(LEFT(SPLIT(dados_01!C640, "" ""), 1))))"),"")</f>
        <v/>
      </c>
      <c r="D640" s="1" t="str">
        <f>dados_01!D640</f>
        <v/>
      </c>
      <c r="E640" s="1" t="str">
        <f>CONCATENATE(LEFT(dados_01!E640,3),REPT("*",6),RIGHT(dados_01!E640,2))</f>
        <v>******</v>
      </c>
      <c r="F640" s="1" t="str">
        <f>dados_01!F640</f>
        <v/>
      </c>
      <c r="G640" s="1" t="str">
        <f>dados_01!G640</f>
        <v/>
      </c>
      <c r="H640" s="1" t="str">
        <f>dados_01!H640</f>
        <v/>
      </c>
      <c r="I640" s="1" t="str">
        <f>dados_01!I640</f>
        <v/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 t="str">
        <f>dados_01!A641</f>
        <v/>
      </c>
      <c r="B641" s="1" t="str">
        <f>dados_01!B641</f>
        <v/>
      </c>
      <c r="C641" s="1" t="str">
        <f>IFERROR(__xludf.DUMMYFUNCTION("JOIN("". "", ARRAYFORMULA(IFERROR(LEFT(SPLIT(dados_01!C641, "" ""), 1))))"),"")</f>
        <v/>
      </c>
      <c r="D641" s="1" t="str">
        <f>dados_01!D641</f>
        <v/>
      </c>
      <c r="E641" s="1" t="str">
        <f>CONCATENATE(LEFT(dados_01!E641,3),REPT("*",6),RIGHT(dados_01!E641,2))</f>
        <v>******</v>
      </c>
      <c r="F641" s="1" t="str">
        <f>dados_01!F641</f>
        <v/>
      </c>
      <c r="G641" s="1" t="str">
        <f>dados_01!G641</f>
        <v/>
      </c>
      <c r="H641" s="1" t="str">
        <f>dados_01!H641</f>
        <v/>
      </c>
      <c r="I641" s="1" t="str">
        <f>dados_01!I641</f>
        <v/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 t="str">
        <f>dados_01!A642</f>
        <v/>
      </c>
      <c r="B642" s="1" t="str">
        <f>dados_01!B642</f>
        <v/>
      </c>
      <c r="C642" s="1" t="str">
        <f>IFERROR(__xludf.DUMMYFUNCTION("JOIN("". "", ARRAYFORMULA(IFERROR(LEFT(SPLIT(dados_01!C642, "" ""), 1))))"),"")</f>
        <v/>
      </c>
      <c r="D642" s="1" t="str">
        <f>dados_01!D642</f>
        <v/>
      </c>
      <c r="E642" s="1" t="str">
        <f>CONCATENATE(LEFT(dados_01!E642,3),REPT("*",6),RIGHT(dados_01!E642,2))</f>
        <v>******</v>
      </c>
      <c r="F642" s="1" t="str">
        <f>dados_01!F642</f>
        <v/>
      </c>
      <c r="G642" s="1" t="str">
        <f>dados_01!G642</f>
        <v/>
      </c>
      <c r="H642" s="1" t="str">
        <f>dados_01!H642</f>
        <v/>
      </c>
      <c r="I642" s="1" t="str">
        <f>dados_01!I642</f>
        <v/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 t="str">
        <f>dados_01!A643</f>
        <v/>
      </c>
      <c r="B643" s="1" t="str">
        <f>dados_01!B643</f>
        <v/>
      </c>
      <c r="C643" s="1" t="str">
        <f>IFERROR(__xludf.DUMMYFUNCTION("JOIN("". "", ARRAYFORMULA(IFERROR(LEFT(SPLIT(dados_01!C643, "" ""), 1))))"),"")</f>
        <v/>
      </c>
      <c r="D643" s="1" t="str">
        <f>dados_01!D643</f>
        <v/>
      </c>
      <c r="E643" s="1" t="str">
        <f>CONCATENATE(LEFT(dados_01!E643,3),REPT("*",6),RIGHT(dados_01!E643,2))</f>
        <v>******</v>
      </c>
      <c r="F643" s="1" t="str">
        <f>dados_01!F643</f>
        <v/>
      </c>
      <c r="G643" s="1" t="str">
        <f>dados_01!G643</f>
        <v/>
      </c>
      <c r="H643" s="1" t="str">
        <f>dados_01!H643</f>
        <v/>
      </c>
      <c r="I643" s="1" t="str">
        <f>dados_01!I643</f>
        <v/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 t="str">
        <f>dados_01!A644</f>
        <v/>
      </c>
      <c r="B644" s="1" t="str">
        <f>dados_01!B644</f>
        <v/>
      </c>
      <c r="C644" s="1" t="str">
        <f>IFERROR(__xludf.DUMMYFUNCTION("JOIN("". "", ARRAYFORMULA(IFERROR(LEFT(SPLIT(dados_01!C644, "" ""), 1))))"),"")</f>
        <v/>
      </c>
      <c r="D644" s="1" t="str">
        <f>dados_01!D644</f>
        <v/>
      </c>
      <c r="E644" s="1" t="str">
        <f>CONCATENATE(LEFT(dados_01!E644,3),REPT("*",6),RIGHT(dados_01!E644,2))</f>
        <v>******</v>
      </c>
      <c r="F644" s="1" t="str">
        <f>dados_01!F644</f>
        <v/>
      </c>
      <c r="G644" s="1" t="str">
        <f>dados_01!G644</f>
        <v/>
      </c>
      <c r="H644" s="1" t="str">
        <f>dados_01!H644</f>
        <v/>
      </c>
      <c r="I644" s="1" t="str">
        <f>dados_01!I644</f>
        <v/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 t="str">
        <f>dados_01!A645</f>
        <v/>
      </c>
      <c r="B645" s="1" t="str">
        <f>dados_01!B645</f>
        <v/>
      </c>
      <c r="C645" s="1" t="str">
        <f>IFERROR(__xludf.DUMMYFUNCTION("JOIN("". "", ARRAYFORMULA(IFERROR(LEFT(SPLIT(dados_01!C645, "" ""), 1))))"),"")</f>
        <v/>
      </c>
      <c r="D645" s="1" t="str">
        <f>dados_01!D645</f>
        <v/>
      </c>
      <c r="E645" s="1" t="str">
        <f>CONCATENATE(LEFT(dados_01!E645,3),REPT("*",6),RIGHT(dados_01!E645,2))</f>
        <v>******</v>
      </c>
      <c r="F645" s="1" t="str">
        <f>dados_01!F645</f>
        <v/>
      </c>
      <c r="G645" s="1" t="str">
        <f>dados_01!G645</f>
        <v/>
      </c>
      <c r="H645" s="1" t="str">
        <f>dados_01!H645</f>
        <v/>
      </c>
      <c r="I645" s="1" t="str">
        <f>dados_01!I645</f>
        <v/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 t="str">
        <f>dados_01!A646</f>
        <v/>
      </c>
      <c r="B646" s="1" t="str">
        <f>dados_01!B646</f>
        <v/>
      </c>
      <c r="C646" s="1" t="str">
        <f>IFERROR(__xludf.DUMMYFUNCTION("JOIN("". "", ARRAYFORMULA(IFERROR(LEFT(SPLIT(dados_01!C646, "" ""), 1))))"),"")</f>
        <v/>
      </c>
      <c r="D646" s="1" t="str">
        <f>dados_01!D646</f>
        <v/>
      </c>
      <c r="E646" s="1" t="str">
        <f>CONCATENATE(LEFT(dados_01!E646,3),REPT("*",6),RIGHT(dados_01!E646,2))</f>
        <v>******</v>
      </c>
      <c r="F646" s="1" t="str">
        <f>dados_01!F646</f>
        <v/>
      </c>
      <c r="G646" s="1" t="str">
        <f>dados_01!G646</f>
        <v/>
      </c>
      <c r="H646" s="1" t="str">
        <f>dados_01!H646</f>
        <v/>
      </c>
      <c r="I646" s="1" t="str">
        <f>dados_01!I646</f>
        <v/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 t="str">
        <f>dados_01!A647</f>
        <v/>
      </c>
      <c r="B647" s="1" t="str">
        <f>dados_01!B647</f>
        <v/>
      </c>
      <c r="C647" s="1" t="str">
        <f>IFERROR(__xludf.DUMMYFUNCTION("JOIN("". "", ARRAYFORMULA(IFERROR(LEFT(SPLIT(dados_01!C647, "" ""), 1))))"),"")</f>
        <v/>
      </c>
      <c r="D647" s="1" t="str">
        <f>dados_01!D647</f>
        <v/>
      </c>
      <c r="E647" s="1" t="str">
        <f>CONCATENATE(LEFT(dados_01!E647,3),REPT("*",6),RIGHT(dados_01!E647,2))</f>
        <v>******</v>
      </c>
      <c r="F647" s="1" t="str">
        <f>dados_01!F647</f>
        <v/>
      </c>
      <c r="G647" s="1" t="str">
        <f>dados_01!G647</f>
        <v/>
      </c>
      <c r="H647" s="1" t="str">
        <f>dados_01!H647</f>
        <v/>
      </c>
      <c r="I647" s="1" t="str">
        <f>dados_01!I647</f>
        <v/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hidden="1" customHeight="1">
      <c r="A648" s="1" t="str">
        <f>dados_01!A648</f>
        <v/>
      </c>
      <c r="B648" s="1" t="str">
        <f>dados_01!B648</f>
        <v/>
      </c>
      <c r="C648" s="1"/>
      <c r="D648" s="1" t="str">
        <f>dados_01!D648</f>
        <v/>
      </c>
      <c r="E648" s="1" t="str">
        <f>CONCATENATE(LEFT(dados_01!E648,3),REPT("*",6),RIGHT(dados_01!E648,2))</f>
        <v>******</v>
      </c>
      <c r="F648" s="1" t="str">
        <f>dados_01!F648</f>
        <v/>
      </c>
      <c r="G648" s="1" t="str">
        <f>dados_01!G648</f>
        <v/>
      </c>
      <c r="H648" s="1" t="str">
        <f>dados_01!H648</f>
        <v/>
      </c>
      <c r="I648" s="1" t="str">
        <f>dados_01!I648</f>
        <v/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hidden="1" customHeight="1">
      <c r="A649" s="1" t="str">
        <f>dados_01!A649</f>
        <v/>
      </c>
      <c r="B649" s="1" t="str">
        <f>dados_01!B649</f>
        <v/>
      </c>
      <c r="C649" s="1"/>
      <c r="D649" s="1" t="str">
        <f>dados_01!D649</f>
        <v/>
      </c>
      <c r="E649" s="1" t="str">
        <f>CONCATENATE(LEFT(dados_01!E649,3),REPT("*",6),RIGHT(dados_01!E649,2))</f>
        <v>******</v>
      </c>
      <c r="F649" s="1" t="str">
        <f>dados_01!F649</f>
        <v/>
      </c>
      <c r="G649" s="1" t="str">
        <f>dados_01!G649</f>
        <v/>
      </c>
      <c r="H649" s="1" t="str">
        <f>dados_01!H649</f>
        <v/>
      </c>
      <c r="I649" s="1" t="str">
        <f>dados_01!I649</f>
        <v/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hidden="1" customHeight="1">
      <c r="A650" s="1" t="str">
        <f>dados_01!A650</f>
        <v/>
      </c>
      <c r="B650" s="1" t="str">
        <f>dados_01!B650</f>
        <v/>
      </c>
      <c r="C650" s="1"/>
      <c r="D650" s="1" t="str">
        <f>dados_01!D650</f>
        <v/>
      </c>
      <c r="E650" s="1" t="str">
        <f>CONCATENATE(LEFT(dados_01!E650,3),REPT("*",6),RIGHT(dados_01!E650,2))</f>
        <v>******</v>
      </c>
      <c r="F650" s="1" t="str">
        <f>dados_01!F650</f>
        <v/>
      </c>
      <c r="G650" s="1" t="str">
        <f>dados_01!G650</f>
        <v/>
      </c>
      <c r="H650" s="1" t="str">
        <f>dados_01!H650</f>
        <v/>
      </c>
      <c r="I650" s="1" t="str">
        <f>dados_01!I650</f>
        <v/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hidden="1" customHeight="1">
      <c r="A651" s="1" t="str">
        <f>dados_01!A651</f>
        <v/>
      </c>
      <c r="B651" s="1" t="str">
        <f>dados_01!B651</f>
        <v/>
      </c>
      <c r="C651" s="1"/>
      <c r="D651" s="1" t="str">
        <f>dados_01!D651</f>
        <v/>
      </c>
      <c r="E651" s="1" t="str">
        <f>CONCATENATE(LEFT(dados_01!E651,3),REPT("*",6),RIGHT(dados_01!E651,2))</f>
        <v>******</v>
      </c>
      <c r="F651" s="1" t="str">
        <f>dados_01!F651</f>
        <v/>
      </c>
      <c r="G651" s="1" t="str">
        <f>dados_01!G651</f>
        <v/>
      </c>
      <c r="H651" s="1" t="str">
        <f>dados_01!H651</f>
        <v/>
      </c>
      <c r="I651" s="1" t="str">
        <f>dados_01!I651</f>
        <v/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hidden="1" customHeight="1">
      <c r="A652" s="1" t="str">
        <f>dados_01!A652</f>
        <v/>
      </c>
      <c r="B652" s="1" t="str">
        <f>dados_01!B652</f>
        <v/>
      </c>
      <c r="C652" s="1"/>
      <c r="D652" s="1" t="str">
        <f>dados_01!D652</f>
        <v/>
      </c>
      <c r="E652" s="1" t="str">
        <f>CONCATENATE(LEFT(dados_01!E652,3),REPT("*",6),RIGHT(dados_01!E652,2))</f>
        <v>******</v>
      </c>
      <c r="F652" s="1" t="str">
        <f>dados_01!F652</f>
        <v/>
      </c>
      <c r="G652" s="1" t="str">
        <f>dados_01!G652</f>
        <v/>
      </c>
      <c r="H652" s="1" t="str">
        <f>dados_01!H652</f>
        <v/>
      </c>
      <c r="I652" s="1" t="str">
        <f>dados_01!I652</f>
        <v/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hidden="1" customHeight="1">
      <c r="A653" s="1" t="str">
        <f>dados_01!A653</f>
        <v/>
      </c>
      <c r="B653" s="1" t="str">
        <f>dados_01!B653</f>
        <v/>
      </c>
      <c r="C653" s="1"/>
      <c r="D653" s="1" t="str">
        <f>dados_01!D653</f>
        <v/>
      </c>
      <c r="E653" s="1" t="str">
        <f>CONCATENATE(LEFT(dados_01!E653,3),REPT("*",6),RIGHT(dados_01!E653,2))</f>
        <v>******</v>
      </c>
      <c r="F653" s="1" t="str">
        <f>dados_01!F653</f>
        <v/>
      </c>
      <c r="G653" s="1" t="str">
        <f>dados_01!G653</f>
        <v/>
      </c>
      <c r="H653" s="1" t="str">
        <f>dados_01!H653</f>
        <v/>
      </c>
      <c r="I653" s="1" t="str">
        <f>dados_01!I653</f>
        <v/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hidden="1" customHeight="1">
      <c r="A654" s="1" t="str">
        <f>dados_01!A654</f>
        <v/>
      </c>
      <c r="B654" s="1" t="str">
        <f>dados_01!B654</f>
        <v/>
      </c>
      <c r="C654" s="1"/>
      <c r="D654" s="1" t="str">
        <f>dados_01!D654</f>
        <v/>
      </c>
      <c r="E654" s="1" t="str">
        <f>CONCATENATE(LEFT(dados_01!E654,3),REPT("*",6),RIGHT(dados_01!E654,2))</f>
        <v>******</v>
      </c>
      <c r="F654" s="1" t="str">
        <f>dados_01!F654</f>
        <v/>
      </c>
      <c r="G654" s="1" t="str">
        <f>dados_01!G654</f>
        <v/>
      </c>
      <c r="H654" s="1" t="str">
        <f>dados_01!H654</f>
        <v/>
      </c>
      <c r="I654" s="1" t="str">
        <f>dados_01!I654</f>
        <v/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hidden="1" customHeight="1">
      <c r="A655" s="1" t="str">
        <f>dados_01!A655</f>
        <v/>
      </c>
      <c r="B655" s="1" t="str">
        <f>dados_01!B655</f>
        <v/>
      </c>
      <c r="C655" s="1"/>
      <c r="D655" s="1" t="str">
        <f>dados_01!D655</f>
        <v/>
      </c>
      <c r="E655" s="1" t="str">
        <f>CONCATENATE(LEFT(dados_01!E655,3),REPT("*",6),RIGHT(dados_01!E655,2))</f>
        <v>******</v>
      </c>
      <c r="F655" s="1" t="str">
        <f>dados_01!F655</f>
        <v/>
      </c>
      <c r="G655" s="1" t="str">
        <f>dados_01!G655</f>
        <v/>
      </c>
      <c r="H655" s="1" t="str">
        <f>dados_01!H655</f>
        <v/>
      </c>
      <c r="I655" s="1" t="str">
        <f>dados_01!I655</f>
        <v/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hidden="1" customHeight="1">
      <c r="A656" s="1" t="str">
        <f>dados_01!A656</f>
        <v/>
      </c>
      <c r="B656" s="1" t="str">
        <f>dados_01!B656</f>
        <v/>
      </c>
      <c r="C656" s="1"/>
      <c r="D656" s="1" t="str">
        <f>dados_01!D656</f>
        <v/>
      </c>
      <c r="E656" s="1" t="str">
        <f>CONCATENATE(LEFT(dados_01!E656,3),REPT("*",6),RIGHT(dados_01!E656,2))</f>
        <v>******</v>
      </c>
      <c r="F656" s="1" t="str">
        <f>dados_01!F656</f>
        <v/>
      </c>
      <c r="G656" s="1" t="str">
        <f>dados_01!G656</f>
        <v/>
      </c>
      <c r="H656" s="1" t="str">
        <f>dados_01!H656</f>
        <v/>
      </c>
      <c r="I656" s="1" t="str">
        <f>dados_01!I656</f>
        <v/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hidden="1" customHeight="1">
      <c r="A657" s="1" t="str">
        <f>dados_01!A657</f>
        <v/>
      </c>
      <c r="B657" s="1" t="str">
        <f>dados_01!B657</f>
        <v/>
      </c>
      <c r="C657" s="1"/>
      <c r="D657" s="1" t="str">
        <f>dados_01!D657</f>
        <v/>
      </c>
      <c r="E657" s="1" t="str">
        <f>CONCATENATE(LEFT(dados_01!E657,3),REPT("*",6),RIGHT(dados_01!E657,2))</f>
        <v>******</v>
      </c>
      <c r="F657" s="1" t="str">
        <f>dados_01!F657</f>
        <v/>
      </c>
      <c r="G657" s="1" t="str">
        <f>dados_01!G657</f>
        <v/>
      </c>
      <c r="H657" s="1" t="str">
        <f>dados_01!H657</f>
        <v/>
      </c>
      <c r="I657" s="1" t="str">
        <f>dados_01!I657</f>
        <v/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hidden="1" customHeight="1">
      <c r="A658" s="1" t="str">
        <f>dados_01!A658</f>
        <v/>
      </c>
      <c r="B658" s="1" t="str">
        <f>dados_01!B658</f>
        <v/>
      </c>
      <c r="C658" s="1"/>
      <c r="D658" s="1" t="str">
        <f>dados_01!D658</f>
        <v/>
      </c>
      <c r="E658" s="1" t="str">
        <f>CONCATENATE(LEFT(dados_01!E658,3),REPT("*",6),RIGHT(dados_01!E658,2))</f>
        <v>******</v>
      </c>
      <c r="F658" s="1" t="str">
        <f>dados_01!F658</f>
        <v/>
      </c>
      <c r="G658" s="1" t="str">
        <f>dados_01!G658</f>
        <v/>
      </c>
      <c r="H658" s="1" t="str">
        <f>dados_01!H658</f>
        <v/>
      </c>
      <c r="I658" s="1" t="str">
        <f>dados_01!I658</f>
        <v/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hidden="1" customHeight="1">
      <c r="A659" s="1" t="str">
        <f>dados_01!A659</f>
        <v/>
      </c>
      <c r="B659" s="1" t="str">
        <f>dados_01!B659</f>
        <v/>
      </c>
      <c r="C659" s="1"/>
      <c r="D659" s="1" t="str">
        <f>dados_01!D659</f>
        <v/>
      </c>
      <c r="E659" s="1" t="str">
        <f>CONCATENATE(LEFT(dados_01!E659,3),REPT("*",6),RIGHT(dados_01!E659,2))</f>
        <v>******</v>
      </c>
      <c r="F659" s="1" t="str">
        <f>dados_01!F659</f>
        <v/>
      </c>
      <c r="G659" s="1" t="str">
        <f>dados_01!G659</f>
        <v/>
      </c>
      <c r="H659" s="1" t="str">
        <f>dados_01!H659</f>
        <v/>
      </c>
      <c r="I659" s="1" t="str">
        <f>dados_01!I659</f>
        <v/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hidden="1" customHeight="1">
      <c r="A660" s="1" t="str">
        <f>dados_01!A660</f>
        <v/>
      </c>
      <c r="B660" s="1" t="str">
        <f>dados_01!B660</f>
        <v/>
      </c>
      <c r="C660" s="1"/>
      <c r="D660" s="1" t="str">
        <f>dados_01!D660</f>
        <v/>
      </c>
      <c r="E660" s="1" t="str">
        <f>CONCATENATE(LEFT(dados_01!E660,3),REPT("*",6),RIGHT(dados_01!E660,2))</f>
        <v>******</v>
      </c>
      <c r="F660" s="1" t="str">
        <f>dados_01!F660</f>
        <v/>
      </c>
      <c r="G660" s="1" t="str">
        <f>dados_01!G660</f>
        <v/>
      </c>
      <c r="H660" s="1" t="str">
        <f>dados_01!H660</f>
        <v/>
      </c>
      <c r="I660" s="1" t="str">
        <f>dados_01!I660</f>
        <v/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hidden="1" customHeight="1">
      <c r="A661" s="1" t="str">
        <f>dados_01!A661</f>
        <v/>
      </c>
      <c r="B661" s="1" t="str">
        <f>dados_01!B661</f>
        <v/>
      </c>
      <c r="C661" s="1"/>
      <c r="D661" s="1" t="str">
        <f>dados_01!D661</f>
        <v/>
      </c>
      <c r="E661" s="1" t="str">
        <f>CONCATENATE(LEFT(dados_01!E661,3),REPT("*",6),RIGHT(dados_01!E661,2))</f>
        <v>******</v>
      </c>
      <c r="F661" s="1" t="str">
        <f>dados_01!F661</f>
        <v/>
      </c>
      <c r="G661" s="1" t="str">
        <f>dados_01!G661</f>
        <v/>
      </c>
      <c r="H661" s="1" t="str">
        <f>dados_01!H661</f>
        <v/>
      </c>
      <c r="I661" s="1" t="str">
        <f>dados_01!I661</f>
        <v/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hidden="1" customHeight="1">
      <c r="A662" s="1" t="str">
        <f>dados_01!A662</f>
        <v/>
      </c>
      <c r="B662" s="1" t="str">
        <f>dados_01!B662</f>
        <v/>
      </c>
      <c r="C662" s="1"/>
      <c r="D662" s="1" t="str">
        <f>dados_01!D662</f>
        <v/>
      </c>
      <c r="E662" s="1" t="str">
        <f>CONCATENATE(LEFT(dados_01!E662,3),REPT("*",6),RIGHT(dados_01!E662,2))</f>
        <v>******</v>
      </c>
      <c r="F662" s="1" t="str">
        <f>dados_01!F662</f>
        <v/>
      </c>
      <c r="G662" s="1" t="str">
        <f>dados_01!G662</f>
        <v/>
      </c>
      <c r="H662" s="1" t="str">
        <f>dados_01!H662</f>
        <v/>
      </c>
      <c r="I662" s="1" t="str">
        <f>dados_01!I662</f>
        <v/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hidden="1" customHeight="1">
      <c r="A663" s="1" t="str">
        <f>dados_01!A663</f>
        <v/>
      </c>
      <c r="B663" s="1" t="str">
        <f>dados_01!B663</f>
        <v/>
      </c>
      <c r="C663" s="1"/>
      <c r="D663" s="1" t="str">
        <f>dados_01!D663</f>
        <v/>
      </c>
      <c r="E663" s="1" t="str">
        <f>CONCATENATE(LEFT(dados_01!E663,3),REPT("*",6),RIGHT(dados_01!E663,2))</f>
        <v>******</v>
      </c>
      <c r="F663" s="1" t="str">
        <f>dados_01!F663</f>
        <v/>
      </c>
      <c r="G663" s="1" t="str">
        <f>dados_01!G663</f>
        <v/>
      </c>
      <c r="H663" s="1" t="str">
        <f>dados_01!H663</f>
        <v/>
      </c>
      <c r="I663" s="1" t="str">
        <f>dados_01!I663</f>
        <v/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hidden="1" customHeight="1">
      <c r="A664" s="1" t="str">
        <f>dados_01!A664</f>
        <v/>
      </c>
      <c r="B664" s="1" t="str">
        <f>dados_01!B664</f>
        <v/>
      </c>
      <c r="C664" s="1"/>
      <c r="D664" s="1" t="str">
        <f>dados_01!D664</f>
        <v/>
      </c>
      <c r="E664" s="1" t="str">
        <f>CONCATENATE(LEFT(dados_01!E664,3),REPT("*",6),RIGHT(dados_01!E664,2))</f>
        <v>******</v>
      </c>
      <c r="F664" s="1" t="str">
        <f>dados_01!F664</f>
        <v/>
      </c>
      <c r="G664" s="1" t="str">
        <f>dados_01!G664</f>
        <v/>
      </c>
      <c r="H664" s="1" t="str">
        <f>dados_01!H664</f>
        <v/>
      </c>
      <c r="I664" s="1" t="str">
        <f>dados_01!I664</f>
        <v/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hidden="1" customHeight="1">
      <c r="A665" s="1" t="str">
        <f>dados_01!A665</f>
        <v/>
      </c>
      <c r="B665" s="1" t="str">
        <f>dados_01!B665</f>
        <v/>
      </c>
      <c r="C665" s="1"/>
      <c r="D665" s="1" t="str">
        <f>dados_01!D665</f>
        <v/>
      </c>
      <c r="E665" s="1" t="str">
        <f>CONCATENATE(LEFT(dados_01!E665,3),REPT("*",6),RIGHT(dados_01!E665,2))</f>
        <v>******</v>
      </c>
      <c r="F665" s="1" t="str">
        <f>dados_01!F665</f>
        <v/>
      </c>
      <c r="G665" s="1" t="str">
        <f>dados_01!G665</f>
        <v/>
      </c>
      <c r="H665" s="1" t="str">
        <f>dados_01!H665</f>
        <v/>
      </c>
      <c r="I665" s="1" t="str">
        <f>dados_01!I665</f>
        <v/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hidden="1" customHeight="1">
      <c r="A666" s="1" t="str">
        <f>dados_01!A666</f>
        <v/>
      </c>
      <c r="B666" s="1" t="str">
        <f>dados_01!B666</f>
        <v/>
      </c>
      <c r="C666" s="1"/>
      <c r="D666" s="1" t="str">
        <f>dados_01!D666</f>
        <v/>
      </c>
      <c r="E666" s="1" t="str">
        <f>CONCATENATE(LEFT(dados_01!E666,3),REPT("*",6),RIGHT(dados_01!E666,2))</f>
        <v>******</v>
      </c>
      <c r="F666" s="1" t="str">
        <f>dados_01!F666</f>
        <v/>
      </c>
      <c r="G666" s="1" t="str">
        <f>dados_01!G666</f>
        <v/>
      </c>
      <c r="H666" s="1" t="str">
        <f>dados_01!H666</f>
        <v/>
      </c>
      <c r="I666" s="1" t="str">
        <f>dados_01!I666</f>
        <v/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hidden="1" customHeight="1">
      <c r="A667" s="1" t="str">
        <f>dados_01!A667</f>
        <v/>
      </c>
      <c r="B667" s="1" t="str">
        <f>dados_01!B667</f>
        <v/>
      </c>
      <c r="C667" s="1"/>
      <c r="D667" s="1" t="str">
        <f>dados_01!D667</f>
        <v/>
      </c>
      <c r="E667" s="1" t="str">
        <f>CONCATENATE(LEFT(dados_01!E667,3),REPT("*",6),RIGHT(dados_01!E667,2))</f>
        <v>******</v>
      </c>
      <c r="F667" s="1" t="str">
        <f>dados_01!F667</f>
        <v/>
      </c>
      <c r="G667" s="1" t="str">
        <f>dados_01!G667</f>
        <v/>
      </c>
      <c r="H667" s="1" t="str">
        <f>dados_01!H667</f>
        <v/>
      </c>
      <c r="I667" s="1" t="str">
        <f>dados_01!I667</f>
        <v/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hidden="1" customHeight="1">
      <c r="A668" s="1" t="str">
        <f>dados_01!A668</f>
        <v/>
      </c>
      <c r="B668" s="1" t="str">
        <f>dados_01!B668</f>
        <v/>
      </c>
      <c r="C668" s="1"/>
      <c r="D668" s="1" t="str">
        <f>dados_01!D668</f>
        <v/>
      </c>
      <c r="E668" s="1" t="str">
        <f>CONCATENATE(LEFT(dados_01!E668,3),REPT("*",6),RIGHT(dados_01!E668,2))</f>
        <v>******</v>
      </c>
      <c r="F668" s="1" t="str">
        <f>dados_01!F668</f>
        <v/>
      </c>
      <c r="G668" s="1" t="str">
        <f>dados_01!G668</f>
        <v/>
      </c>
      <c r="H668" s="1" t="str">
        <f>dados_01!H668</f>
        <v/>
      </c>
      <c r="I668" s="1" t="str">
        <f>dados_01!I668</f>
        <v/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hidden="1" customHeight="1">
      <c r="A669" s="1" t="str">
        <f>dados_01!A669</f>
        <v/>
      </c>
      <c r="B669" s="1" t="str">
        <f>dados_01!B669</f>
        <v/>
      </c>
      <c r="C669" s="1"/>
      <c r="D669" s="1" t="str">
        <f>dados_01!D669</f>
        <v/>
      </c>
      <c r="E669" s="1" t="str">
        <f>CONCATENATE(LEFT(dados_01!E669,3),REPT("*",6),RIGHT(dados_01!E669,2))</f>
        <v>******</v>
      </c>
      <c r="F669" s="1" t="str">
        <f>dados_01!F669</f>
        <v/>
      </c>
      <c r="G669" s="1" t="str">
        <f>dados_01!G669</f>
        <v/>
      </c>
      <c r="H669" s="1" t="str">
        <f>dados_01!H669</f>
        <v/>
      </c>
      <c r="I669" s="1" t="str">
        <f>dados_01!I669</f>
        <v/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hidden="1" customHeight="1">
      <c r="A670" s="1" t="str">
        <f>dados_01!A670</f>
        <v/>
      </c>
      <c r="B670" s="1" t="str">
        <f>dados_01!B670</f>
        <v/>
      </c>
      <c r="C670" s="1"/>
      <c r="D670" s="1" t="str">
        <f>dados_01!D670</f>
        <v/>
      </c>
      <c r="E670" s="1" t="str">
        <f>CONCATENATE(LEFT(dados_01!E670,3),REPT("*",6),RIGHT(dados_01!E670,2))</f>
        <v>******</v>
      </c>
      <c r="F670" s="1" t="str">
        <f>dados_01!F670</f>
        <v/>
      </c>
      <c r="G670" s="1" t="str">
        <f>dados_01!G670</f>
        <v/>
      </c>
      <c r="H670" s="1" t="str">
        <f>dados_01!H670</f>
        <v/>
      </c>
      <c r="I670" s="1" t="str">
        <f>dados_01!I670</f>
        <v/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hidden="1" customHeight="1">
      <c r="A671" s="1" t="str">
        <f>dados_01!A671</f>
        <v/>
      </c>
      <c r="B671" s="1" t="str">
        <f>dados_01!B671</f>
        <v/>
      </c>
      <c r="C671" s="1"/>
      <c r="D671" s="1" t="str">
        <f>dados_01!D671</f>
        <v/>
      </c>
      <c r="E671" s="1" t="str">
        <f>CONCATENATE(LEFT(dados_01!E671,3),REPT("*",6),RIGHT(dados_01!E671,2))</f>
        <v>******</v>
      </c>
      <c r="F671" s="1" t="str">
        <f>dados_01!F671</f>
        <v/>
      </c>
      <c r="G671" s="1" t="str">
        <f>dados_01!G671</f>
        <v/>
      </c>
      <c r="H671" s="1" t="str">
        <f>dados_01!H671</f>
        <v/>
      </c>
      <c r="I671" s="1" t="str">
        <f>dados_01!I671</f>
        <v/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hidden="1" customHeight="1">
      <c r="A672" s="1" t="str">
        <f>dados_01!A672</f>
        <v/>
      </c>
      <c r="B672" s="1" t="str">
        <f>dados_01!B672</f>
        <v/>
      </c>
      <c r="C672" s="1"/>
      <c r="D672" s="1" t="str">
        <f>dados_01!D672</f>
        <v/>
      </c>
      <c r="E672" s="1" t="str">
        <f>CONCATENATE(LEFT(dados_01!E672,3),REPT("*",6),RIGHT(dados_01!E672,2))</f>
        <v>******</v>
      </c>
      <c r="F672" s="1" t="str">
        <f>dados_01!F672</f>
        <v/>
      </c>
      <c r="G672" s="1" t="str">
        <f>dados_01!G672</f>
        <v/>
      </c>
      <c r="H672" s="1" t="str">
        <f>dados_01!H672</f>
        <v/>
      </c>
      <c r="I672" s="1" t="str">
        <f>dados_01!I672</f>
        <v/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hidden="1" customHeight="1">
      <c r="A673" s="1" t="str">
        <f>dados_01!A673</f>
        <v/>
      </c>
      <c r="B673" s="1" t="str">
        <f>dados_01!B673</f>
        <v/>
      </c>
      <c r="C673" s="1"/>
      <c r="D673" s="1" t="str">
        <f>dados_01!D673</f>
        <v/>
      </c>
      <c r="E673" s="1" t="str">
        <f>CONCATENATE(LEFT(dados_01!E673,3),REPT("*",6),RIGHT(dados_01!E673,2))</f>
        <v>******</v>
      </c>
      <c r="F673" s="1" t="str">
        <f>dados_01!F673</f>
        <v/>
      </c>
      <c r="G673" s="1" t="str">
        <f>dados_01!G673</f>
        <v/>
      </c>
      <c r="H673" s="1" t="str">
        <f>dados_01!H673</f>
        <v/>
      </c>
      <c r="I673" s="1" t="str">
        <f>dados_01!I673</f>
        <v/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hidden="1" customHeight="1">
      <c r="A674" s="1" t="str">
        <f>dados_01!A674</f>
        <v/>
      </c>
      <c r="B674" s="1" t="str">
        <f>dados_01!B674</f>
        <v/>
      </c>
      <c r="C674" s="1"/>
      <c r="D674" s="1" t="str">
        <f>dados_01!D674</f>
        <v/>
      </c>
      <c r="E674" s="1" t="str">
        <f>CONCATENATE(LEFT(dados_01!E674,3),REPT("*",6),RIGHT(dados_01!E674,2))</f>
        <v>******</v>
      </c>
      <c r="F674" s="1" t="str">
        <f>dados_01!F674</f>
        <v/>
      </c>
      <c r="G674" s="1" t="str">
        <f>dados_01!G674</f>
        <v/>
      </c>
      <c r="H674" s="1" t="str">
        <f>dados_01!H674</f>
        <v/>
      </c>
      <c r="I674" s="1" t="str">
        <f>dados_01!I674</f>
        <v/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hidden="1" customHeight="1">
      <c r="A675" s="1" t="str">
        <f>dados_01!A675</f>
        <v/>
      </c>
      <c r="B675" s="1" t="str">
        <f>dados_01!B675</f>
        <v/>
      </c>
      <c r="C675" s="1"/>
      <c r="D675" s="1" t="str">
        <f>dados_01!D675</f>
        <v/>
      </c>
      <c r="E675" s="1" t="str">
        <f>CONCATENATE(LEFT(dados_01!E675,3),REPT("*",6),RIGHT(dados_01!E675,2))</f>
        <v>******</v>
      </c>
      <c r="F675" s="1" t="str">
        <f>dados_01!F675</f>
        <v/>
      </c>
      <c r="G675" s="1" t="str">
        <f>dados_01!G675</f>
        <v/>
      </c>
      <c r="H675" s="1" t="str">
        <f>dados_01!H675</f>
        <v/>
      </c>
      <c r="I675" s="1" t="str">
        <f>dados_01!I675</f>
        <v/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hidden="1" customHeight="1">
      <c r="A676" s="1" t="str">
        <f>dados_01!A676</f>
        <v/>
      </c>
      <c r="B676" s="1" t="str">
        <f>dados_01!B676</f>
        <v/>
      </c>
      <c r="C676" s="1"/>
      <c r="D676" s="1" t="str">
        <f>dados_01!D676</f>
        <v/>
      </c>
      <c r="E676" s="1" t="str">
        <f>CONCATENATE(LEFT(dados_01!E676,3),REPT("*",6),RIGHT(dados_01!E676,2))</f>
        <v>******</v>
      </c>
      <c r="F676" s="1" t="str">
        <f>dados_01!F676</f>
        <v/>
      </c>
      <c r="G676" s="1" t="str">
        <f>dados_01!G676</f>
        <v/>
      </c>
      <c r="H676" s="1" t="str">
        <f>dados_01!H676</f>
        <v/>
      </c>
      <c r="I676" s="1" t="str">
        <f>dados_01!I676</f>
        <v/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hidden="1" customHeight="1">
      <c r="A677" s="1" t="str">
        <f>dados_01!A677</f>
        <v/>
      </c>
      <c r="B677" s="1" t="str">
        <f>dados_01!B677</f>
        <v/>
      </c>
      <c r="C677" s="1"/>
      <c r="D677" s="1" t="str">
        <f>dados_01!D677</f>
        <v/>
      </c>
      <c r="E677" s="1" t="str">
        <f>CONCATENATE(LEFT(dados_01!E677,3),REPT("*",6),RIGHT(dados_01!E677,2))</f>
        <v>******</v>
      </c>
      <c r="F677" s="1" t="str">
        <f>dados_01!F677</f>
        <v/>
      </c>
      <c r="G677" s="1" t="str">
        <f>dados_01!G677</f>
        <v/>
      </c>
      <c r="H677" s="1" t="str">
        <f>dados_01!H677</f>
        <v/>
      </c>
      <c r="I677" s="1" t="str">
        <f>dados_01!I677</f>
        <v/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hidden="1" customHeight="1">
      <c r="A678" s="1" t="str">
        <f>dados_01!A678</f>
        <v/>
      </c>
      <c r="B678" s="1" t="str">
        <f>dados_01!B678</f>
        <v/>
      </c>
      <c r="C678" s="1"/>
      <c r="D678" s="1" t="str">
        <f>dados_01!D678</f>
        <v/>
      </c>
      <c r="E678" s="1" t="str">
        <f>CONCATENATE(LEFT(dados_01!E678,3),REPT("*",6),RIGHT(dados_01!E678,2))</f>
        <v>******</v>
      </c>
      <c r="F678" s="1" t="str">
        <f>dados_01!F678</f>
        <v/>
      </c>
      <c r="G678" s="1" t="str">
        <f>dados_01!G678</f>
        <v/>
      </c>
      <c r="H678" s="1" t="str">
        <f>dados_01!H678</f>
        <v/>
      </c>
      <c r="I678" s="1" t="str">
        <f>dados_01!I678</f>
        <v/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hidden="1" customHeight="1">
      <c r="A679" s="1" t="str">
        <f>dados_01!A679</f>
        <v/>
      </c>
      <c r="B679" s="1" t="str">
        <f>dados_01!B679</f>
        <v/>
      </c>
      <c r="C679" s="1"/>
      <c r="D679" s="1" t="str">
        <f>dados_01!D679</f>
        <v/>
      </c>
      <c r="E679" s="1" t="str">
        <f>CONCATENATE(LEFT(dados_01!E679,3),REPT("*",6),RIGHT(dados_01!E679,2))</f>
        <v>******</v>
      </c>
      <c r="F679" s="1" t="str">
        <f>dados_01!F679</f>
        <v/>
      </c>
      <c r="G679" s="1" t="str">
        <f>dados_01!G679</f>
        <v/>
      </c>
      <c r="H679" s="1" t="str">
        <f>dados_01!H679</f>
        <v/>
      </c>
      <c r="I679" s="1" t="str">
        <f>dados_01!I679</f>
        <v/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hidden="1" customHeight="1">
      <c r="A680" s="1" t="str">
        <f>dados_01!A680</f>
        <v/>
      </c>
      <c r="B680" s="1" t="str">
        <f>dados_01!B680</f>
        <v/>
      </c>
      <c r="C680" s="1"/>
      <c r="D680" s="1" t="str">
        <f>dados_01!D680</f>
        <v/>
      </c>
      <c r="E680" s="1" t="str">
        <f>CONCATENATE(LEFT(dados_01!E680,3),REPT("*",6),RIGHT(dados_01!E680,2))</f>
        <v>******</v>
      </c>
      <c r="F680" s="1" t="str">
        <f>dados_01!F680</f>
        <v/>
      </c>
      <c r="G680" s="1" t="str">
        <f>dados_01!G680</f>
        <v/>
      </c>
      <c r="H680" s="1" t="str">
        <f>dados_01!H680</f>
        <v/>
      </c>
      <c r="I680" s="1" t="str">
        <f>dados_01!I680</f>
        <v/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hidden="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hidden="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hidden="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hidden="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hidden="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hidden="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hidden="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hidden="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hidden="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hidden="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hidden="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hidden="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hidden="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hidden="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hidden="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hidden="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hidden="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hidden="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hidden="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hidden="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hidden="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hidden="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hidden="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hidden="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hidden="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hidden="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hidden="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hidden="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hidden="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hidden="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hidden="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hidden="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hidden="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hidden="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hidden="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hidden="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hidden="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hidden="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hidden="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hidden="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hidden="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hidden="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hidden="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hidden="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hidden="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hidden="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hidden="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hidden="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hidden="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hidden="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hidden="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hidden="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hidden="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hidden="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hidden="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hidden="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hidden="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hidden="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hidden="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hidden="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hidden="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hidden="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hidden="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hidden="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hidden="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hidden="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hidden="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hidden="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hidden="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hidden="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hidden="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hidden="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hidden="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hidden="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hidden="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hidden="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hidden="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hidden="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hidden="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hidden="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hidden="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hidden="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hidden="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hidden="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hidden="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hidden="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hidden="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hidden="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hidden="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hidden="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hidden="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hidden="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hidden="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hidden="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hidden="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hidden="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hidden="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hidden="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hidden="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hidden="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hidden="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hidden="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hidden="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hidden="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hidden="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hidden="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hidden="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hidden="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hidden="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hidden="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hidden="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hidden="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hidden="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hidden="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hidden="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hidden="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hidden="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hidden="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hidden="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hidden="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hidden="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hidden="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hidden="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hidden="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hidden="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hidden="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hidden="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hidden="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hidden="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hidden="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hidden="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hidden="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hidden="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hidden="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hidden="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hidden="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hidden="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hidden="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hidden="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hidden="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hidden="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hidden="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hidden="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hidden="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hidden="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hidden="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hidden="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hidden="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hidden="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hidden="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hidden="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hidden="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hidden="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hidden="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hidden="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hidden="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hidden="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hidden="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hidden="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hidden="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hidden="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hidden="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hidden="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hidden="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hidden="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hidden="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hidden="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hidden="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hidden="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hidden="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hidden="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hidden="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hidden="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hidden="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hidden="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hidden="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hidden="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hidden="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hidden="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hidden="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hidden="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hidden="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hidden="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hidden="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hidden="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hidden="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hidden="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hidden="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hidden="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hidden="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hidden="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hidden="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hidden="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hidden="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hidden="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hidden="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hidden="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hidden="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hidden="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hidden="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Z$1000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1.14"/>
    <col customWidth="1" min="2" max="2" width="31.29"/>
    <col customWidth="1" min="3" max="3" width="10.71"/>
    <col customWidth="1" min="4" max="4" width="29.0"/>
    <col customWidth="1" min="5" max="5" width="20.0"/>
    <col customWidth="1" min="6" max="6" width="17.71"/>
    <col customWidth="1" min="7" max="7" width="14.14"/>
    <col customWidth="1" min="8" max="8" width="66.43"/>
    <col customWidth="1" min="9" max="9" width="8.14"/>
    <col customWidth="1" min="10" max="10" width="5.29"/>
    <col customWidth="1" min="11" max="11" width="9.71"/>
    <col customWidth="1" min="12" max="12" width="4.71"/>
    <col customWidth="1" min="13" max="13" width="9.57"/>
    <col customWidth="1" min="14" max="14" width="7.0"/>
    <col customWidth="1" min="15" max="15" width="10.43"/>
    <col customWidth="1" min="16" max="16" width="5.14"/>
    <col customWidth="1" min="17" max="17" width="11.14"/>
    <col customWidth="1" min="18" max="18" width="14.43"/>
  </cols>
  <sheetData>
    <row r="1">
      <c r="A1" s="42"/>
      <c r="B1" s="43" t="s">
        <v>416</v>
      </c>
    </row>
    <row r="2">
      <c r="A2" s="44"/>
      <c r="B2" s="44" t="s">
        <v>417</v>
      </c>
      <c r="R2" s="44"/>
    </row>
    <row r="3">
      <c r="A3" s="45"/>
      <c r="B3" s="45"/>
      <c r="C3" s="45"/>
      <c r="D3" s="45"/>
      <c r="E3" s="45"/>
      <c r="F3" s="45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</row>
    <row r="4">
      <c r="A4" s="47" t="s">
        <v>3</v>
      </c>
      <c r="B4" s="48" t="s">
        <v>17</v>
      </c>
      <c r="D4" s="49" t="s">
        <v>418</v>
      </c>
      <c r="E4" s="50" t="s">
        <v>419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/>
    </row>
    <row r="5">
      <c r="B5" s="53"/>
      <c r="D5" s="54"/>
      <c r="E5" s="50" t="s">
        <v>420</v>
      </c>
      <c r="F5" s="51"/>
      <c r="G5" s="51"/>
      <c r="H5" s="52"/>
      <c r="I5" s="50" t="s">
        <v>421</v>
      </c>
      <c r="J5" s="52"/>
      <c r="K5" s="50" t="s">
        <v>422</v>
      </c>
      <c r="L5" s="51"/>
      <c r="M5" s="51"/>
      <c r="N5" s="51"/>
      <c r="O5" s="51"/>
      <c r="P5" s="52"/>
      <c r="Q5" s="55" t="s">
        <v>423</v>
      </c>
      <c r="R5" s="45"/>
    </row>
    <row r="6">
      <c r="B6" s="53"/>
      <c r="D6" s="54"/>
      <c r="E6" s="56" t="s">
        <v>424</v>
      </c>
      <c r="F6" s="56" t="s">
        <v>425</v>
      </c>
      <c r="G6" s="56" t="s">
        <v>426</v>
      </c>
      <c r="H6" s="57" t="s">
        <v>427</v>
      </c>
      <c r="I6" s="50" t="s">
        <v>426</v>
      </c>
      <c r="J6" s="52"/>
      <c r="K6" s="50" t="s">
        <v>428</v>
      </c>
      <c r="L6" s="52"/>
      <c r="M6" s="50" t="s">
        <v>429</v>
      </c>
      <c r="N6" s="52"/>
      <c r="O6" s="58" t="s">
        <v>427</v>
      </c>
      <c r="P6" s="52"/>
      <c r="Q6" s="52"/>
      <c r="R6" s="45"/>
    </row>
    <row r="7">
      <c r="B7" s="59"/>
      <c r="C7" s="51"/>
      <c r="D7" s="52"/>
      <c r="E7" s="56" t="s">
        <v>430</v>
      </c>
      <c r="F7" s="56" t="s">
        <v>430</v>
      </c>
      <c r="G7" s="56" t="s">
        <v>430</v>
      </c>
      <c r="H7" s="57" t="s">
        <v>430</v>
      </c>
      <c r="I7" s="56" t="s">
        <v>431</v>
      </c>
      <c r="J7" s="56" t="s">
        <v>432</v>
      </c>
      <c r="K7" s="56" t="s">
        <v>431</v>
      </c>
      <c r="L7" s="56" t="s">
        <v>432</v>
      </c>
      <c r="M7" s="56" t="s">
        <v>431</v>
      </c>
      <c r="N7" s="56" t="s">
        <v>432</v>
      </c>
      <c r="O7" s="57" t="s">
        <v>431</v>
      </c>
      <c r="P7" s="57" t="s">
        <v>432</v>
      </c>
      <c r="Q7" s="60" t="s">
        <v>433</v>
      </c>
      <c r="R7" s="45"/>
    </row>
    <row r="8">
      <c r="A8" s="45"/>
      <c r="B8" s="61" t="s">
        <v>434</v>
      </c>
      <c r="C8" s="54"/>
      <c r="D8" s="62" t="s">
        <v>435</v>
      </c>
      <c r="E8" s="63">
        <v>15.0</v>
      </c>
      <c r="F8" s="63">
        <v>30.0</v>
      </c>
      <c r="G8" s="64"/>
      <c r="H8" s="65">
        <v>45.0</v>
      </c>
      <c r="I8" s="63">
        <v>20.0</v>
      </c>
      <c r="J8" s="63">
        <v>20.0</v>
      </c>
      <c r="K8" s="63">
        <v>40.0</v>
      </c>
      <c r="L8" s="63">
        <v>20.0</v>
      </c>
      <c r="M8" s="63">
        <v>20.0</v>
      </c>
      <c r="N8" s="63">
        <v>40.0</v>
      </c>
      <c r="O8" s="65">
        <v>80.0</v>
      </c>
      <c r="P8" s="65">
        <v>80.0</v>
      </c>
      <c r="Q8" s="66">
        <v>205.0</v>
      </c>
      <c r="R8" s="67"/>
    </row>
    <row r="9">
      <c r="A9" s="68">
        <v>2.6188333E7</v>
      </c>
      <c r="B9" s="53"/>
      <c r="C9" s="54"/>
      <c r="D9" s="62" t="s">
        <v>436</v>
      </c>
      <c r="E9" s="63">
        <v>15.0</v>
      </c>
      <c r="F9" s="63">
        <v>28.0</v>
      </c>
      <c r="G9" s="63">
        <v>0.0</v>
      </c>
      <c r="H9" s="65">
        <v>43.0</v>
      </c>
      <c r="I9" s="63">
        <v>20.0</v>
      </c>
      <c r="J9" s="63">
        <v>21.0</v>
      </c>
      <c r="K9" s="63">
        <v>36.0</v>
      </c>
      <c r="L9" s="63">
        <v>20.0</v>
      </c>
      <c r="M9" s="63">
        <v>19.0</v>
      </c>
      <c r="N9" s="63">
        <v>37.0</v>
      </c>
      <c r="O9" s="65">
        <v>75.0</v>
      </c>
      <c r="P9" s="65">
        <v>78.0</v>
      </c>
      <c r="Q9" s="69">
        <v>196.0</v>
      </c>
      <c r="R9" s="67"/>
    </row>
    <row r="10">
      <c r="A10" s="45"/>
      <c r="B10" s="59"/>
      <c r="C10" s="52"/>
      <c r="D10" s="70" t="s">
        <v>437</v>
      </c>
      <c r="E10" s="71">
        <v>0.0</v>
      </c>
      <c r="F10" s="71">
        <v>2.0</v>
      </c>
      <c r="G10" s="71">
        <v>0.0</v>
      </c>
      <c r="H10" s="71">
        <v>2.0</v>
      </c>
      <c r="I10" s="71">
        <v>0.0</v>
      </c>
      <c r="J10" s="71">
        <v>-1.0</v>
      </c>
      <c r="K10" s="71">
        <v>4.0</v>
      </c>
      <c r="L10" s="71">
        <v>0.0</v>
      </c>
      <c r="M10" s="71">
        <v>1.0</v>
      </c>
      <c r="N10" s="71">
        <v>3.0</v>
      </c>
      <c r="O10" s="71">
        <v>5.0</v>
      </c>
      <c r="P10" s="71">
        <v>2.0</v>
      </c>
      <c r="Q10" s="71">
        <v>9.0</v>
      </c>
      <c r="R10" s="67"/>
    </row>
    <row r="11">
      <c r="A11" s="45"/>
      <c r="B11" s="61" t="s">
        <v>48</v>
      </c>
      <c r="C11" s="54"/>
      <c r="D11" s="62" t="s">
        <v>435</v>
      </c>
      <c r="E11" s="64"/>
      <c r="F11" s="64"/>
      <c r="G11" s="64"/>
      <c r="H11" s="65">
        <v>0.0</v>
      </c>
      <c r="I11" s="63">
        <v>32.0</v>
      </c>
      <c r="J11" s="63">
        <v>44.0</v>
      </c>
      <c r="K11" s="63">
        <v>44.0</v>
      </c>
      <c r="L11" s="63">
        <v>38.0</v>
      </c>
      <c r="M11" s="63">
        <v>52.0</v>
      </c>
      <c r="N11" s="63">
        <v>46.0</v>
      </c>
      <c r="O11" s="65">
        <v>128.0</v>
      </c>
      <c r="P11" s="65">
        <v>128.0</v>
      </c>
      <c r="Q11" s="66">
        <v>256.0</v>
      </c>
      <c r="R11" s="67"/>
    </row>
    <row r="12">
      <c r="A12" s="68">
        <v>2.614784E7</v>
      </c>
      <c r="B12" s="53"/>
      <c r="C12" s="54"/>
      <c r="D12" s="62" t="s">
        <v>436</v>
      </c>
      <c r="E12" s="63">
        <v>0.0</v>
      </c>
      <c r="F12" s="63">
        <v>0.0</v>
      </c>
      <c r="G12" s="63">
        <v>0.0</v>
      </c>
      <c r="H12" s="65">
        <v>0.0</v>
      </c>
      <c r="I12" s="63">
        <v>33.0</v>
      </c>
      <c r="J12" s="63">
        <v>44.0</v>
      </c>
      <c r="K12" s="63">
        <v>44.0</v>
      </c>
      <c r="L12" s="63">
        <v>38.0</v>
      </c>
      <c r="M12" s="63">
        <v>52.0</v>
      </c>
      <c r="N12" s="63">
        <v>46.0</v>
      </c>
      <c r="O12" s="65">
        <v>129.0</v>
      </c>
      <c r="P12" s="65">
        <v>128.0</v>
      </c>
      <c r="Q12" s="69">
        <v>257.0</v>
      </c>
      <c r="R12" s="67"/>
    </row>
    <row r="13">
      <c r="A13" s="45"/>
      <c r="B13" s="59"/>
      <c r="C13" s="52"/>
      <c r="D13" s="70" t="s">
        <v>437</v>
      </c>
      <c r="E13" s="71">
        <v>0.0</v>
      </c>
      <c r="F13" s="71">
        <v>0.0</v>
      </c>
      <c r="G13" s="71">
        <v>0.0</v>
      </c>
      <c r="H13" s="71">
        <v>0.0</v>
      </c>
      <c r="I13" s="71">
        <v>-1.0</v>
      </c>
      <c r="J13" s="71">
        <v>0.0</v>
      </c>
      <c r="K13" s="71">
        <v>0.0</v>
      </c>
      <c r="L13" s="71">
        <v>0.0</v>
      </c>
      <c r="M13" s="71">
        <v>0.0</v>
      </c>
      <c r="N13" s="71">
        <v>0.0</v>
      </c>
      <c r="O13" s="71">
        <v>-1.0</v>
      </c>
      <c r="P13" s="71">
        <v>0.0</v>
      </c>
      <c r="Q13" s="71">
        <v>-1.0</v>
      </c>
      <c r="R13" s="67"/>
    </row>
    <row r="14">
      <c r="A14" s="45"/>
      <c r="B14" s="61" t="s">
        <v>53</v>
      </c>
      <c r="C14" s="54"/>
      <c r="D14" s="62" t="s">
        <v>435</v>
      </c>
      <c r="E14" s="63">
        <v>30.0</v>
      </c>
      <c r="F14" s="63">
        <v>45.0</v>
      </c>
      <c r="G14" s="63">
        <v>36.0</v>
      </c>
      <c r="H14" s="65">
        <v>111.0</v>
      </c>
      <c r="I14" s="64"/>
      <c r="J14" s="64"/>
      <c r="K14" s="64"/>
      <c r="L14" s="64"/>
      <c r="M14" s="64"/>
      <c r="N14" s="64"/>
      <c r="O14" s="65">
        <v>0.0</v>
      </c>
      <c r="P14" s="65">
        <v>0.0</v>
      </c>
      <c r="Q14" s="66">
        <v>111.0</v>
      </c>
      <c r="R14" s="67"/>
    </row>
    <row r="15">
      <c r="A15" s="68">
        <v>2.615627E7</v>
      </c>
      <c r="B15" s="53"/>
      <c r="C15" s="54"/>
      <c r="D15" s="62" t="s">
        <v>436</v>
      </c>
      <c r="E15" s="63">
        <v>30.0</v>
      </c>
      <c r="F15" s="63">
        <v>45.0</v>
      </c>
      <c r="G15" s="63">
        <v>39.0</v>
      </c>
      <c r="H15" s="65">
        <v>114.0</v>
      </c>
      <c r="I15" s="63">
        <v>0.0</v>
      </c>
      <c r="J15" s="63">
        <v>0.0</v>
      </c>
      <c r="K15" s="63">
        <v>0.0</v>
      </c>
      <c r="L15" s="63">
        <v>0.0</v>
      </c>
      <c r="M15" s="63">
        <v>0.0</v>
      </c>
      <c r="N15" s="63">
        <v>0.0</v>
      </c>
      <c r="O15" s="65">
        <v>0.0</v>
      </c>
      <c r="P15" s="65">
        <v>0.0</v>
      </c>
      <c r="Q15" s="69">
        <v>114.0</v>
      </c>
      <c r="R15" s="67"/>
    </row>
    <row r="16">
      <c r="A16" s="45"/>
      <c r="B16" s="59"/>
      <c r="C16" s="52"/>
      <c r="D16" s="70" t="s">
        <v>437</v>
      </c>
      <c r="E16" s="71">
        <v>0.0</v>
      </c>
      <c r="F16" s="71">
        <v>0.0</v>
      </c>
      <c r="G16" s="71">
        <v>-3.0</v>
      </c>
      <c r="H16" s="71">
        <v>-3.0</v>
      </c>
      <c r="I16" s="71">
        <v>0.0</v>
      </c>
      <c r="J16" s="71">
        <v>0.0</v>
      </c>
      <c r="K16" s="71">
        <v>0.0</v>
      </c>
      <c r="L16" s="71">
        <v>0.0</v>
      </c>
      <c r="M16" s="71">
        <v>0.0</v>
      </c>
      <c r="N16" s="71">
        <v>0.0</v>
      </c>
      <c r="O16" s="71">
        <v>0.0</v>
      </c>
      <c r="P16" s="71">
        <v>0.0</v>
      </c>
      <c r="Q16" s="71">
        <v>-3.0</v>
      </c>
      <c r="R16" s="67"/>
    </row>
    <row r="17">
      <c r="A17" s="45"/>
      <c r="B17" s="61" t="s">
        <v>438</v>
      </c>
      <c r="C17" s="54"/>
      <c r="D17" s="62" t="s">
        <v>435</v>
      </c>
      <c r="E17" s="63">
        <v>15.0</v>
      </c>
      <c r="F17" s="63">
        <v>15.0</v>
      </c>
      <c r="G17" s="63">
        <v>40.0</v>
      </c>
      <c r="H17" s="65">
        <v>70.0</v>
      </c>
      <c r="I17" s="64"/>
      <c r="J17" s="64"/>
      <c r="K17" s="64"/>
      <c r="L17" s="64"/>
      <c r="M17" s="64"/>
      <c r="N17" s="64"/>
      <c r="O17" s="65">
        <v>0.0</v>
      </c>
      <c r="P17" s="65">
        <v>0.0</v>
      </c>
      <c r="Q17" s="66">
        <v>70.0</v>
      </c>
      <c r="R17" s="67"/>
    </row>
    <row r="18">
      <c r="A18" s="68">
        <v>2.6188767E7</v>
      </c>
      <c r="B18" s="53"/>
      <c r="C18" s="54"/>
      <c r="D18" s="62" t="s">
        <v>436</v>
      </c>
      <c r="E18" s="63">
        <v>15.0</v>
      </c>
      <c r="F18" s="63">
        <v>15.0</v>
      </c>
      <c r="G18" s="63">
        <v>40.0</v>
      </c>
      <c r="H18" s="65">
        <v>64.0</v>
      </c>
      <c r="I18" s="64"/>
      <c r="J18" s="64"/>
      <c r="K18" s="64"/>
      <c r="L18" s="64"/>
      <c r="M18" s="64"/>
      <c r="N18" s="64"/>
      <c r="O18" s="65">
        <v>0.0</v>
      </c>
      <c r="P18" s="65">
        <v>0.0</v>
      </c>
      <c r="Q18" s="69">
        <v>64.0</v>
      </c>
      <c r="R18" s="67"/>
    </row>
    <row r="19">
      <c r="A19" s="45"/>
      <c r="B19" s="59"/>
      <c r="C19" s="52"/>
      <c r="D19" s="70" t="s">
        <v>437</v>
      </c>
      <c r="E19" s="71">
        <v>0.0</v>
      </c>
      <c r="F19" s="71">
        <v>0.0</v>
      </c>
      <c r="G19" s="71">
        <v>0.0</v>
      </c>
      <c r="H19" s="71">
        <v>6.0</v>
      </c>
      <c r="I19" s="71">
        <v>0.0</v>
      </c>
      <c r="J19" s="71">
        <v>0.0</v>
      </c>
      <c r="K19" s="71">
        <v>0.0</v>
      </c>
      <c r="L19" s="71">
        <v>0.0</v>
      </c>
      <c r="M19" s="71">
        <v>0.0</v>
      </c>
      <c r="N19" s="71">
        <v>0.0</v>
      </c>
      <c r="O19" s="71">
        <v>0.0</v>
      </c>
      <c r="P19" s="71">
        <v>0.0</v>
      </c>
      <c r="Q19" s="71">
        <v>6.0</v>
      </c>
      <c r="R19" s="67"/>
    </row>
    <row r="20">
      <c r="A20" s="45"/>
      <c r="B20" s="45"/>
      <c r="C20" s="45"/>
      <c r="D20" s="45"/>
      <c r="E20" s="45"/>
      <c r="F20" s="45"/>
      <c r="G20" s="45"/>
      <c r="H20" s="45"/>
      <c r="I20" s="46"/>
      <c r="J20" s="46"/>
      <c r="K20" s="46"/>
      <c r="L20" s="46"/>
      <c r="M20" s="46"/>
      <c r="N20" s="46"/>
      <c r="O20" s="46"/>
      <c r="P20" s="46"/>
      <c r="Q20" s="46"/>
      <c r="R20" s="46"/>
    </row>
    <row r="21">
      <c r="A21" s="45"/>
      <c r="B21" s="45"/>
      <c r="C21" s="45"/>
      <c r="D21" s="45"/>
      <c r="E21" s="45"/>
      <c r="F21" s="45"/>
      <c r="G21" s="45"/>
      <c r="H21" s="45"/>
      <c r="I21" s="46"/>
      <c r="J21" s="46"/>
      <c r="K21" s="46"/>
      <c r="L21" s="46"/>
      <c r="M21" s="46"/>
      <c r="N21" s="46"/>
      <c r="O21" s="46"/>
      <c r="P21" s="46"/>
      <c r="Q21" s="46"/>
      <c r="R21" s="46"/>
    </row>
    <row r="22">
      <c r="A22" s="45"/>
      <c r="B22" s="45"/>
      <c r="C22" s="45"/>
      <c r="D22" s="45"/>
      <c r="E22" s="45"/>
      <c r="F22" s="45"/>
      <c r="G22" s="45"/>
      <c r="H22" s="45"/>
      <c r="I22" s="46"/>
      <c r="J22" s="46"/>
      <c r="K22" s="46"/>
      <c r="L22" s="46"/>
      <c r="M22" s="46"/>
      <c r="N22" s="46"/>
      <c r="O22" s="46"/>
      <c r="P22" s="46"/>
      <c r="Q22" s="46"/>
      <c r="R22" s="46"/>
    </row>
    <row r="23">
      <c r="A23" s="72"/>
      <c r="B23" s="73" t="s">
        <v>411</v>
      </c>
      <c r="C23" s="74" t="s">
        <v>7</v>
      </c>
      <c r="D23" s="74" t="s">
        <v>412</v>
      </c>
      <c r="E23" s="74" t="s">
        <v>413</v>
      </c>
      <c r="F23" s="74" t="s">
        <v>11</v>
      </c>
      <c r="G23" s="75" t="s">
        <v>414</v>
      </c>
      <c r="H23" s="76" t="s">
        <v>415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</row>
    <row r="24">
      <c r="A24" s="77"/>
      <c r="B24" s="78" t="str">
        <f>IFERROR(__xludf.DUMMYFUNCTION("QUERY(dados_02!$A$2:$H$675, ""SELECT Col1, Col2, Col3, Col4, Col5, Col6, Col7  where Col8 = 'REGIONAL 1' "")"),"02/02/2026 15:26:58")</f>
        <v>02/02/2026 15:26:58</v>
      </c>
      <c r="C24" s="79" t="str">
        <f>IFERROR(__xludf.DUMMYFUNCTION("""COMPUTED_VALUE"""),"1")</f>
        <v>1</v>
      </c>
      <c r="D24" s="80" t="str">
        <f>IFERROR(__xludf.DUMMYFUNCTION("""COMPUTED_VALUE"""),"D. L. D. A")</f>
        <v>D. L. D. A</v>
      </c>
      <c r="E24" s="81" t="str">
        <f>IFERROR(__xludf.DUMMYFUNCTION("""COMPUTED_VALUE"""),"14/05/2022")</f>
        <v>14/05/2022</v>
      </c>
      <c r="F24" s="80" t="str">
        <f>IFERROR(__xludf.DUMMYFUNCTION("""COMPUTED_VALUE"""),"181******32")</f>
        <v>181******32</v>
      </c>
      <c r="G24" s="80" t="str">
        <f>IFERROR(__xludf.DUMMYFUNCTION("""COMPUTED_VALUE"""),"INFANTIL 3")</f>
        <v>INFANTIL 3</v>
      </c>
      <c r="H24" s="80" t="str">
        <f>IFERROR(__xludf.DUMMYFUNCTION("""COMPUTED_VALUE"""),"CEMEI SANTO AMARO")</f>
        <v>CEMEI SANTO AMARO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>
      <c r="A25" s="77"/>
      <c r="B25" s="78" t="str">
        <f>IFERROR(__xludf.DUMMYFUNCTION("""COMPUTED_VALUE"""),"10/02/2026 08:09:45")</f>
        <v>10/02/2026 08:09:45</v>
      </c>
      <c r="C25" s="79" t="str">
        <f>IFERROR(__xludf.DUMMYFUNCTION("""COMPUTED_VALUE"""),"2")</f>
        <v>2</v>
      </c>
      <c r="D25" s="80" t="str">
        <f>IFERROR(__xludf.DUMMYFUNCTION("""COMPUTED_VALUE"""),"E. S. F. D. S")</f>
        <v>E. S. F. D. S</v>
      </c>
      <c r="E25" s="81" t="str">
        <f>IFERROR(__xludf.DUMMYFUNCTION("""COMPUTED_VALUE"""),"16/05/2022")</f>
        <v>16/05/2022</v>
      </c>
      <c r="F25" s="80" t="str">
        <f>IFERROR(__xludf.DUMMYFUNCTION("""COMPUTED_VALUE"""),"181******13")</f>
        <v>181******13</v>
      </c>
      <c r="G25" s="80" t="str">
        <f>IFERROR(__xludf.DUMMYFUNCTION("""COMPUTED_VALUE"""),"INFANTIL 3")</f>
        <v>INFANTIL 3</v>
      </c>
      <c r="H25" s="80" t="str">
        <f>IFERROR(__xludf.DUMMYFUNCTION("""COMPUTED_VALUE"""),"CEMEI SANTO AMARO")</f>
        <v>CEMEI SANTO AMARO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</row>
    <row r="26">
      <c r="A26" s="77"/>
      <c r="B26" s="78" t="str">
        <f>IFERROR(__xludf.DUMMYFUNCTION("""COMPUTED_VALUE"""),"24/02/2026 18:34:28")</f>
        <v>24/02/2026 18:34:28</v>
      </c>
      <c r="C26" s="79" t="str">
        <f>IFERROR(__xludf.DUMMYFUNCTION("""COMPUTED_VALUE"""),"3")</f>
        <v>3</v>
      </c>
      <c r="D26" s="80" t="str">
        <f>IFERROR(__xludf.DUMMYFUNCTION("""COMPUTED_VALUE"""),"T. F. L. D. S")</f>
        <v>T. F. L. D. S</v>
      </c>
      <c r="E26" s="81" t="str">
        <f>IFERROR(__xludf.DUMMYFUNCTION("""COMPUTED_VALUE"""),"12/04/2022")</f>
        <v>12/04/2022</v>
      </c>
      <c r="F26" s="80" t="str">
        <f>IFERROR(__xludf.DUMMYFUNCTION("""COMPUTED_VALUE"""),"181******81")</f>
        <v>181******81</v>
      </c>
      <c r="G26" s="80" t="str">
        <f>IFERROR(__xludf.DUMMYFUNCTION("""COMPUTED_VALUE"""),"INFANTIL 3")</f>
        <v>INFANTIL 3</v>
      </c>
      <c r="H26" s="80" t="str">
        <f>IFERROR(__xludf.DUMMYFUNCTION("""COMPUTED_VALUE"""),"CEMEI SANTO AMARO")</f>
        <v>CEMEI SANTO AMARO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</row>
    <row r="27">
      <c r="A27" s="77"/>
      <c r="B27" s="78" t="str">
        <f>IFERROR(__xludf.DUMMYFUNCTION("""COMPUTED_VALUE"""),"28/01/2026 10:34:12")</f>
        <v>28/01/2026 10:34:12</v>
      </c>
      <c r="C27" s="79" t="str">
        <f>IFERROR(__xludf.DUMMYFUNCTION("""COMPUTED_VALUE"""),"1")</f>
        <v>1</v>
      </c>
      <c r="D27" s="80" t="str">
        <f>IFERROR(__xludf.DUMMYFUNCTION("""COMPUTED_VALUE"""),"S. L")</f>
        <v>S. L</v>
      </c>
      <c r="E27" s="81" t="str">
        <f>IFERROR(__xludf.DUMMYFUNCTION("""COMPUTED_VALUE"""),"30/08/2022")</f>
        <v>30/08/2022</v>
      </c>
      <c r="F27" s="80" t="str">
        <f>IFERROR(__xludf.DUMMYFUNCTION("""COMPUTED_VALUE"""),"183******56")</f>
        <v>183******56</v>
      </c>
      <c r="G27" s="80" t="str">
        <f>IFERROR(__xludf.DUMMYFUNCTION("""COMPUTED_VALUE"""),"INFANTIL 3")</f>
        <v>INFANTIL 3</v>
      </c>
      <c r="H27" s="80" t="str">
        <f>IFERROR(__xludf.DUMMYFUNCTION("""COMPUTED_VALUE"""),"CEMEI SANTO AMARO")</f>
        <v>CEMEI SANTO AMARO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</row>
    <row r="28">
      <c r="A28" s="77"/>
      <c r="B28" s="78" t="str">
        <f>IFERROR(__xludf.DUMMYFUNCTION("""COMPUTED_VALUE"""),"24/02/2026 13:10:10")</f>
        <v>24/02/2026 13:10:10</v>
      </c>
      <c r="C28" s="79" t="str">
        <f>IFERROR(__xludf.DUMMYFUNCTION("""COMPUTED_VALUE"""),"2")</f>
        <v>2</v>
      </c>
      <c r="D28" s="80" t="str">
        <f>IFERROR(__xludf.DUMMYFUNCTION("""COMPUTED_VALUE"""),"G. G. D. S. R")</f>
        <v>G. G. D. S. R</v>
      </c>
      <c r="E28" s="81" t="str">
        <f>IFERROR(__xludf.DUMMYFUNCTION("""COMPUTED_VALUE"""),"12/12/2022")</f>
        <v>12/12/2022</v>
      </c>
      <c r="F28" s="80" t="str">
        <f>IFERROR(__xludf.DUMMYFUNCTION("""COMPUTED_VALUE"""),"607******92")</f>
        <v>607******92</v>
      </c>
      <c r="G28" s="80" t="str">
        <f>IFERROR(__xludf.DUMMYFUNCTION("""COMPUTED_VALUE"""),"INFANTIL 3")</f>
        <v>INFANTIL 3</v>
      </c>
      <c r="H28" s="80" t="str">
        <f>IFERROR(__xludf.DUMMYFUNCTION("""COMPUTED_VALUE"""),"CEMEI SANTO AMARO")</f>
        <v>CEMEI SANTO AMARO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</row>
    <row r="29">
      <c r="A29" s="77"/>
      <c r="B29" s="78" t="str">
        <f>IFERROR(__xludf.DUMMYFUNCTION("""COMPUTED_VALUE"""),"13/05/2026 19:48:23")</f>
        <v>13/05/2026 19:48:23</v>
      </c>
      <c r="C29" s="79" t="str">
        <f>IFERROR(__xludf.DUMMYFUNCTION("""COMPUTED_VALUE"""),"3")</f>
        <v>3</v>
      </c>
      <c r="D29" s="80" t="str">
        <f>IFERROR(__xludf.DUMMYFUNCTION("""COMPUTED_VALUE"""),"H. V. S. R")</f>
        <v>H. V. S. R</v>
      </c>
      <c r="E29" s="81" t="str">
        <f>IFERROR(__xludf.DUMMYFUNCTION("""COMPUTED_VALUE"""),"09/06/2022")</f>
        <v>09/06/2022</v>
      </c>
      <c r="F29" s="80" t="str">
        <f>IFERROR(__xludf.DUMMYFUNCTION("""COMPUTED_VALUE"""),"181******04")</f>
        <v>181******04</v>
      </c>
      <c r="G29" s="80" t="str">
        <f>IFERROR(__xludf.DUMMYFUNCTION("""COMPUTED_VALUE"""),"INFANTIL 3")</f>
        <v>INFANTIL 3</v>
      </c>
      <c r="H29" s="80" t="str">
        <f>IFERROR(__xludf.DUMMYFUNCTION("""COMPUTED_VALUE"""),"CEMEI SANTO AMARO")</f>
        <v>CEMEI SANTO AMARO</v>
      </c>
      <c r="I29" s="77"/>
      <c r="J29" s="77"/>
      <c r="K29" s="77"/>
      <c r="L29" s="77"/>
      <c r="M29" s="77"/>
      <c r="N29" s="77"/>
      <c r="O29" s="77"/>
      <c r="P29" s="77"/>
      <c r="Q29" s="77"/>
      <c r="R29" s="77"/>
    </row>
    <row r="30">
      <c r="A30" s="77"/>
      <c r="B30" s="78" t="str">
        <f>IFERROR(__xludf.DUMMYFUNCTION("""COMPUTED_VALUE"""),"20/05/2026 10:33:36")</f>
        <v>20/05/2026 10:33:36</v>
      </c>
      <c r="C30" s="79" t="str">
        <f>IFERROR(__xludf.DUMMYFUNCTION("""COMPUTED_VALUE"""),"4")</f>
        <v>4</v>
      </c>
      <c r="D30" s="80" t="str">
        <f>IFERROR(__xludf.DUMMYFUNCTION("""COMPUTED_VALUE"""),"B. C. D. I. G")</f>
        <v>B. C. D. I. G</v>
      </c>
      <c r="E30" s="81" t="str">
        <f>IFERROR(__xludf.DUMMYFUNCTION("""COMPUTED_VALUE"""),"02/11/2022")</f>
        <v>02/11/2022</v>
      </c>
      <c r="F30" s="80" t="str">
        <f>IFERROR(__xludf.DUMMYFUNCTION("""COMPUTED_VALUE"""),"183******74")</f>
        <v>183******74</v>
      </c>
      <c r="G30" s="80" t="str">
        <f>IFERROR(__xludf.DUMMYFUNCTION("""COMPUTED_VALUE"""),"INFANTIL 3")</f>
        <v>INFANTIL 3</v>
      </c>
      <c r="H30" s="80" t="str">
        <f>IFERROR(__xludf.DUMMYFUNCTION("""COMPUTED_VALUE"""),"CEMEI SANTO AMARO")</f>
        <v>CEMEI SANTO AMARO</v>
      </c>
      <c r="I30" s="77"/>
      <c r="J30" s="77"/>
      <c r="K30" s="77"/>
      <c r="L30" s="77"/>
      <c r="M30" s="77"/>
      <c r="N30" s="77"/>
      <c r="O30" s="77"/>
      <c r="P30" s="77"/>
      <c r="Q30" s="77"/>
      <c r="R30" s="77"/>
    </row>
    <row r="31">
      <c r="A31" s="77"/>
      <c r="B31" s="78" t="str">
        <f>IFERROR(__xludf.DUMMYFUNCTION("""COMPUTED_VALUE"""),"25/05/2026 08:40:05")</f>
        <v>25/05/2026 08:40:05</v>
      </c>
      <c r="C31" s="79" t="str">
        <f>IFERROR(__xludf.DUMMYFUNCTION("""COMPUTED_VALUE"""),"5")</f>
        <v>5</v>
      </c>
      <c r="D31" s="80" t="str">
        <f>IFERROR(__xludf.DUMMYFUNCTION("""COMPUTED_VALUE"""),"E. M. d. M. p")</f>
        <v>E. M. d. M. p</v>
      </c>
      <c r="E31" s="81" t="str">
        <f>IFERROR(__xludf.DUMMYFUNCTION("""COMPUTED_VALUE"""),"25/02/2023")</f>
        <v>25/02/2023</v>
      </c>
      <c r="F31" s="80" t="str">
        <f>IFERROR(__xludf.DUMMYFUNCTION("""COMPUTED_VALUE"""),"184******28")</f>
        <v>184******28</v>
      </c>
      <c r="G31" s="80" t="str">
        <f>IFERROR(__xludf.DUMMYFUNCTION("""COMPUTED_VALUE"""),"INFANTIL 3")</f>
        <v>INFANTIL 3</v>
      </c>
      <c r="H31" s="80" t="str">
        <f>IFERROR(__xludf.DUMMYFUNCTION("""COMPUTED_VALUE"""),"CEMEI SANTO AMARO")</f>
        <v>CEMEI SANTO AMARO</v>
      </c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>
      <c r="A32" s="77"/>
      <c r="B32" s="78" t="str">
        <f>IFERROR(__xludf.DUMMYFUNCTION("""COMPUTED_VALUE"""),"10/06/2026 07:16:18")</f>
        <v>10/06/2026 07:16:18</v>
      </c>
      <c r="C32" s="79" t="str">
        <f>IFERROR(__xludf.DUMMYFUNCTION("""COMPUTED_VALUE"""),"6")</f>
        <v>6</v>
      </c>
      <c r="D32" s="80" t="str">
        <f>IFERROR(__xludf.DUMMYFUNCTION("""COMPUTED_VALUE"""),"A. F. B. R")</f>
        <v>A. F. B. R</v>
      </c>
      <c r="E32" s="81" t="str">
        <f>IFERROR(__xludf.DUMMYFUNCTION("""COMPUTED_VALUE"""),"17/02/2023")</f>
        <v>17/02/2023</v>
      </c>
      <c r="F32" s="80" t="str">
        <f>IFERROR(__xludf.DUMMYFUNCTION("""COMPUTED_VALUE"""),"184******12")</f>
        <v>184******12</v>
      </c>
      <c r="G32" s="80" t="str">
        <f>IFERROR(__xludf.DUMMYFUNCTION("""COMPUTED_VALUE"""),"INFANTIL 3")</f>
        <v>INFANTIL 3</v>
      </c>
      <c r="H32" s="80" t="str">
        <f>IFERROR(__xludf.DUMMYFUNCTION("""COMPUTED_VALUE"""),"CEMEI SANTO AMARO")</f>
        <v>CEMEI SANTO AMARO</v>
      </c>
      <c r="I32" s="77"/>
      <c r="J32" s="77"/>
      <c r="K32" s="77"/>
      <c r="L32" s="77"/>
      <c r="M32" s="77"/>
      <c r="N32" s="77"/>
      <c r="O32" s="77"/>
      <c r="P32" s="77"/>
      <c r="Q32" s="77"/>
      <c r="R32" s="77"/>
    </row>
    <row r="33">
      <c r="A33" s="77"/>
      <c r="B33" s="78" t="str">
        <f>IFERROR(__xludf.DUMMYFUNCTION("""COMPUTED_VALUE"""),"19/02/2026 09:00:23")</f>
        <v>19/02/2026 09:00:23</v>
      </c>
      <c r="C33" s="79" t="str">
        <f>IFERROR(__xludf.DUMMYFUNCTION("""COMPUTED_VALUE"""),"1")</f>
        <v>1</v>
      </c>
      <c r="D33" s="80" t="str">
        <f>IFERROR(__xludf.DUMMYFUNCTION("""COMPUTED_VALUE"""),"R. L. D. S. S")</f>
        <v>R. L. D. S. S</v>
      </c>
      <c r="E33" s="82" t="str">
        <f>IFERROR(__xludf.DUMMYFUNCTION("""COMPUTED_VALUE"""),"12/05/2025")</f>
        <v>12/05/2025</v>
      </c>
      <c r="F33" s="80" t="str">
        <f>IFERROR(__xludf.DUMMYFUNCTION("""COMPUTED_VALUE"""),"006******35")</f>
        <v>006******35</v>
      </c>
      <c r="G33" s="80" t="str">
        <f>IFERROR(__xludf.DUMMYFUNCTION("""COMPUTED_VALUE"""),"INFANTIL 1")</f>
        <v>INFANTIL 1</v>
      </c>
      <c r="H33" s="80" t="str">
        <f>IFERROR(__xludf.DUMMYFUNCTION("""COMPUTED_VALUE"""),"CRECHE CIRANDA CIRANDINHA")</f>
        <v>CRECHE CIRANDA CIRANDINHA</v>
      </c>
      <c r="I33" s="77"/>
      <c r="J33" s="77"/>
      <c r="K33" s="77"/>
      <c r="L33" s="77"/>
      <c r="M33" s="77"/>
      <c r="N33" s="77"/>
      <c r="O33" s="77"/>
      <c r="P33" s="77"/>
      <c r="Q33" s="77"/>
      <c r="R33" s="77"/>
    </row>
    <row r="34">
      <c r="A34" s="77"/>
      <c r="B34" s="78" t="str">
        <f>IFERROR(__xludf.DUMMYFUNCTION("""COMPUTED_VALUE"""),"14/03/2026 10:04:37")</f>
        <v>14/03/2026 10:04:37</v>
      </c>
      <c r="C34" s="79" t="str">
        <f>IFERROR(__xludf.DUMMYFUNCTION("""COMPUTED_VALUE"""),"2")</f>
        <v>2</v>
      </c>
      <c r="D34" s="80" t="str">
        <f>IFERROR(__xludf.DUMMYFUNCTION("""COMPUTED_VALUE"""),"B. C")</f>
        <v>B. C</v>
      </c>
      <c r="E34" s="81" t="str">
        <f>IFERROR(__xludf.DUMMYFUNCTION("""COMPUTED_VALUE"""),"27/06/2024")</f>
        <v>27/06/2024</v>
      </c>
      <c r="F34" s="80" t="str">
        <f>IFERROR(__xludf.DUMMYFUNCTION("""COMPUTED_VALUE"""),"003******01")</f>
        <v>003******01</v>
      </c>
      <c r="G34" s="80" t="str">
        <f>IFERROR(__xludf.DUMMYFUNCTION("""COMPUTED_VALUE"""),"INFANTIL 1")</f>
        <v>INFANTIL 1</v>
      </c>
      <c r="H34" s="80" t="str">
        <f>IFERROR(__xludf.DUMMYFUNCTION("""COMPUTED_VALUE"""),"CRECHE CIRANDA CIRANDINHA")</f>
        <v>CRECHE CIRANDA CIRANDINHA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</row>
    <row r="35">
      <c r="A35" s="77"/>
      <c r="B35" s="78" t="str">
        <f>IFERROR(__xludf.DUMMYFUNCTION("""COMPUTED_VALUE"""),"30/03/2026 09:26:32")</f>
        <v>30/03/2026 09:26:32</v>
      </c>
      <c r="C35" s="79" t="str">
        <f>IFERROR(__xludf.DUMMYFUNCTION("""COMPUTED_VALUE"""),"3")</f>
        <v>3</v>
      </c>
      <c r="D35" s="80" t="str">
        <f>IFERROR(__xludf.DUMMYFUNCTION("""COMPUTED_VALUE"""),"B. M. D. S. A")</f>
        <v>B. M. D. S. A</v>
      </c>
      <c r="E35" s="81" t="str">
        <f>IFERROR(__xludf.DUMMYFUNCTION("""COMPUTED_VALUE"""),"03/04/2024")</f>
        <v>03/04/2024</v>
      </c>
      <c r="F35" s="80" t="str">
        <f>IFERROR(__xludf.DUMMYFUNCTION("""COMPUTED_VALUE"""),"002******88")</f>
        <v>002******88</v>
      </c>
      <c r="G35" s="80" t="str">
        <f>IFERROR(__xludf.DUMMYFUNCTION("""COMPUTED_VALUE"""),"INFANTIL 1")</f>
        <v>INFANTIL 1</v>
      </c>
      <c r="H35" s="80" t="str">
        <f>IFERROR(__xludf.DUMMYFUNCTION("""COMPUTED_VALUE"""),"CRECHE CIRANDA CIRANDINHA")</f>
        <v>CRECHE CIRANDA CIRANDINHA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</row>
    <row r="36">
      <c r="A36" s="77"/>
      <c r="B36" s="78" t="str">
        <f>IFERROR(__xludf.DUMMYFUNCTION("""COMPUTED_VALUE"""),"30/03/2026 09:26:32")</f>
        <v>30/03/2026 09:26:32</v>
      </c>
      <c r="C36" s="79" t="str">
        <f>IFERROR(__xludf.DUMMYFUNCTION("""COMPUTED_VALUE"""),"4")</f>
        <v>4</v>
      </c>
      <c r="D36" s="80" t="str">
        <f>IFERROR(__xludf.DUMMYFUNCTION("""COMPUTED_VALUE"""),"B. J. D. S. A")</f>
        <v>B. J. D. S. A</v>
      </c>
      <c r="E36" s="81" t="str">
        <f>IFERROR(__xludf.DUMMYFUNCTION("""COMPUTED_VALUE"""),"03/04/2024")</f>
        <v>03/04/2024</v>
      </c>
      <c r="F36" s="80" t="str">
        <f>IFERROR(__xludf.DUMMYFUNCTION("""COMPUTED_VALUE"""),"002******32")</f>
        <v>002******32</v>
      </c>
      <c r="G36" s="80" t="str">
        <f>IFERROR(__xludf.DUMMYFUNCTION("""COMPUTED_VALUE"""),"INFANTIL 1")</f>
        <v>INFANTIL 1</v>
      </c>
      <c r="H36" s="80" t="str">
        <f>IFERROR(__xludf.DUMMYFUNCTION("""COMPUTED_VALUE"""),"CRECHE CIRANDA CIRANDINHA")</f>
        <v>CRECHE CIRANDA CIRANDINHA</v>
      </c>
      <c r="I36" s="77"/>
      <c r="J36" s="77"/>
      <c r="K36" s="77"/>
      <c r="L36" s="77"/>
      <c r="M36" s="77"/>
      <c r="N36" s="77"/>
      <c r="O36" s="77"/>
      <c r="P36" s="77"/>
      <c r="Q36" s="77"/>
      <c r="R36" s="77"/>
    </row>
    <row r="37">
      <c r="A37" s="77"/>
      <c r="B37" s="78" t="str">
        <f>IFERROR(__xludf.DUMMYFUNCTION("""COMPUTED_VALUE"""),"29/04/2026 14:37:28")</f>
        <v>29/04/2026 14:37:28</v>
      </c>
      <c r="C37" s="79" t="str">
        <f>IFERROR(__xludf.DUMMYFUNCTION("""COMPUTED_VALUE"""),"5")</f>
        <v>5</v>
      </c>
      <c r="D37" s="80" t="str">
        <f>IFERROR(__xludf.DUMMYFUNCTION("""COMPUTED_VALUE"""),"K. R. B. D. B")</f>
        <v>K. R. B. D. B</v>
      </c>
      <c r="E37" s="81" t="str">
        <f>IFERROR(__xludf.DUMMYFUNCTION("""COMPUTED_VALUE"""),"14/01/2025")</f>
        <v>14/01/2025</v>
      </c>
      <c r="F37" s="80" t="str">
        <f>IFERROR(__xludf.DUMMYFUNCTION("""COMPUTED_VALUE"""),"006******40")</f>
        <v>006******40</v>
      </c>
      <c r="G37" s="80" t="str">
        <f>IFERROR(__xludf.DUMMYFUNCTION("""COMPUTED_VALUE"""),"INFANTIL 1")</f>
        <v>INFANTIL 1</v>
      </c>
      <c r="H37" s="80" t="str">
        <f>IFERROR(__xludf.DUMMYFUNCTION("""COMPUTED_VALUE"""),"CRECHE CIRANDA CIRANDINHA")</f>
        <v>CRECHE CIRANDA CIRANDINHA</v>
      </c>
      <c r="I37" s="77"/>
      <c r="J37" s="77"/>
      <c r="K37" s="77"/>
      <c r="L37" s="77"/>
      <c r="M37" s="77"/>
      <c r="N37" s="77"/>
      <c r="O37" s="77"/>
      <c r="P37" s="77"/>
      <c r="Q37" s="77"/>
      <c r="R37" s="77"/>
    </row>
    <row r="38">
      <c r="A38" s="77"/>
      <c r="B38" s="78" t="str">
        <f>IFERROR(__xludf.DUMMYFUNCTION("""COMPUTED_VALUE"""),"28/05/2026 16:17:10")</f>
        <v>28/05/2026 16:17:10</v>
      </c>
      <c r="C38" s="79" t="str">
        <f>IFERROR(__xludf.DUMMYFUNCTION("""COMPUTED_VALUE"""),"6")</f>
        <v>6</v>
      </c>
      <c r="D38" s="80" t="str">
        <f>IFERROR(__xludf.DUMMYFUNCTION("""COMPUTED_VALUE"""),"H. C. R. G")</f>
        <v>H. C. R. G</v>
      </c>
      <c r="E38" s="81" t="str">
        <f>IFERROR(__xludf.DUMMYFUNCTION("""COMPUTED_VALUE"""),"02/12/2024")</f>
        <v>02/12/2024</v>
      </c>
      <c r="F38" s="80" t="str">
        <f>IFERROR(__xludf.DUMMYFUNCTION("""COMPUTED_VALUE"""),"004******08")</f>
        <v>004******08</v>
      </c>
      <c r="G38" s="80" t="str">
        <f>IFERROR(__xludf.DUMMYFUNCTION("""COMPUTED_VALUE"""),"INFANTIL 1")</f>
        <v>INFANTIL 1</v>
      </c>
      <c r="H38" s="80" t="str">
        <f>IFERROR(__xludf.DUMMYFUNCTION("""COMPUTED_VALUE"""),"CRECHE CIRANDA CIRANDINHA")</f>
        <v>CRECHE CIRANDA CIRANDINHA</v>
      </c>
      <c r="I38" s="77"/>
      <c r="J38" s="77"/>
      <c r="K38" s="77"/>
      <c r="L38" s="77"/>
      <c r="M38" s="77"/>
      <c r="N38" s="77"/>
      <c r="O38" s="77"/>
      <c r="P38" s="77"/>
      <c r="Q38" s="77"/>
      <c r="R38" s="77"/>
    </row>
    <row r="39">
      <c r="A39" s="77"/>
      <c r="B39" s="78" t="str">
        <f>IFERROR(__xludf.DUMMYFUNCTION("""COMPUTED_VALUE"""),"01/06/2026 12:23:26")</f>
        <v>01/06/2026 12:23:26</v>
      </c>
      <c r="C39" s="79" t="str">
        <f>IFERROR(__xludf.DUMMYFUNCTION("""COMPUTED_VALUE"""),"7")</f>
        <v>7</v>
      </c>
      <c r="D39" s="80" t="str">
        <f>IFERROR(__xludf.DUMMYFUNCTION("""COMPUTED_VALUE"""),"A. B. F. R")</f>
        <v>A. B. F. R</v>
      </c>
      <c r="E39" s="81" t="str">
        <f>IFERROR(__xludf.DUMMYFUNCTION("""COMPUTED_VALUE"""),"27/06/2025")</f>
        <v>27/06/2025</v>
      </c>
      <c r="F39" s="80" t="str">
        <f>IFERROR(__xludf.DUMMYFUNCTION("""COMPUTED_VALUE"""),"006******01")</f>
        <v>006******01</v>
      </c>
      <c r="G39" s="80" t="str">
        <f>IFERROR(__xludf.DUMMYFUNCTION("""COMPUTED_VALUE"""),"INFANTIL 1")</f>
        <v>INFANTIL 1</v>
      </c>
      <c r="H39" s="80" t="str">
        <f>IFERROR(__xludf.DUMMYFUNCTION("""COMPUTED_VALUE"""),"CRECHE CIRANDA CIRANDINHA")</f>
        <v>CRECHE CIRANDA CIRANDINHA</v>
      </c>
      <c r="I39" s="77"/>
      <c r="J39" s="77"/>
      <c r="K39" s="77"/>
      <c r="L39" s="77"/>
      <c r="M39" s="77"/>
      <c r="N39" s="77"/>
      <c r="O39" s="77"/>
      <c r="P39" s="77"/>
      <c r="Q39" s="77"/>
      <c r="R39" s="77"/>
    </row>
    <row r="40">
      <c r="A40" s="77"/>
      <c r="B40" s="78" t="str">
        <f>IFERROR(__xludf.DUMMYFUNCTION("""COMPUTED_VALUE"""),"19/06/2026 10:54:15")</f>
        <v>19/06/2026 10:54:15</v>
      </c>
      <c r="C40" s="79" t="str">
        <f>IFERROR(__xludf.DUMMYFUNCTION("""COMPUTED_VALUE"""),"8")</f>
        <v>8</v>
      </c>
      <c r="D40" s="80" t="str">
        <f>IFERROR(__xludf.DUMMYFUNCTION("""COMPUTED_VALUE"""),"M. L. c. f")</f>
        <v>M. L. c. f</v>
      </c>
      <c r="E40" s="81" t="str">
        <f>IFERROR(__xludf.DUMMYFUNCTION("""COMPUTED_VALUE"""),"28/07/2025")</f>
        <v>28/07/2025</v>
      </c>
      <c r="F40" s="80" t="str">
        <f>IFERROR(__xludf.DUMMYFUNCTION("""COMPUTED_VALUE"""),"007******42")</f>
        <v>007******42</v>
      </c>
      <c r="G40" s="80" t="str">
        <f>IFERROR(__xludf.DUMMYFUNCTION("""COMPUTED_VALUE"""),"INFANTIL 1")</f>
        <v>INFANTIL 1</v>
      </c>
      <c r="H40" s="80" t="str">
        <f>IFERROR(__xludf.DUMMYFUNCTION("""COMPUTED_VALUE"""),"CRECHE CIRANDA CIRANDINHA")</f>
        <v>CRECHE CIRANDA CIRANDINHA</v>
      </c>
      <c r="I40" s="77"/>
      <c r="J40" s="77"/>
      <c r="K40" s="77"/>
      <c r="L40" s="77"/>
      <c r="M40" s="77"/>
      <c r="N40" s="77"/>
      <c r="O40" s="77"/>
      <c r="P40" s="77"/>
      <c r="Q40" s="77"/>
      <c r="R40" s="77"/>
    </row>
    <row r="41">
      <c r="A41" s="77"/>
      <c r="B41" s="78" t="str">
        <f>IFERROR(__xludf.DUMMYFUNCTION("""COMPUTED_VALUE"""),"02/02/2026 14:50:25")</f>
        <v>02/02/2026 14:50:25</v>
      </c>
      <c r="C41" s="79" t="str">
        <f>IFERROR(__xludf.DUMMYFUNCTION("""COMPUTED_VALUE"""),"1")</f>
        <v>1</v>
      </c>
      <c r="D41" s="80" t="str">
        <f>IFERROR(__xludf.DUMMYFUNCTION("""COMPUTED_VALUE"""),"A. T. A. M. D. M")</f>
        <v>A. T. A. M. D. M</v>
      </c>
      <c r="E41" s="81" t="str">
        <f>IFERROR(__xludf.DUMMYFUNCTION("""COMPUTED_VALUE"""),"04/10/2023")</f>
        <v>04/10/2023</v>
      </c>
      <c r="F41" s="80" t="str">
        <f>IFERROR(__xludf.DUMMYFUNCTION("""COMPUTED_VALUE"""),"000******96")</f>
        <v>000******96</v>
      </c>
      <c r="G41" s="80" t="str">
        <f>IFERROR(__xludf.DUMMYFUNCTION("""COMPUTED_VALUE"""),"INFANTIL 2")</f>
        <v>INFANTIL 2</v>
      </c>
      <c r="H41" s="80" t="str">
        <f>IFERROR(__xludf.DUMMYFUNCTION("""COMPUTED_VALUE"""),"CRECHE CIRANDA CIRANDINHA")</f>
        <v>CRECHE CIRANDA CIRANDINHA</v>
      </c>
      <c r="I41" s="77"/>
      <c r="J41" s="77"/>
      <c r="K41" s="77"/>
      <c r="L41" s="77"/>
      <c r="M41" s="77"/>
      <c r="N41" s="77"/>
      <c r="O41" s="77"/>
      <c r="P41" s="77"/>
      <c r="Q41" s="77"/>
      <c r="R41" s="77"/>
    </row>
    <row r="42">
      <c r="A42" s="77"/>
      <c r="B42" s="77" t="str">
        <f>IFERROR(__xludf.DUMMYFUNCTION("""COMPUTED_VALUE"""),"09/02/2026 08:21:00")</f>
        <v>09/02/2026 08:21:00</v>
      </c>
      <c r="C42" s="83" t="str">
        <f>IFERROR(__xludf.DUMMYFUNCTION("""COMPUTED_VALUE"""),"2")</f>
        <v>2</v>
      </c>
      <c r="D42" s="77" t="str">
        <f>IFERROR(__xludf.DUMMYFUNCTION("""COMPUTED_VALUE"""),"E. V. G. V")</f>
        <v>E. V. G. V</v>
      </c>
      <c r="E42" s="77" t="str">
        <f>IFERROR(__xludf.DUMMYFUNCTION("""COMPUTED_VALUE"""),"15/07/2023")</f>
        <v>15/07/2023</v>
      </c>
      <c r="F42" s="77" t="str">
        <f>IFERROR(__xludf.DUMMYFUNCTION("""COMPUTED_VALUE"""),"186******70")</f>
        <v>186******70</v>
      </c>
      <c r="G42" s="77" t="str">
        <f>IFERROR(__xludf.DUMMYFUNCTION("""COMPUTED_VALUE"""),"INFANTIL 2")</f>
        <v>INFANTIL 2</v>
      </c>
      <c r="H42" s="77" t="str">
        <f>IFERROR(__xludf.DUMMYFUNCTION("""COMPUTED_VALUE"""),"CRECHE CIRANDA CIRANDINHA")</f>
        <v>CRECHE CIRANDA CIRANDINHA</v>
      </c>
      <c r="I42" s="77"/>
      <c r="J42" s="77"/>
      <c r="K42" s="77"/>
      <c r="L42" s="77"/>
      <c r="M42" s="77"/>
      <c r="N42" s="77"/>
      <c r="O42" s="77"/>
      <c r="P42" s="77"/>
      <c r="Q42" s="77"/>
      <c r="R42" s="77"/>
    </row>
    <row r="43">
      <c r="A43" s="77"/>
      <c r="B43" s="77" t="str">
        <f>IFERROR(__xludf.DUMMYFUNCTION("""COMPUTED_VALUE"""),"15/05/2026 16:29:07")</f>
        <v>15/05/2026 16:29:07</v>
      </c>
      <c r="C43" s="83" t="str">
        <f>IFERROR(__xludf.DUMMYFUNCTION("""COMPUTED_VALUE"""),"3")</f>
        <v>3</v>
      </c>
      <c r="D43" s="77" t="str">
        <f>IFERROR(__xludf.DUMMYFUNCTION("""COMPUTED_VALUE"""),"A. M. L. D. S")</f>
        <v>A. M. L. D. S</v>
      </c>
      <c r="E43" s="77" t="str">
        <f>IFERROR(__xludf.DUMMYFUNCTION("""COMPUTED_VALUE"""),"18/02/2024")</f>
        <v>18/02/2024</v>
      </c>
      <c r="F43" s="77" t="str">
        <f>IFERROR(__xludf.DUMMYFUNCTION("""COMPUTED_VALUE"""),"002******01")</f>
        <v>002******01</v>
      </c>
      <c r="G43" s="77" t="str">
        <f>IFERROR(__xludf.DUMMYFUNCTION("""COMPUTED_VALUE"""),"INFANTIL 2")</f>
        <v>INFANTIL 2</v>
      </c>
      <c r="H43" s="77" t="str">
        <f>IFERROR(__xludf.DUMMYFUNCTION("""COMPUTED_VALUE"""),"CRECHE CIRANDA CIRANDINHA")</f>
        <v>CRECHE CIRANDA CIRANDINHA</v>
      </c>
      <c r="I43" s="77"/>
      <c r="J43" s="77"/>
      <c r="K43" s="77"/>
      <c r="L43" s="77"/>
      <c r="M43" s="77"/>
      <c r="N43" s="77"/>
      <c r="O43" s="77"/>
      <c r="P43" s="77"/>
      <c r="Q43" s="77"/>
      <c r="R43" s="77"/>
    </row>
    <row r="44">
      <c r="A44" s="77"/>
      <c r="B44" s="77" t="str">
        <f>IFERROR(__xludf.DUMMYFUNCTION("""COMPUTED_VALUE"""),"26/05/2026 14:30:52")</f>
        <v>26/05/2026 14:30:52</v>
      </c>
      <c r="C44" s="83" t="str">
        <f>IFERROR(__xludf.DUMMYFUNCTION("""COMPUTED_VALUE"""),"4")</f>
        <v>4</v>
      </c>
      <c r="D44" s="77" t="str">
        <f>IFERROR(__xludf.DUMMYFUNCTION("""COMPUTED_VALUE"""),"R. V. R. D. N")</f>
        <v>R. V. R. D. N</v>
      </c>
      <c r="E44" s="77" t="str">
        <f>IFERROR(__xludf.DUMMYFUNCTION("""COMPUTED_VALUE"""),"20/05/2023")</f>
        <v>20/05/2023</v>
      </c>
      <c r="F44" s="77" t="str">
        <f>IFERROR(__xludf.DUMMYFUNCTION("""COMPUTED_VALUE"""),"000******78")</f>
        <v>000******78</v>
      </c>
      <c r="G44" s="77" t="str">
        <f>IFERROR(__xludf.DUMMYFUNCTION("""COMPUTED_VALUE"""),"INFANTIL 2")</f>
        <v>INFANTIL 2</v>
      </c>
      <c r="H44" s="77" t="str">
        <f>IFERROR(__xludf.DUMMYFUNCTION("""COMPUTED_VALUE"""),"CRECHE CIRANDA CIRANDINHA")</f>
        <v>CRECHE CIRANDA CIRANDINHA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</row>
    <row r="45">
      <c r="A45" s="77"/>
      <c r="B45" s="77" t="str">
        <f>IFERROR(__xludf.DUMMYFUNCTION("""COMPUTED_VALUE"""),"28/01/2026 08:23:25")</f>
        <v>28/01/2026 08:23:25</v>
      </c>
      <c r="C45" s="83" t="str">
        <f>IFERROR(__xludf.DUMMYFUNCTION("""COMPUTED_VALUE"""),"1")</f>
        <v>1</v>
      </c>
      <c r="D45" s="77" t="str">
        <f>IFERROR(__xludf.DUMMYFUNCTION("""COMPUTED_VALUE"""),"L. M. D. S. N")</f>
        <v>L. M. D. S. N</v>
      </c>
      <c r="E45" s="77" t="str">
        <f>IFERROR(__xludf.DUMMYFUNCTION("""COMPUTED_VALUE"""),"18/02/2023")</f>
        <v>18/02/2023</v>
      </c>
      <c r="F45" s="77" t="str">
        <f>IFERROR(__xludf.DUMMYFUNCTION("""COMPUTED_VALUE"""),"184******96")</f>
        <v>184******96</v>
      </c>
      <c r="G45" s="77" t="str">
        <f>IFERROR(__xludf.DUMMYFUNCTION("""COMPUTED_VALUE"""),"INFANTIL 3")</f>
        <v>INFANTIL 3</v>
      </c>
      <c r="H45" s="77" t="str">
        <f>IFERROR(__xludf.DUMMYFUNCTION("""COMPUTED_VALUE"""),"CRECHE CIRANDA CIRANDINHA")</f>
        <v>CRECHE CIRANDA CIRANDINHA</v>
      </c>
      <c r="I45" s="77"/>
      <c r="J45" s="77"/>
      <c r="K45" s="77"/>
      <c r="L45" s="77"/>
      <c r="M45" s="77"/>
      <c r="N45" s="77"/>
      <c r="O45" s="77"/>
      <c r="P45" s="77"/>
      <c r="Q45" s="77"/>
      <c r="R45" s="77"/>
    </row>
    <row r="46">
      <c r="A46" s="77"/>
      <c r="B46" s="77" t="str">
        <f>IFERROR(__xludf.DUMMYFUNCTION("""COMPUTED_VALUE"""),"30/01/2026 09:24:54")</f>
        <v>30/01/2026 09:24:54</v>
      </c>
      <c r="C46" s="83" t="str">
        <f>IFERROR(__xludf.DUMMYFUNCTION("""COMPUTED_VALUE"""),"2")</f>
        <v>2</v>
      </c>
      <c r="D46" s="77" t="str">
        <f>IFERROR(__xludf.DUMMYFUNCTION("""COMPUTED_VALUE"""),"K. V. M. D. S")</f>
        <v>K. V. M. D. S</v>
      </c>
      <c r="E46" s="77" t="str">
        <f>IFERROR(__xludf.DUMMYFUNCTION("""COMPUTED_VALUE"""),"27/06/2022")</f>
        <v>27/06/2022</v>
      </c>
      <c r="F46" s="77" t="str">
        <f>IFERROR(__xludf.DUMMYFUNCTION("""COMPUTED_VALUE"""),"182******26")</f>
        <v>182******26</v>
      </c>
      <c r="G46" s="77" t="str">
        <f>IFERROR(__xludf.DUMMYFUNCTION("""COMPUTED_VALUE"""),"INFANTIL 3")</f>
        <v>INFANTIL 3</v>
      </c>
      <c r="H46" s="77" t="str">
        <f>IFERROR(__xludf.DUMMYFUNCTION("""COMPUTED_VALUE"""),"CRECHE CIRANDA CIRANDINHA")</f>
        <v>CRECHE CIRANDA CIRANDINHA</v>
      </c>
      <c r="I46" s="77"/>
      <c r="J46" s="77"/>
      <c r="K46" s="77"/>
      <c r="L46" s="77"/>
      <c r="M46" s="77"/>
      <c r="N46" s="77"/>
      <c r="O46" s="77"/>
      <c r="P46" s="77"/>
      <c r="Q46" s="77"/>
      <c r="R46" s="77"/>
    </row>
    <row r="47">
      <c r="A47" s="77"/>
      <c r="B47" s="77" t="str">
        <f>IFERROR(__xludf.DUMMYFUNCTION("""COMPUTED_VALUE"""),"02/02/2026 11:47:44")</f>
        <v>02/02/2026 11:47:44</v>
      </c>
      <c r="C47" s="83" t="str">
        <f>IFERROR(__xludf.DUMMYFUNCTION("""COMPUTED_VALUE"""),"3")</f>
        <v>3</v>
      </c>
      <c r="D47" s="77" t="str">
        <f>IFERROR(__xludf.DUMMYFUNCTION("""COMPUTED_VALUE"""),"C. H. A. F")</f>
        <v>C. H. A. F</v>
      </c>
      <c r="E47" s="77" t="str">
        <f>IFERROR(__xludf.DUMMYFUNCTION("""COMPUTED_VALUE"""),"29/01/2023")</f>
        <v>29/01/2023</v>
      </c>
      <c r="F47" s="77" t="str">
        <f>IFERROR(__xludf.DUMMYFUNCTION("""COMPUTED_VALUE"""),"185******90")</f>
        <v>185******90</v>
      </c>
      <c r="G47" s="77" t="str">
        <f>IFERROR(__xludf.DUMMYFUNCTION("""COMPUTED_VALUE"""),"INFANTIL 3")</f>
        <v>INFANTIL 3</v>
      </c>
      <c r="H47" s="77" t="str">
        <f>IFERROR(__xludf.DUMMYFUNCTION("""COMPUTED_VALUE"""),"CRECHE CIRANDA CIRANDINHA")</f>
        <v>CRECHE CIRANDA CIRANDINHA</v>
      </c>
      <c r="I47" s="77"/>
      <c r="J47" s="77"/>
      <c r="K47" s="77"/>
      <c r="L47" s="77"/>
      <c r="M47" s="77"/>
      <c r="N47" s="77"/>
      <c r="O47" s="77"/>
      <c r="P47" s="77"/>
      <c r="Q47" s="77"/>
      <c r="R47" s="77"/>
    </row>
    <row r="48">
      <c r="A48" s="77"/>
      <c r="B48" s="77" t="str">
        <f>IFERROR(__xludf.DUMMYFUNCTION("""COMPUTED_VALUE"""),"09/02/2026 19:24:03")</f>
        <v>09/02/2026 19:24:03</v>
      </c>
      <c r="C48" s="83" t="str">
        <f>IFERROR(__xludf.DUMMYFUNCTION("""COMPUTED_VALUE"""),"4")</f>
        <v>4</v>
      </c>
      <c r="D48" s="77" t="str">
        <f>IFERROR(__xludf.DUMMYFUNCTION("""COMPUTED_VALUE"""),"T. A. O. S")</f>
        <v>T. A. O. S</v>
      </c>
      <c r="E48" s="77" t="str">
        <f>IFERROR(__xludf.DUMMYFUNCTION("""COMPUTED_VALUE"""),"29/01/2023")</f>
        <v>29/01/2023</v>
      </c>
      <c r="F48" s="77" t="str">
        <f>IFERROR(__xludf.DUMMYFUNCTION("""COMPUTED_VALUE"""),"184******12")</f>
        <v>184******12</v>
      </c>
      <c r="G48" s="77" t="str">
        <f>IFERROR(__xludf.DUMMYFUNCTION("""COMPUTED_VALUE"""),"INFANTIL 3")</f>
        <v>INFANTIL 3</v>
      </c>
      <c r="H48" s="77" t="str">
        <f>IFERROR(__xludf.DUMMYFUNCTION("""COMPUTED_VALUE"""),"CRECHE CIRANDA CIRANDINHA")</f>
        <v>CRECHE CIRANDA CIRANDINHA</v>
      </c>
      <c r="I48" s="77"/>
      <c r="J48" s="77"/>
      <c r="K48" s="77"/>
      <c r="L48" s="77"/>
      <c r="M48" s="77"/>
      <c r="N48" s="77"/>
      <c r="O48" s="77"/>
      <c r="P48" s="77"/>
      <c r="Q48" s="77"/>
      <c r="R48" s="77"/>
    </row>
    <row r="49">
      <c r="A49" s="77"/>
      <c r="B49" s="77" t="str">
        <f>IFERROR(__xludf.DUMMYFUNCTION("""COMPUTED_VALUE"""),"26/02/2026 23:38:28")</f>
        <v>26/02/2026 23:38:28</v>
      </c>
      <c r="C49" s="83" t="str">
        <f>IFERROR(__xludf.DUMMYFUNCTION("""COMPUTED_VALUE"""),"5")</f>
        <v>5</v>
      </c>
      <c r="D49" s="77" t="str">
        <f>IFERROR(__xludf.DUMMYFUNCTION("""COMPUTED_VALUE"""),"C. E. D. S. R")</f>
        <v>C. E. D. S. R</v>
      </c>
      <c r="E49" s="77" t="str">
        <f>IFERROR(__xludf.DUMMYFUNCTION("""COMPUTED_VALUE"""),"04/06/2022")</f>
        <v>04/06/2022</v>
      </c>
      <c r="F49" s="77" t="str">
        <f>IFERROR(__xludf.DUMMYFUNCTION("""COMPUTED_VALUE"""),"181******48")</f>
        <v>181******48</v>
      </c>
      <c r="G49" s="77" t="str">
        <f>IFERROR(__xludf.DUMMYFUNCTION("""COMPUTED_VALUE"""),"INFANTIL 3")</f>
        <v>INFANTIL 3</v>
      </c>
      <c r="H49" s="77" t="str">
        <f>IFERROR(__xludf.DUMMYFUNCTION("""COMPUTED_VALUE"""),"CRECHE CIRANDA CIRANDINHA")</f>
        <v>CRECHE CIRANDA CIRANDINHA</v>
      </c>
      <c r="I49" s="77"/>
      <c r="J49" s="77"/>
      <c r="K49" s="77"/>
      <c r="L49" s="77"/>
      <c r="M49" s="77"/>
      <c r="N49" s="77"/>
      <c r="O49" s="77"/>
      <c r="P49" s="77"/>
      <c r="Q49" s="77"/>
      <c r="R49" s="77"/>
    </row>
    <row r="50">
      <c r="A50" s="77"/>
      <c r="B50" s="77" t="str">
        <f>IFERROR(__xludf.DUMMYFUNCTION("""COMPUTED_VALUE"""),"24/03/2026 10:37:29")</f>
        <v>24/03/2026 10:37:29</v>
      </c>
      <c r="C50" s="83" t="str">
        <f>IFERROR(__xludf.DUMMYFUNCTION("""COMPUTED_VALUE"""),"6")</f>
        <v>6</v>
      </c>
      <c r="D50" s="77" t="str">
        <f>IFERROR(__xludf.DUMMYFUNCTION("""COMPUTED_VALUE"""),"R. M. S. C. F")</f>
        <v>R. M. S. C. F</v>
      </c>
      <c r="E50" s="77" t="str">
        <f>IFERROR(__xludf.DUMMYFUNCTION("""COMPUTED_VALUE"""),"20/08/2022")</f>
        <v>20/08/2022</v>
      </c>
      <c r="F50" s="77" t="str">
        <f>IFERROR(__xludf.DUMMYFUNCTION("""COMPUTED_VALUE"""),"182******17")</f>
        <v>182******17</v>
      </c>
      <c r="G50" s="77" t="str">
        <f>IFERROR(__xludf.DUMMYFUNCTION("""COMPUTED_VALUE"""),"INFANTIL 3")</f>
        <v>INFANTIL 3</v>
      </c>
      <c r="H50" s="77" t="str">
        <f>IFERROR(__xludf.DUMMYFUNCTION("""COMPUTED_VALUE"""),"CRECHE CIRANDA CIRANDINHA")</f>
        <v>CRECHE CIRANDA CIRANDINHA</v>
      </c>
      <c r="I50" s="77"/>
      <c r="J50" s="77"/>
      <c r="K50" s="77"/>
      <c r="L50" s="77"/>
      <c r="M50" s="77"/>
      <c r="N50" s="77"/>
      <c r="O50" s="77"/>
      <c r="P50" s="77"/>
      <c r="Q50" s="77"/>
      <c r="R50" s="77"/>
    </row>
    <row r="51">
      <c r="A51" s="77"/>
      <c r="B51" s="77" t="str">
        <f>IFERROR(__xludf.DUMMYFUNCTION("""COMPUTED_VALUE"""),"23/04/2026 12:52:15")</f>
        <v>23/04/2026 12:52:15</v>
      </c>
      <c r="C51" s="83" t="str">
        <f>IFERROR(__xludf.DUMMYFUNCTION("""COMPUTED_VALUE"""),"7")</f>
        <v>7</v>
      </c>
      <c r="D51" s="77" t="str">
        <f>IFERROR(__xludf.DUMMYFUNCTION("""COMPUTED_VALUE"""),"Y. M. D. S. G")</f>
        <v>Y. M. D. S. G</v>
      </c>
      <c r="E51" s="77" t="str">
        <f>IFERROR(__xludf.DUMMYFUNCTION("""COMPUTED_VALUE"""),"20/05/2022")</f>
        <v>20/05/2022</v>
      </c>
      <c r="F51" s="77" t="str">
        <f>IFERROR(__xludf.DUMMYFUNCTION("""COMPUTED_VALUE"""),"181******04")</f>
        <v>181******04</v>
      </c>
      <c r="G51" s="77" t="str">
        <f>IFERROR(__xludf.DUMMYFUNCTION("""COMPUTED_VALUE"""),"INFANTIL 3")</f>
        <v>INFANTIL 3</v>
      </c>
      <c r="H51" s="77" t="str">
        <f>IFERROR(__xludf.DUMMYFUNCTION("""COMPUTED_VALUE"""),"CRECHE CIRANDA CIRANDINHA")</f>
        <v>CRECHE CIRANDA CIRANDINHA</v>
      </c>
      <c r="I51" s="77"/>
      <c r="J51" s="77"/>
      <c r="K51" s="77"/>
      <c r="L51" s="77"/>
      <c r="M51" s="77"/>
      <c r="N51" s="77"/>
      <c r="O51" s="77"/>
      <c r="P51" s="77"/>
      <c r="Q51" s="77"/>
      <c r="R51" s="77"/>
    </row>
    <row r="52">
      <c r="A52" s="77"/>
      <c r="B52" s="77" t="str">
        <f>IFERROR(__xludf.DUMMYFUNCTION("""COMPUTED_VALUE"""),"23/02/2026 09:25:20")</f>
        <v>23/02/2026 09:25:20</v>
      </c>
      <c r="C52" s="83" t="str">
        <f>IFERROR(__xludf.DUMMYFUNCTION("""COMPUTED_VALUE"""),"1")</f>
        <v>1</v>
      </c>
      <c r="D52" s="77" t="str">
        <f>IFERROR(__xludf.DUMMYFUNCTION("""COMPUTED_VALUE"""),"L. E. C. D. O")</f>
        <v>L. E. C. D. O</v>
      </c>
      <c r="E52" s="77" t="str">
        <f>IFERROR(__xludf.DUMMYFUNCTION("""COMPUTED_VALUE"""),"08/07/2024")</f>
        <v>08/07/2024</v>
      </c>
      <c r="F52" s="77" t="str">
        <f>IFERROR(__xludf.DUMMYFUNCTION("""COMPUTED_VALUE"""),"003******55")</f>
        <v>003******55</v>
      </c>
      <c r="G52" s="77" t="str">
        <f>IFERROR(__xludf.DUMMYFUNCTION("""COMPUTED_VALUE"""),"INFANTIL 1")</f>
        <v>INFANTIL 1</v>
      </c>
      <c r="H52" s="77" t="str">
        <f>IFERROR(__xludf.DUMMYFUNCTION("""COMPUTED_VALUE"""),"CRECHE MUNICIPAL PROFESSORA MARIA RITA LINS MARTINS")</f>
        <v>CRECHE MUNICIPAL PROFESSORA MARIA RITA LINS MARTINS</v>
      </c>
      <c r="I52" s="77"/>
      <c r="J52" s="77"/>
      <c r="K52" s="77"/>
      <c r="L52" s="77"/>
      <c r="M52" s="77"/>
      <c r="N52" s="77"/>
      <c r="O52" s="77"/>
      <c r="P52" s="77"/>
      <c r="Q52" s="77"/>
      <c r="R52" s="77"/>
    </row>
    <row r="53">
      <c r="A53" s="77"/>
      <c r="B53" s="77" t="str">
        <f>IFERROR(__xludf.DUMMYFUNCTION("""COMPUTED_VALUE"""),"23/02/2026 22:06:49")</f>
        <v>23/02/2026 22:06:49</v>
      </c>
      <c r="C53" s="83" t="str">
        <f>IFERROR(__xludf.DUMMYFUNCTION("""COMPUTED_VALUE"""),"2")</f>
        <v>2</v>
      </c>
      <c r="D53" s="77" t="str">
        <f>IFERROR(__xludf.DUMMYFUNCTION("""COMPUTED_VALUE"""),"B. S. S. D. S")</f>
        <v>B. S. S. D. S</v>
      </c>
      <c r="E53" s="77" t="str">
        <f>IFERROR(__xludf.DUMMYFUNCTION("""COMPUTED_VALUE"""),"13/09/2024")</f>
        <v>13/09/2024</v>
      </c>
      <c r="F53" s="77" t="str">
        <f>IFERROR(__xludf.DUMMYFUNCTION("""COMPUTED_VALUE"""),"004******73")</f>
        <v>004******73</v>
      </c>
      <c r="G53" s="77" t="str">
        <f>IFERROR(__xludf.DUMMYFUNCTION("""COMPUTED_VALUE"""),"INFANTIL 1")</f>
        <v>INFANTIL 1</v>
      </c>
      <c r="H53" s="77" t="str">
        <f>IFERROR(__xludf.DUMMYFUNCTION("""COMPUTED_VALUE"""),"CRECHE MUNICIPAL PROFESSORA MARIA RITA LINS MARTINS")</f>
        <v>CRECHE MUNICIPAL PROFESSORA MARIA RITA LINS MARTINS</v>
      </c>
      <c r="I53" s="77"/>
      <c r="J53" s="77"/>
      <c r="K53" s="77"/>
      <c r="L53" s="77"/>
      <c r="M53" s="77"/>
      <c r="N53" s="77"/>
      <c r="O53" s="77"/>
      <c r="P53" s="77"/>
      <c r="Q53" s="77"/>
      <c r="R53" s="77"/>
    </row>
    <row r="54">
      <c r="A54" s="77"/>
      <c r="B54" s="77" t="str">
        <f>IFERROR(__xludf.DUMMYFUNCTION("""COMPUTED_VALUE"""),"24/02/2026 10:47:32")</f>
        <v>24/02/2026 10:47:32</v>
      </c>
      <c r="C54" s="83" t="str">
        <f>IFERROR(__xludf.DUMMYFUNCTION("""COMPUTED_VALUE"""),"3")</f>
        <v>3</v>
      </c>
      <c r="D54" s="77" t="str">
        <f>IFERROR(__xludf.DUMMYFUNCTION("""COMPUTED_VALUE"""),"M. H. D. S. M")</f>
        <v>M. H. D. S. M</v>
      </c>
      <c r="E54" s="77" t="str">
        <f>IFERROR(__xludf.DUMMYFUNCTION("""COMPUTED_VALUE"""),"17/08/2024")</f>
        <v>17/08/2024</v>
      </c>
      <c r="F54" s="77" t="str">
        <f>IFERROR(__xludf.DUMMYFUNCTION("""COMPUTED_VALUE"""),"003******21")</f>
        <v>003******21</v>
      </c>
      <c r="G54" s="77" t="str">
        <f>IFERROR(__xludf.DUMMYFUNCTION("""COMPUTED_VALUE"""),"INFANTIL 1")</f>
        <v>INFANTIL 1</v>
      </c>
      <c r="H54" s="77" t="str">
        <f>IFERROR(__xludf.DUMMYFUNCTION("""COMPUTED_VALUE"""),"CRECHE MUNICIPAL PROFESSORA MARIA RITA LINS MARTINS")</f>
        <v>CRECHE MUNICIPAL PROFESSORA MARIA RITA LINS MARTINS</v>
      </c>
      <c r="I54" s="77"/>
      <c r="J54" s="77"/>
      <c r="K54" s="77"/>
      <c r="L54" s="77"/>
      <c r="M54" s="77"/>
      <c r="N54" s="77"/>
      <c r="O54" s="77"/>
      <c r="P54" s="77"/>
      <c r="Q54" s="77"/>
      <c r="R54" s="77"/>
    </row>
    <row r="55">
      <c r="A55" s="77"/>
      <c r="B55" s="77" t="str">
        <f>IFERROR(__xludf.DUMMYFUNCTION("""COMPUTED_VALUE"""),"10/05/2026 13:51:20")</f>
        <v>10/05/2026 13:51:20</v>
      </c>
      <c r="C55" s="83" t="str">
        <f>IFERROR(__xludf.DUMMYFUNCTION("""COMPUTED_VALUE"""),"4")</f>
        <v>4</v>
      </c>
      <c r="D55" s="77" t="str">
        <f>IFERROR(__xludf.DUMMYFUNCTION("""COMPUTED_VALUE"""),"L. M. D. S")</f>
        <v>L. M. D. S</v>
      </c>
      <c r="E55" s="77" t="str">
        <f>IFERROR(__xludf.DUMMYFUNCTION("""COMPUTED_VALUE"""),"21/03/2025")</f>
        <v>21/03/2025</v>
      </c>
      <c r="F55" s="77" t="str">
        <f>IFERROR(__xludf.DUMMYFUNCTION("""COMPUTED_VALUE"""),"007******01")</f>
        <v>007******01</v>
      </c>
      <c r="G55" s="77" t="str">
        <f>IFERROR(__xludf.DUMMYFUNCTION("""COMPUTED_VALUE"""),"INFANTIL 1")</f>
        <v>INFANTIL 1</v>
      </c>
      <c r="H55" s="77" t="str">
        <f>IFERROR(__xludf.DUMMYFUNCTION("""COMPUTED_VALUE"""),"CRECHE MUNICIPAL PROFESSORA MARIA RITA LINS MARTINS")</f>
        <v>CRECHE MUNICIPAL PROFESSORA MARIA RITA LINS MARTINS</v>
      </c>
      <c r="I55" s="77"/>
      <c r="J55" s="77"/>
      <c r="K55" s="77"/>
      <c r="L55" s="77"/>
      <c r="M55" s="77"/>
      <c r="N55" s="77"/>
      <c r="O55" s="77"/>
      <c r="P55" s="77"/>
      <c r="Q55" s="77"/>
      <c r="R55" s="77"/>
    </row>
    <row r="56">
      <c r="A56" s="77"/>
      <c r="B56" s="77" t="str">
        <f>IFERROR(__xludf.DUMMYFUNCTION("""COMPUTED_VALUE"""),"14/06/2026 18:20:08")</f>
        <v>14/06/2026 18:20:08</v>
      </c>
      <c r="C56" s="83" t="str">
        <f>IFERROR(__xludf.DUMMYFUNCTION("""COMPUTED_VALUE"""),"5")</f>
        <v>5</v>
      </c>
      <c r="D56" s="77" t="str">
        <f>IFERROR(__xludf.DUMMYFUNCTION("""COMPUTED_VALUE"""),"A. G. d. S")</f>
        <v>A. G. d. S</v>
      </c>
      <c r="E56" s="77" t="str">
        <f>IFERROR(__xludf.DUMMYFUNCTION("""COMPUTED_VALUE"""),"31/05/2024")</f>
        <v>31/05/2024</v>
      </c>
      <c r="F56" s="77" t="str">
        <f>IFERROR(__xludf.DUMMYFUNCTION("""COMPUTED_VALUE"""),"003******86")</f>
        <v>003******86</v>
      </c>
      <c r="G56" s="77" t="str">
        <f>IFERROR(__xludf.DUMMYFUNCTION("""COMPUTED_VALUE"""),"INFANTIL 1")</f>
        <v>INFANTIL 1</v>
      </c>
      <c r="H56" s="77" t="str">
        <f>IFERROR(__xludf.DUMMYFUNCTION("""COMPUTED_VALUE"""),"CRECHE MUNICIPAL PROFESSORA MARIA RITA LINS MARTINS")</f>
        <v>CRECHE MUNICIPAL PROFESSORA MARIA RITA LINS MARTINS</v>
      </c>
      <c r="I56" s="77"/>
      <c r="J56" s="77"/>
      <c r="K56" s="77"/>
      <c r="L56" s="77"/>
      <c r="M56" s="77"/>
      <c r="N56" s="77"/>
      <c r="O56" s="77"/>
      <c r="P56" s="77"/>
      <c r="Q56" s="77"/>
      <c r="R56" s="77"/>
    </row>
    <row r="57">
      <c r="A57" s="77"/>
      <c r="B57" s="77" t="str">
        <f>IFERROR(__xludf.DUMMYFUNCTION("""COMPUTED_VALUE"""),"25/06/2026 18:16:16")</f>
        <v>25/06/2026 18:16:16</v>
      </c>
      <c r="C57" s="83" t="str">
        <f>IFERROR(__xludf.DUMMYFUNCTION("""COMPUTED_VALUE"""),"6")</f>
        <v>6</v>
      </c>
      <c r="D57" s="77" t="str">
        <f>IFERROR(__xludf.DUMMYFUNCTION("""COMPUTED_VALUE"""),"J. M. R. s")</f>
        <v>J. M. R. s</v>
      </c>
      <c r="E57" s="77" t="str">
        <f>IFERROR(__xludf.DUMMYFUNCTION("""COMPUTED_VALUE"""),"14/12/2024")</f>
        <v>14/12/2024</v>
      </c>
      <c r="F57" s="77" t="str">
        <f>IFERROR(__xludf.DUMMYFUNCTION("""COMPUTED_VALUE"""),"004******73")</f>
        <v>004******73</v>
      </c>
      <c r="G57" s="77" t="str">
        <f>IFERROR(__xludf.DUMMYFUNCTION("""COMPUTED_VALUE"""),"INFANTIL 1")</f>
        <v>INFANTIL 1</v>
      </c>
      <c r="H57" s="77" t="str">
        <f>IFERROR(__xludf.DUMMYFUNCTION("""COMPUTED_VALUE"""),"CRECHE MUNICIPAL PROFESSORA MARIA RITA LINS MARTINS")</f>
        <v>CRECHE MUNICIPAL PROFESSORA MARIA RITA LINS MARTINS</v>
      </c>
      <c r="I57" s="77"/>
      <c r="J57" s="77"/>
      <c r="K57" s="77"/>
      <c r="L57" s="77"/>
      <c r="M57" s="77"/>
      <c r="N57" s="77"/>
      <c r="O57" s="77"/>
      <c r="P57" s="77"/>
      <c r="Q57" s="77"/>
      <c r="R57" s="77"/>
    </row>
    <row r="58">
      <c r="A58" s="77"/>
      <c r="B58" s="77" t="str">
        <f>IFERROR(__xludf.DUMMYFUNCTION("""COMPUTED_VALUE"""),"29/06/2026 11:34:07")</f>
        <v>29/06/2026 11:34:07</v>
      </c>
      <c r="C58" s="83" t="str">
        <f>IFERROR(__xludf.DUMMYFUNCTION("""COMPUTED_VALUE"""),"7")</f>
        <v>7</v>
      </c>
      <c r="D58" s="77" t="str">
        <f>IFERROR(__xludf.DUMMYFUNCTION("""COMPUTED_VALUE"""),"H. S. C. s")</f>
        <v>H. S. C. s</v>
      </c>
      <c r="E58" s="77" t="str">
        <f>IFERROR(__xludf.DUMMYFUNCTION("""COMPUTED_VALUE"""),"24/09/2025")</f>
        <v>24/09/2025</v>
      </c>
      <c r="F58" s="77" t="str">
        <f>IFERROR(__xludf.DUMMYFUNCTION("""COMPUTED_VALUE"""),"011******15")</f>
        <v>011******15</v>
      </c>
      <c r="G58" s="77" t="str">
        <f>IFERROR(__xludf.DUMMYFUNCTION("""COMPUTED_VALUE"""),"INFANTIL 1")</f>
        <v>INFANTIL 1</v>
      </c>
      <c r="H58" s="77" t="str">
        <f>IFERROR(__xludf.DUMMYFUNCTION("""COMPUTED_VALUE"""),"CRECHE MUNICIPAL PROFESSORA MARIA RITA LINS MARTINS")</f>
        <v>CRECHE MUNICIPAL PROFESSORA MARIA RITA LINS MARTINS</v>
      </c>
      <c r="I58" s="77"/>
      <c r="J58" s="77"/>
      <c r="K58" s="77"/>
      <c r="L58" s="77"/>
      <c r="M58" s="77"/>
      <c r="N58" s="77"/>
      <c r="O58" s="77"/>
      <c r="P58" s="77"/>
      <c r="Q58" s="77"/>
      <c r="R58" s="77"/>
    </row>
    <row r="59">
      <c r="A59" s="77"/>
      <c r="B59" s="77" t="str">
        <f>IFERROR(__xludf.DUMMYFUNCTION("""COMPUTED_VALUE"""),"30/01/2026 13:46:37")</f>
        <v>30/01/2026 13:46:37</v>
      </c>
      <c r="C59" s="83" t="str">
        <f>IFERROR(__xludf.DUMMYFUNCTION("""COMPUTED_VALUE"""),"1")</f>
        <v>1</v>
      </c>
      <c r="D59" s="77" t="str">
        <f>IFERROR(__xludf.DUMMYFUNCTION("""COMPUTED_VALUE"""),"L. M. D. S. P")</f>
        <v>L. M. D. S. P</v>
      </c>
      <c r="E59" s="77" t="str">
        <f>IFERROR(__xludf.DUMMYFUNCTION("""COMPUTED_VALUE"""),"24/01/2024")</f>
        <v>24/01/2024</v>
      </c>
      <c r="F59" s="77" t="str">
        <f>IFERROR(__xludf.DUMMYFUNCTION("""COMPUTED_VALUE"""),"001******95")</f>
        <v>001******95</v>
      </c>
      <c r="G59" s="77" t="str">
        <f>IFERROR(__xludf.DUMMYFUNCTION("""COMPUTED_VALUE"""),"INFANTIL 2")</f>
        <v>INFANTIL 2</v>
      </c>
      <c r="H59" s="77" t="str">
        <f>IFERROR(__xludf.DUMMYFUNCTION("""COMPUTED_VALUE"""),"CRECHE MUNICIPAL PROFESSORA MARIA RITA LINS MARTINS")</f>
        <v>CRECHE MUNICIPAL PROFESSORA MARIA RITA LINS MARTINS</v>
      </c>
      <c r="I59" s="77"/>
      <c r="J59" s="77"/>
      <c r="K59" s="77"/>
      <c r="L59" s="77"/>
      <c r="M59" s="77"/>
      <c r="N59" s="77"/>
      <c r="O59" s="77"/>
      <c r="P59" s="77"/>
      <c r="Q59" s="77"/>
      <c r="R59" s="77"/>
    </row>
    <row r="60">
      <c r="A60" s="77"/>
      <c r="B60" s="77" t="str">
        <f>IFERROR(__xludf.DUMMYFUNCTION("""COMPUTED_VALUE"""),"08/03/2026 00:13:08")</f>
        <v>08/03/2026 00:13:08</v>
      </c>
      <c r="C60" s="83" t="str">
        <f>IFERROR(__xludf.DUMMYFUNCTION("""COMPUTED_VALUE"""),"2")</f>
        <v>2</v>
      </c>
      <c r="D60" s="77" t="str">
        <f>IFERROR(__xludf.DUMMYFUNCTION("""COMPUTED_VALUE"""),"H. G. S. G. D. S")</f>
        <v>H. G. S. G. D. S</v>
      </c>
      <c r="E60" s="77" t="str">
        <f>IFERROR(__xludf.DUMMYFUNCTION("""COMPUTED_VALUE"""),"19/07/2023")</f>
        <v>19/07/2023</v>
      </c>
      <c r="F60" s="77" t="str">
        <f>IFERROR(__xludf.DUMMYFUNCTION("""COMPUTED_VALUE"""),"186******81")</f>
        <v>186******81</v>
      </c>
      <c r="G60" s="77" t="str">
        <f>IFERROR(__xludf.DUMMYFUNCTION("""COMPUTED_VALUE"""),"INFANTIL 2")</f>
        <v>INFANTIL 2</v>
      </c>
      <c r="H60" s="77" t="str">
        <f>IFERROR(__xludf.DUMMYFUNCTION("""COMPUTED_VALUE"""),"CRECHE MUNICIPAL PROFESSORA MARIA RITA LINS MARTINS")</f>
        <v>CRECHE MUNICIPAL PROFESSORA MARIA RITA LINS MARTINS</v>
      </c>
      <c r="I60" s="77"/>
      <c r="J60" s="77"/>
      <c r="K60" s="77"/>
      <c r="L60" s="77"/>
      <c r="M60" s="77"/>
      <c r="N60" s="77"/>
      <c r="O60" s="77"/>
      <c r="P60" s="77"/>
      <c r="Q60" s="77"/>
      <c r="R60" s="77"/>
    </row>
    <row r="61">
      <c r="A61" s="77"/>
      <c r="B61" s="77" t="str">
        <f>IFERROR(__xludf.DUMMYFUNCTION("""COMPUTED_VALUE"""),"11/03/2026 10:30:16")</f>
        <v>11/03/2026 10:30:16</v>
      </c>
      <c r="C61" s="83" t="str">
        <f>IFERROR(__xludf.DUMMYFUNCTION("""COMPUTED_VALUE"""),"3")</f>
        <v>3</v>
      </c>
      <c r="D61" s="77" t="str">
        <f>IFERROR(__xludf.DUMMYFUNCTION("""COMPUTED_VALUE"""),"L. S. P")</f>
        <v>L. S. P</v>
      </c>
      <c r="E61" s="77" t="str">
        <f>IFERROR(__xludf.DUMMYFUNCTION("""COMPUTED_VALUE"""),"11/12/2023")</f>
        <v>11/12/2023</v>
      </c>
      <c r="F61" s="77" t="str">
        <f>IFERROR(__xludf.DUMMYFUNCTION("""COMPUTED_VALUE"""),"001******48")</f>
        <v>001******48</v>
      </c>
      <c r="G61" s="77" t="str">
        <f>IFERROR(__xludf.DUMMYFUNCTION("""COMPUTED_VALUE"""),"INFANTIL 2")</f>
        <v>INFANTIL 2</v>
      </c>
      <c r="H61" s="77" t="str">
        <f>IFERROR(__xludf.DUMMYFUNCTION("""COMPUTED_VALUE"""),"CRECHE MUNICIPAL PROFESSORA MARIA RITA LINS MARTINS")</f>
        <v>CRECHE MUNICIPAL PROFESSORA MARIA RITA LINS MARTINS</v>
      </c>
      <c r="I61" s="77"/>
      <c r="J61" s="77"/>
      <c r="K61" s="77"/>
      <c r="L61" s="77"/>
      <c r="M61" s="77"/>
      <c r="N61" s="77"/>
      <c r="O61" s="77"/>
      <c r="P61" s="77"/>
      <c r="Q61" s="77"/>
      <c r="R61" s="77"/>
    </row>
    <row r="62">
      <c r="A62" s="77"/>
      <c r="B62" s="77" t="str">
        <f>IFERROR(__xludf.DUMMYFUNCTION("""COMPUTED_VALUE"""),"17/03/2026 08:58:14")</f>
        <v>17/03/2026 08:58:14</v>
      </c>
      <c r="C62" s="83" t="str">
        <f>IFERROR(__xludf.DUMMYFUNCTION("""COMPUTED_VALUE"""),"4")</f>
        <v>4</v>
      </c>
      <c r="D62" s="77" t="str">
        <f>IFERROR(__xludf.DUMMYFUNCTION("""COMPUTED_VALUE"""),"L. R. D. L")</f>
        <v>L. R. D. L</v>
      </c>
      <c r="E62" s="77" t="str">
        <f>IFERROR(__xludf.DUMMYFUNCTION("""COMPUTED_VALUE"""),"09/03/2024")</f>
        <v>09/03/2024</v>
      </c>
      <c r="F62" s="77" t="str">
        <f>IFERROR(__xludf.DUMMYFUNCTION("""COMPUTED_VALUE"""),"001******96")</f>
        <v>001******96</v>
      </c>
      <c r="G62" s="77" t="str">
        <f>IFERROR(__xludf.DUMMYFUNCTION("""COMPUTED_VALUE"""),"INFANTIL 2")</f>
        <v>INFANTIL 2</v>
      </c>
      <c r="H62" s="77" t="str">
        <f>IFERROR(__xludf.DUMMYFUNCTION("""COMPUTED_VALUE"""),"CRECHE MUNICIPAL PROFESSORA MARIA RITA LINS MARTINS")</f>
        <v>CRECHE MUNICIPAL PROFESSORA MARIA RITA LINS MARTINS</v>
      </c>
      <c r="I62" s="77"/>
      <c r="J62" s="77"/>
      <c r="K62" s="77"/>
      <c r="L62" s="77"/>
      <c r="M62" s="77"/>
      <c r="N62" s="77"/>
      <c r="O62" s="77"/>
      <c r="P62" s="77"/>
      <c r="Q62" s="77"/>
      <c r="R62" s="77"/>
    </row>
    <row r="63">
      <c r="A63" s="77"/>
      <c r="B63" s="77" t="str">
        <f>IFERROR(__xludf.DUMMYFUNCTION("""COMPUTED_VALUE"""),"16/04/2026 17:20:01")</f>
        <v>16/04/2026 17:20:01</v>
      </c>
      <c r="C63" s="83" t="str">
        <f>IFERROR(__xludf.DUMMYFUNCTION("""COMPUTED_VALUE"""),"5")</f>
        <v>5</v>
      </c>
      <c r="D63" s="77" t="str">
        <f>IFERROR(__xludf.DUMMYFUNCTION("""COMPUTED_VALUE"""),"M. C. D. S. C. M")</f>
        <v>M. C. D. S. C. M</v>
      </c>
      <c r="E63" s="77" t="str">
        <f>IFERROR(__xludf.DUMMYFUNCTION("""COMPUTED_VALUE"""),"17/04/2023")</f>
        <v>17/04/2023</v>
      </c>
      <c r="F63" s="77" t="str">
        <f>IFERROR(__xludf.DUMMYFUNCTION("""COMPUTED_VALUE"""),"185******46")</f>
        <v>185******46</v>
      </c>
      <c r="G63" s="77" t="str">
        <f>IFERROR(__xludf.DUMMYFUNCTION("""COMPUTED_VALUE"""),"INFANTIL 2")</f>
        <v>INFANTIL 2</v>
      </c>
      <c r="H63" s="77" t="str">
        <f>IFERROR(__xludf.DUMMYFUNCTION("""COMPUTED_VALUE"""),"CRECHE MUNICIPAL PROFESSORA MARIA RITA LINS MARTINS")</f>
        <v>CRECHE MUNICIPAL PROFESSORA MARIA RITA LINS MARTINS</v>
      </c>
      <c r="I63" s="77"/>
      <c r="J63" s="77"/>
      <c r="K63" s="77"/>
      <c r="L63" s="77"/>
      <c r="M63" s="77"/>
      <c r="N63" s="77"/>
      <c r="O63" s="77"/>
      <c r="P63" s="77"/>
      <c r="Q63" s="77"/>
      <c r="R63" s="77"/>
    </row>
    <row r="64">
      <c r="A64" s="77"/>
      <c r="B64" s="77" t="str">
        <f>IFERROR(__xludf.DUMMYFUNCTION("""COMPUTED_VALUE"""),"13/05/2026 08:10:15")</f>
        <v>13/05/2026 08:10:15</v>
      </c>
      <c r="C64" s="83" t="str">
        <f>IFERROR(__xludf.DUMMYFUNCTION("""COMPUTED_VALUE"""),"6")</f>
        <v>6</v>
      </c>
      <c r="D64" s="77" t="str">
        <f>IFERROR(__xludf.DUMMYFUNCTION("""COMPUTED_VALUE"""),"T. M. O. D. S")</f>
        <v>T. M. O. D. S</v>
      </c>
      <c r="E64" s="77" t="str">
        <f>IFERROR(__xludf.DUMMYFUNCTION("""COMPUTED_VALUE"""),"16/08/2023")</f>
        <v>16/08/2023</v>
      </c>
      <c r="F64" s="77" t="str">
        <f>IFERROR(__xludf.DUMMYFUNCTION("""COMPUTED_VALUE"""),"186******46")</f>
        <v>186******46</v>
      </c>
      <c r="G64" s="77" t="str">
        <f>IFERROR(__xludf.DUMMYFUNCTION("""COMPUTED_VALUE"""),"INFANTIL 2")</f>
        <v>INFANTIL 2</v>
      </c>
      <c r="H64" s="77" t="str">
        <f>IFERROR(__xludf.DUMMYFUNCTION("""COMPUTED_VALUE"""),"CRECHE MUNICIPAL PROFESSORA MARIA RITA LINS MARTINS")</f>
        <v>CRECHE MUNICIPAL PROFESSORA MARIA RITA LINS MARTINS</v>
      </c>
      <c r="I64" s="77"/>
      <c r="J64" s="77"/>
      <c r="K64" s="77"/>
      <c r="L64" s="77"/>
      <c r="M64" s="77"/>
      <c r="N64" s="77"/>
      <c r="O64" s="77"/>
      <c r="P64" s="77"/>
      <c r="Q64" s="77"/>
      <c r="R64" s="77"/>
    </row>
    <row r="65">
      <c r="A65" s="77"/>
      <c r="B65" s="77" t="str">
        <f>IFERROR(__xludf.DUMMYFUNCTION("""COMPUTED_VALUE"""),"16/04/2026 17:16:18")</f>
        <v>16/04/2026 17:16:18</v>
      </c>
      <c r="C65" s="83" t="str">
        <f>IFERROR(__xludf.DUMMYFUNCTION("""COMPUTED_VALUE"""),"1")</f>
        <v>1</v>
      </c>
      <c r="D65" s="77" t="str">
        <f>IFERROR(__xludf.DUMMYFUNCTION("""COMPUTED_VALUE"""),"M. G. D. S. C. M")</f>
        <v>M. G. D. S. C. M</v>
      </c>
      <c r="E65" s="77" t="str">
        <f>IFERROR(__xludf.DUMMYFUNCTION("""COMPUTED_VALUE"""),"11/04/2022")</f>
        <v>11/04/2022</v>
      </c>
      <c r="F65" s="77" t="str">
        <f>IFERROR(__xludf.DUMMYFUNCTION("""COMPUTED_VALUE"""),"181******09")</f>
        <v>181******09</v>
      </c>
      <c r="G65" s="77" t="str">
        <f>IFERROR(__xludf.DUMMYFUNCTION("""COMPUTED_VALUE"""),"INFANTIL 3")</f>
        <v>INFANTIL 3</v>
      </c>
      <c r="H65" s="77" t="str">
        <f>IFERROR(__xludf.DUMMYFUNCTION("""COMPUTED_VALUE"""),"CRECHE MUNICIPAL PROFESSORA MARIA RITA LINS MARTINS")</f>
        <v>CRECHE MUNICIPAL PROFESSORA MARIA RITA LINS MARTINS</v>
      </c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>
      <c r="A66" s="77"/>
      <c r="B66" s="77" t="str">
        <f>IFERROR(__xludf.DUMMYFUNCTION("""COMPUTED_VALUE"""),"10/05/2026 13:58:19")</f>
        <v>10/05/2026 13:58:19</v>
      </c>
      <c r="C66" s="83" t="str">
        <f>IFERROR(__xludf.DUMMYFUNCTION("""COMPUTED_VALUE"""),"2")</f>
        <v>2</v>
      </c>
      <c r="D66" s="77" t="str">
        <f>IFERROR(__xludf.DUMMYFUNCTION("""COMPUTED_VALUE"""),"D. E. D. M")</f>
        <v>D. E. D. M</v>
      </c>
      <c r="E66" s="77" t="str">
        <f>IFERROR(__xludf.DUMMYFUNCTION("""COMPUTED_VALUE"""),"07/01/2023")</f>
        <v>07/01/2023</v>
      </c>
      <c r="F66" s="77" t="str">
        <f>IFERROR(__xludf.DUMMYFUNCTION("""COMPUTED_VALUE"""),"184******52")</f>
        <v>184******52</v>
      </c>
      <c r="G66" s="77" t="str">
        <f>IFERROR(__xludf.DUMMYFUNCTION("""COMPUTED_VALUE"""),"INFANTIL 3")</f>
        <v>INFANTIL 3</v>
      </c>
      <c r="H66" s="77" t="str">
        <f>IFERROR(__xludf.DUMMYFUNCTION("""COMPUTED_VALUE"""),"CRECHE MUNICIPAL PROFESSORA MARIA RITA LINS MARTINS")</f>
        <v>CRECHE MUNICIPAL PROFESSORA MARIA RITA LINS MARTINS</v>
      </c>
      <c r="I66" s="77"/>
      <c r="J66" s="77"/>
      <c r="K66" s="77"/>
      <c r="L66" s="77"/>
      <c r="M66" s="77"/>
      <c r="N66" s="77"/>
      <c r="O66" s="77"/>
      <c r="P66" s="77"/>
      <c r="Q66" s="77"/>
      <c r="R66" s="77"/>
    </row>
    <row r="67">
      <c r="A67" s="77"/>
      <c r="B67" s="77" t="str">
        <f>IFERROR(__xludf.DUMMYFUNCTION("""COMPUTED_VALUE"""),"15/06/2026 14:59:35")</f>
        <v>15/06/2026 14:59:35</v>
      </c>
      <c r="C67" s="83" t="str">
        <f>IFERROR(__xludf.DUMMYFUNCTION("""COMPUTED_VALUE"""),"3")</f>
        <v>3</v>
      </c>
      <c r="D67" s="77" t="str">
        <f>IFERROR(__xludf.DUMMYFUNCTION("""COMPUTED_VALUE"""),"Y. L. S. D. C")</f>
        <v>Y. L. S. D. C</v>
      </c>
      <c r="E67" s="77" t="str">
        <f>IFERROR(__xludf.DUMMYFUNCTION("""COMPUTED_VALUE"""),"05/06/2022")</f>
        <v>05/06/2022</v>
      </c>
      <c r="F67" s="77" t="str">
        <f>IFERROR(__xludf.DUMMYFUNCTION("""COMPUTED_VALUE"""),"182******93")</f>
        <v>182******93</v>
      </c>
      <c r="G67" s="77" t="str">
        <f>IFERROR(__xludf.DUMMYFUNCTION("""COMPUTED_VALUE"""),"INFANTIL 3")</f>
        <v>INFANTIL 3</v>
      </c>
      <c r="H67" s="77" t="str">
        <f>IFERROR(__xludf.DUMMYFUNCTION("""COMPUTED_VALUE"""),"CRECHE MUNICIPAL PROFESSORA MARIA RITA LINS MARTINS")</f>
        <v>CRECHE MUNICIPAL PROFESSORA MARIA RITA LINS MARTINS</v>
      </c>
      <c r="I67" s="77"/>
      <c r="J67" s="77"/>
      <c r="K67" s="77"/>
      <c r="L67" s="77"/>
      <c r="M67" s="77"/>
      <c r="N67" s="77"/>
      <c r="O67" s="77"/>
      <c r="P67" s="77"/>
      <c r="Q67" s="77"/>
      <c r="R67" s="77"/>
    </row>
    <row r="68">
      <c r="A68" s="77"/>
      <c r="B68" s="77"/>
      <c r="C68" s="83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</row>
    <row r="69">
      <c r="A69" s="77"/>
      <c r="B69" s="77"/>
      <c r="C69" s="83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</row>
  </sheetData>
  <mergeCells count="18">
    <mergeCell ref="I5:J5"/>
    <mergeCell ref="K5:P5"/>
    <mergeCell ref="E5:H5"/>
    <mergeCell ref="I6:J6"/>
    <mergeCell ref="B8:C10"/>
    <mergeCell ref="B11:C13"/>
    <mergeCell ref="B14:C16"/>
    <mergeCell ref="B17:C19"/>
    <mergeCell ref="K6:L6"/>
    <mergeCell ref="M6:N6"/>
    <mergeCell ref="B1:R1"/>
    <mergeCell ref="B2:Q2"/>
    <mergeCell ref="A4:A7"/>
    <mergeCell ref="B4:C7"/>
    <mergeCell ref="D4:D7"/>
    <mergeCell ref="E4:Q4"/>
    <mergeCell ref="Q5:Q6"/>
    <mergeCell ref="O6:P6"/>
  </mergeCells>
  <conditionalFormatting sqref="E8:N18">
    <cfRule type="containsBlanks" dxfId="7" priority="1">
      <formula>LEN(TRIM(E8))=0</formula>
    </cfRule>
  </conditionalFormatting>
  <printOptions horizontalCentered="1"/>
  <pageMargins bottom="0.47244094488188976" footer="0.0" header="0.0" left="0.47244094488188976" right="0.47244094488188976" top="0.47244094488188976"/>
  <pageSetup fitToHeight="0" paperSize="9" cellComments="atEnd" orientation="landscape" pageOrder="overThenDown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2" width="24.43"/>
    <col customWidth="1" min="3" max="3" width="9.14"/>
    <col customWidth="1" min="4" max="4" width="42.57"/>
    <col customWidth="1" min="5" max="5" width="15.71"/>
    <col customWidth="1" min="6" max="6" width="16.0"/>
    <col customWidth="1" min="7" max="7" width="13.57"/>
    <col customWidth="1" min="8" max="8" width="55.29"/>
    <col customWidth="1" min="9" max="9" width="6.43"/>
    <col customWidth="1" min="10" max="10" width="11.71"/>
    <col customWidth="1" min="11" max="11" width="6.57"/>
    <col customWidth="1" min="12" max="12" width="10.57"/>
    <col customWidth="1" min="13" max="13" width="7.14"/>
    <col customWidth="1" min="14" max="14" width="9.57"/>
    <col customWidth="1" min="15" max="15" width="4.57"/>
    <col customWidth="1" min="16" max="16" width="9.86"/>
    <col customWidth="1" hidden="1" min="18" max="24" width="14.43"/>
  </cols>
  <sheetData>
    <row r="1">
      <c r="A1" s="84"/>
      <c r="B1" s="84"/>
      <c r="C1" s="84"/>
      <c r="D1" s="84"/>
      <c r="E1" s="84"/>
      <c r="F1" s="84"/>
      <c r="G1" s="84"/>
      <c r="H1" s="84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>
      <c r="A2" s="86"/>
      <c r="B2" s="86" t="s">
        <v>439</v>
      </c>
      <c r="R2" s="85"/>
      <c r="S2" s="85"/>
      <c r="T2" s="85"/>
      <c r="U2" s="85"/>
      <c r="V2" s="85"/>
      <c r="W2" s="85"/>
      <c r="X2" s="85"/>
    </row>
    <row r="3">
      <c r="A3" s="84"/>
      <c r="B3" s="84"/>
      <c r="C3" s="84"/>
      <c r="D3" s="84"/>
      <c r="E3" s="84"/>
      <c r="F3" s="84"/>
      <c r="G3" s="84"/>
      <c r="H3" s="84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>
      <c r="A4" s="47" t="s">
        <v>3</v>
      </c>
      <c r="B4" s="48" t="s">
        <v>17</v>
      </c>
      <c r="D4" s="49" t="s">
        <v>418</v>
      </c>
      <c r="E4" s="50" t="s">
        <v>419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6"/>
      <c r="S4" s="46"/>
      <c r="T4" s="46"/>
      <c r="U4" s="46"/>
      <c r="V4" s="46"/>
      <c r="W4" s="46"/>
      <c r="X4" s="46"/>
      <c r="Y4" s="87"/>
    </row>
    <row r="5">
      <c r="B5" s="53"/>
      <c r="D5" s="54"/>
      <c r="E5" s="50" t="s">
        <v>420</v>
      </c>
      <c r="F5" s="51"/>
      <c r="G5" s="51"/>
      <c r="H5" s="52"/>
      <c r="I5" s="50" t="s">
        <v>421</v>
      </c>
      <c r="J5" s="52"/>
      <c r="K5" s="50" t="s">
        <v>422</v>
      </c>
      <c r="L5" s="51"/>
      <c r="M5" s="51"/>
      <c r="N5" s="51"/>
      <c r="O5" s="51"/>
      <c r="P5" s="52"/>
      <c r="Q5" s="55" t="s">
        <v>423</v>
      </c>
      <c r="R5" s="46"/>
      <c r="S5" s="46"/>
      <c r="T5" s="46"/>
      <c r="U5" s="46"/>
      <c r="V5" s="46"/>
      <c r="W5" s="46"/>
      <c r="X5" s="46"/>
      <c r="Y5" s="87"/>
    </row>
    <row r="6">
      <c r="B6" s="53"/>
      <c r="D6" s="54"/>
      <c r="E6" s="56" t="s">
        <v>424</v>
      </c>
      <c r="F6" s="56" t="s">
        <v>425</v>
      </c>
      <c r="G6" s="56" t="s">
        <v>426</v>
      </c>
      <c r="H6" s="57" t="s">
        <v>427</v>
      </c>
      <c r="I6" s="50" t="s">
        <v>426</v>
      </c>
      <c r="J6" s="52"/>
      <c r="K6" s="50" t="s">
        <v>428</v>
      </c>
      <c r="L6" s="52"/>
      <c r="M6" s="50" t="s">
        <v>429</v>
      </c>
      <c r="N6" s="52"/>
      <c r="O6" s="58" t="s">
        <v>427</v>
      </c>
      <c r="P6" s="52"/>
      <c r="Q6" s="52"/>
      <c r="R6" s="46"/>
      <c r="S6" s="46"/>
      <c r="T6" s="46"/>
      <c r="U6" s="46"/>
      <c r="V6" s="46"/>
      <c r="W6" s="46"/>
      <c r="X6" s="46"/>
      <c r="Y6" s="87"/>
    </row>
    <row r="7">
      <c r="B7" s="59"/>
      <c r="C7" s="51"/>
      <c r="D7" s="52"/>
      <c r="E7" s="56" t="s">
        <v>430</v>
      </c>
      <c r="F7" s="56" t="s">
        <v>430</v>
      </c>
      <c r="G7" s="56" t="s">
        <v>430</v>
      </c>
      <c r="H7" s="57" t="s">
        <v>430</v>
      </c>
      <c r="I7" s="56" t="s">
        <v>431</v>
      </c>
      <c r="J7" s="56" t="s">
        <v>432</v>
      </c>
      <c r="K7" s="56" t="s">
        <v>431</v>
      </c>
      <c r="L7" s="56" t="s">
        <v>432</v>
      </c>
      <c r="M7" s="56" t="s">
        <v>431</v>
      </c>
      <c r="N7" s="56" t="s">
        <v>432</v>
      </c>
      <c r="O7" s="57" t="s">
        <v>431</v>
      </c>
      <c r="P7" s="57" t="s">
        <v>432</v>
      </c>
      <c r="Q7" s="60" t="s">
        <v>433</v>
      </c>
      <c r="R7" s="46"/>
      <c r="S7" s="46"/>
      <c r="T7" s="46"/>
      <c r="U7" s="46"/>
      <c r="V7" s="46"/>
      <c r="W7" s="46"/>
      <c r="X7" s="46"/>
      <c r="Y7" s="87"/>
    </row>
    <row r="8">
      <c r="A8" s="45"/>
      <c r="B8" s="61" t="s">
        <v>127</v>
      </c>
      <c r="C8" s="54"/>
      <c r="D8" s="88" t="s">
        <v>435</v>
      </c>
      <c r="E8" s="64"/>
      <c r="F8" s="63">
        <v>15.0</v>
      </c>
      <c r="G8" s="63">
        <v>40.0</v>
      </c>
      <c r="H8" s="65">
        <v>55.0</v>
      </c>
      <c r="I8" s="64"/>
      <c r="J8" s="64"/>
      <c r="K8" s="63">
        <v>20.0</v>
      </c>
      <c r="L8" s="63">
        <v>20.0</v>
      </c>
      <c r="M8" s="63">
        <v>25.0</v>
      </c>
      <c r="N8" s="63">
        <v>25.0</v>
      </c>
      <c r="O8" s="89">
        <v>45.0</v>
      </c>
      <c r="P8" s="89">
        <v>45.0</v>
      </c>
      <c r="Q8" s="90">
        <v>145.0</v>
      </c>
      <c r="R8" s="85"/>
      <c r="S8" s="85"/>
      <c r="T8" s="85"/>
      <c r="U8" s="85"/>
      <c r="V8" s="85"/>
      <c r="W8" s="85"/>
      <c r="X8" s="85"/>
    </row>
    <row r="9">
      <c r="A9" s="68">
        <v>2.6186063E7</v>
      </c>
      <c r="B9" s="53"/>
      <c r="C9" s="54"/>
      <c r="D9" s="88" t="s">
        <v>436</v>
      </c>
      <c r="E9" s="63">
        <v>0.0</v>
      </c>
      <c r="F9" s="63">
        <v>15.0</v>
      </c>
      <c r="G9" s="63">
        <v>31.0</v>
      </c>
      <c r="H9" s="65">
        <v>46.0</v>
      </c>
      <c r="I9" s="63">
        <v>0.0</v>
      </c>
      <c r="J9" s="63">
        <v>0.0</v>
      </c>
      <c r="K9" s="63">
        <v>20.0</v>
      </c>
      <c r="L9" s="63">
        <v>18.0</v>
      </c>
      <c r="M9" s="63">
        <v>11.0</v>
      </c>
      <c r="N9" s="63">
        <v>24.0</v>
      </c>
      <c r="O9" s="89">
        <v>31.0</v>
      </c>
      <c r="P9" s="89">
        <v>42.0</v>
      </c>
      <c r="Q9" s="91">
        <v>119.0</v>
      </c>
      <c r="R9" s="85"/>
      <c r="S9" s="85"/>
      <c r="T9" s="85"/>
      <c r="U9" s="85"/>
      <c r="V9" s="85"/>
      <c r="W9" s="85"/>
      <c r="X9" s="85"/>
    </row>
    <row r="10">
      <c r="A10" s="45"/>
      <c r="B10" s="59"/>
      <c r="C10" s="52"/>
      <c r="D10" s="92" t="s">
        <v>437</v>
      </c>
      <c r="E10" s="71">
        <v>0.0</v>
      </c>
      <c r="F10" s="71">
        <v>0.0</v>
      </c>
      <c r="G10" s="71">
        <v>9.0</v>
      </c>
      <c r="H10" s="71">
        <v>9.0</v>
      </c>
      <c r="I10" s="71">
        <v>0.0</v>
      </c>
      <c r="J10" s="71">
        <v>0.0</v>
      </c>
      <c r="K10" s="71">
        <v>0.0</v>
      </c>
      <c r="L10" s="71">
        <v>2.0</v>
      </c>
      <c r="M10" s="71">
        <v>14.0</v>
      </c>
      <c r="N10" s="71">
        <v>1.0</v>
      </c>
      <c r="O10" s="93">
        <v>14.0</v>
      </c>
      <c r="P10" s="93">
        <v>3.0</v>
      </c>
      <c r="Q10" s="93">
        <v>26.0</v>
      </c>
      <c r="R10" s="85"/>
      <c r="S10" s="85"/>
      <c r="T10" s="85"/>
      <c r="U10" s="85"/>
      <c r="V10" s="85"/>
      <c r="W10" s="85"/>
      <c r="X10" s="85"/>
    </row>
    <row r="11">
      <c r="A11" s="45"/>
      <c r="B11" s="61" t="s">
        <v>440</v>
      </c>
      <c r="C11" s="54"/>
      <c r="D11" s="88" t="s">
        <v>435</v>
      </c>
      <c r="E11" s="63">
        <v>30.0</v>
      </c>
      <c r="F11" s="63">
        <v>30.0</v>
      </c>
      <c r="G11" s="63">
        <v>40.0</v>
      </c>
      <c r="H11" s="65">
        <v>100.0</v>
      </c>
      <c r="I11" s="64"/>
      <c r="J11" s="64"/>
      <c r="K11" s="64"/>
      <c r="L11" s="64"/>
      <c r="M11" s="64"/>
      <c r="N11" s="64"/>
      <c r="O11" s="89">
        <v>0.0</v>
      </c>
      <c r="P11" s="89">
        <v>0.0</v>
      </c>
      <c r="Q11" s="90">
        <v>100.0</v>
      </c>
      <c r="R11" s="85"/>
      <c r="S11" s="85"/>
      <c r="T11" s="85"/>
      <c r="U11" s="85"/>
      <c r="V11" s="85"/>
      <c r="W11" s="85"/>
      <c r="X11" s="85"/>
    </row>
    <row r="12">
      <c r="A12" s="68">
        <v>2.6109425E7</v>
      </c>
      <c r="B12" s="53"/>
      <c r="C12" s="54"/>
      <c r="D12" s="88" t="s">
        <v>436</v>
      </c>
      <c r="E12" s="63">
        <v>30.0</v>
      </c>
      <c r="F12" s="63">
        <v>30.0</v>
      </c>
      <c r="G12" s="63">
        <v>41.0</v>
      </c>
      <c r="H12" s="65">
        <v>72.0</v>
      </c>
      <c r="I12" s="63">
        <v>0.0</v>
      </c>
      <c r="J12" s="63">
        <v>0.0</v>
      </c>
      <c r="K12" s="63">
        <v>0.0</v>
      </c>
      <c r="L12" s="63">
        <v>0.0</v>
      </c>
      <c r="M12" s="63">
        <v>0.0</v>
      </c>
      <c r="N12" s="63">
        <v>0.0</v>
      </c>
      <c r="O12" s="89">
        <v>0.0</v>
      </c>
      <c r="P12" s="89">
        <v>0.0</v>
      </c>
      <c r="Q12" s="91">
        <v>72.0</v>
      </c>
      <c r="R12" s="85"/>
      <c r="S12" s="85"/>
      <c r="T12" s="85"/>
      <c r="U12" s="85"/>
      <c r="V12" s="85"/>
      <c r="W12" s="85"/>
      <c r="X12" s="85"/>
    </row>
    <row r="13">
      <c r="A13" s="45"/>
      <c r="B13" s="59"/>
      <c r="C13" s="52"/>
      <c r="D13" s="92" t="s">
        <v>437</v>
      </c>
      <c r="E13" s="71">
        <v>0.0</v>
      </c>
      <c r="F13" s="71">
        <v>0.0</v>
      </c>
      <c r="G13" s="71">
        <v>-1.0</v>
      </c>
      <c r="H13" s="71">
        <v>28.0</v>
      </c>
      <c r="I13" s="71">
        <v>0.0</v>
      </c>
      <c r="J13" s="71">
        <v>0.0</v>
      </c>
      <c r="K13" s="71">
        <v>0.0</v>
      </c>
      <c r="L13" s="71">
        <v>0.0</v>
      </c>
      <c r="M13" s="71">
        <v>0.0</v>
      </c>
      <c r="N13" s="71">
        <v>0.0</v>
      </c>
      <c r="O13" s="93">
        <v>0.0</v>
      </c>
      <c r="P13" s="93">
        <v>0.0</v>
      </c>
      <c r="Q13" s="93">
        <v>28.0</v>
      </c>
      <c r="R13" s="85"/>
      <c r="S13" s="85"/>
      <c r="T13" s="85"/>
      <c r="U13" s="85"/>
      <c r="V13" s="85"/>
      <c r="W13" s="85"/>
      <c r="X13" s="85"/>
    </row>
    <row r="14">
      <c r="A14" s="45"/>
      <c r="B14" s="61" t="s">
        <v>134</v>
      </c>
      <c r="C14" s="54"/>
      <c r="D14" s="88" t="s">
        <v>435</v>
      </c>
      <c r="E14" s="63">
        <v>15.0</v>
      </c>
      <c r="F14" s="63">
        <v>30.0</v>
      </c>
      <c r="G14" s="63">
        <v>20.0</v>
      </c>
      <c r="H14" s="65">
        <v>65.0</v>
      </c>
      <c r="I14" s="64"/>
      <c r="J14" s="64"/>
      <c r="K14" s="64"/>
      <c r="L14" s="64"/>
      <c r="M14" s="64"/>
      <c r="N14" s="64"/>
      <c r="O14" s="89">
        <v>0.0</v>
      </c>
      <c r="P14" s="89">
        <v>0.0</v>
      </c>
      <c r="Q14" s="90">
        <v>65.0</v>
      </c>
      <c r="R14" s="85"/>
      <c r="S14" s="85"/>
      <c r="T14" s="85"/>
      <c r="U14" s="85"/>
      <c r="V14" s="85"/>
      <c r="W14" s="85"/>
      <c r="X14" s="85"/>
    </row>
    <row r="15">
      <c r="A15" s="68">
        <v>2.6190168E7</v>
      </c>
      <c r="B15" s="53"/>
      <c r="C15" s="54"/>
      <c r="D15" s="88" t="s">
        <v>436</v>
      </c>
      <c r="E15" s="63">
        <v>15.0</v>
      </c>
      <c r="F15" s="63">
        <v>30.0</v>
      </c>
      <c r="G15" s="63">
        <v>20.0</v>
      </c>
      <c r="H15" s="65">
        <v>65.0</v>
      </c>
      <c r="I15" s="63">
        <v>0.0</v>
      </c>
      <c r="J15" s="63">
        <v>0.0</v>
      </c>
      <c r="K15" s="63">
        <v>0.0</v>
      </c>
      <c r="L15" s="63">
        <v>0.0</v>
      </c>
      <c r="M15" s="63">
        <v>0.0</v>
      </c>
      <c r="N15" s="63">
        <v>0.0</v>
      </c>
      <c r="O15" s="89">
        <v>0.0</v>
      </c>
      <c r="P15" s="89">
        <v>0.0</v>
      </c>
      <c r="Q15" s="91">
        <v>65.0</v>
      </c>
      <c r="R15" s="85"/>
      <c r="S15" s="85"/>
      <c r="T15" s="85"/>
      <c r="U15" s="85"/>
      <c r="V15" s="85"/>
      <c r="W15" s="85"/>
      <c r="X15" s="85"/>
    </row>
    <row r="16">
      <c r="A16" s="45"/>
      <c r="B16" s="59"/>
      <c r="C16" s="52"/>
      <c r="D16" s="92" t="s">
        <v>437</v>
      </c>
      <c r="E16" s="71">
        <v>0.0</v>
      </c>
      <c r="F16" s="71">
        <v>0.0</v>
      </c>
      <c r="G16" s="71">
        <v>0.0</v>
      </c>
      <c r="H16" s="71">
        <v>0.0</v>
      </c>
      <c r="I16" s="71">
        <v>0.0</v>
      </c>
      <c r="J16" s="71">
        <v>0.0</v>
      </c>
      <c r="K16" s="71">
        <v>0.0</v>
      </c>
      <c r="L16" s="71">
        <v>0.0</v>
      </c>
      <c r="M16" s="71">
        <v>0.0</v>
      </c>
      <c r="N16" s="71">
        <v>0.0</v>
      </c>
      <c r="O16" s="93">
        <v>0.0</v>
      </c>
      <c r="P16" s="93">
        <v>0.0</v>
      </c>
      <c r="Q16" s="93">
        <v>0.0</v>
      </c>
      <c r="R16" s="85"/>
      <c r="S16" s="85"/>
      <c r="T16" s="85"/>
      <c r="U16" s="85"/>
      <c r="V16" s="85"/>
      <c r="W16" s="85"/>
      <c r="X16" s="85"/>
    </row>
    <row r="17">
      <c r="A17" s="84"/>
      <c r="B17" s="84"/>
      <c r="C17" s="84"/>
      <c r="D17" s="84"/>
      <c r="E17" s="84"/>
      <c r="F17" s="84"/>
      <c r="G17" s="84"/>
      <c r="H17" s="84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</row>
    <row r="18">
      <c r="A18" s="84"/>
      <c r="B18" s="84"/>
      <c r="C18" s="84"/>
      <c r="D18" s="84"/>
      <c r="E18" s="84"/>
      <c r="F18" s="84"/>
      <c r="G18" s="84"/>
      <c r="H18" s="84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</row>
    <row r="19">
      <c r="A19" s="84"/>
      <c r="B19" s="84"/>
      <c r="C19" s="84"/>
      <c r="D19" s="84"/>
      <c r="E19" s="84"/>
      <c r="F19" s="84"/>
      <c r="G19" s="84"/>
      <c r="H19" s="8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</row>
    <row r="20">
      <c r="A20" s="72"/>
      <c r="B20" s="73" t="s">
        <v>411</v>
      </c>
      <c r="C20" s="74" t="s">
        <v>7</v>
      </c>
      <c r="D20" s="74" t="s">
        <v>412</v>
      </c>
      <c r="E20" s="74" t="s">
        <v>413</v>
      </c>
      <c r="F20" s="74" t="s">
        <v>11</v>
      </c>
      <c r="G20" s="75" t="s">
        <v>414</v>
      </c>
      <c r="H20" s="75" t="s">
        <v>415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94"/>
    </row>
    <row r="21" ht="15.75" customHeight="1">
      <c r="A21" s="77"/>
      <c r="B21" s="78" t="str">
        <f>IFERROR(__xludf.DUMMYFUNCTION("QUERY(dados_02!$A$2:$H$675, ""SELECT Col1, Col2, Col3, Col4, Col5, Col6, Col7  where Col8 = 'REGIONAL 2' "")"),"25/02/2026 12:49:56")</f>
        <v>25/02/2026 12:49:56</v>
      </c>
      <c r="C21" s="79" t="str">
        <f>IFERROR(__xludf.DUMMYFUNCTION("""COMPUTED_VALUE"""),"1")</f>
        <v>1</v>
      </c>
      <c r="D21" s="80" t="str">
        <f>IFERROR(__xludf.DUMMYFUNCTION("""COMPUTED_VALUE"""),"C")</f>
        <v>C</v>
      </c>
      <c r="E21" s="81" t="str">
        <f>IFERROR(__xludf.DUMMYFUNCTION("""COMPUTED_VALUE"""),"03/07/2025")</f>
        <v>03/07/2025</v>
      </c>
      <c r="F21" s="80" t="str">
        <f>IFERROR(__xludf.DUMMYFUNCTION("""COMPUTED_VALUE"""),"006******51")</f>
        <v>006******51</v>
      </c>
      <c r="G21" s="80" t="str">
        <f>IFERROR(__xludf.DUMMYFUNCTION("""COMPUTED_VALUE"""),"INFANTIL 1")</f>
        <v>INFANTIL 1</v>
      </c>
      <c r="H21" s="95" t="str">
        <f>IFERROR(__xludf.DUMMYFUNCTION("""COMPUTED_VALUE"""),"CRECHE ALAYDE MARIA DA CONCEICAO")</f>
        <v>CRECHE ALAYDE MARIA DA CONCEICAO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96"/>
    </row>
    <row r="22" ht="15.75" customHeight="1">
      <c r="A22" s="77"/>
      <c r="B22" s="78" t="str">
        <f>IFERROR(__xludf.DUMMYFUNCTION("""COMPUTED_VALUE"""),"25/03/2026 16:34:54")</f>
        <v>25/03/2026 16:34:54</v>
      </c>
      <c r="C22" s="79" t="str">
        <f>IFERROR(__xludf.DUMMYFUNCTION("""COMPUTED_VALUE"""),"2")</f>
        <v>2</v>
      </c>
      <c r="D22" s="80" t="str">
        <f>IFERROR(__xludf.DUMMYFUNCTION("""COMPUTED_VALUE"""),"D. A. D. S")</f>
        <v>D. A. D. S</v>
      </c>
      <c r="E22" s="81" t="str">
        <f>IFERROR(__xludf.DUMMYFUNCTION("""COMPUTED_VALUE"""),"27/05/2025")</f>
        <v>27/05/2025</v>
      </c>
      <c r="F22" s="80" t="str">
        <f>IFERROR(__xludf.DUMMYFUNCTION("""COMPUTED_VALUE"""),"003******10")</f>
        <v>003******10</v>
      </c>
      <c r="G22" s="80" t="str">
        <f>IFERROR(__xludf.DUMMYFUNCTION("""COMPUTED_VALUE"""),"INFANTIL 1")</f>
        <v>INFANTIL 1</v>
      </c>
      <c r="H22" s="95" t="str">
        <f>IFERROR(__xludf.DUMMYFUNCTION("""COMPUTED_VALUE"""),"CRECHE ALAYDE MARIA DA CONCEICAO")</f>
        <v>CRECHE ALAYDE MARIA DA CONCEICAO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96"/>
    </row>
    <row r="23" ht="15.75" customHeight="1">
      <c r="A23" s="77"/>
      <c r="B23" s="78" t="str">
        <f>IFERROR(__xludf.DUMMYFUNCTION("""COMPUTED_VALUE"""),"18/06/2026 11:42:52")</f>
        <v>18/06/2026 11:42:52</v>
      </c>
      <c r="C23" s="79" t="str">
        <f>IFERROR(__xludf.DUMMYFUNCTION("""COMPUTED_VALUE"""),"3")</f>
        <v>3</v>
      </c>
      <c r="D23" s="80" t="str">
        <f>IFERROR(__xludf.DUMMYFUNCTION("""COMPUTED_VALUE"""),"H. S. S. d. S")</f>
        <v>H. S. S. d. S</v>
      </c>
      <c r="E23" s="81" t="str">
        <f>IFERROR(__xludf.DUMMYFUNCTION("""COMPUTED_VALUE"""),"04/04/2025")</f>
        <v>04/04/2025</v>
      </c>
      <c r="F23" s="80" t="str">
        <f>IFERROR(__xludf.DUMMYFUNCTION("""COMPUTED_VALUE"""),"005******23")</f>
        <v>005******23</v>
      </c>
      <c r="G23" s="80" t="str">
        <f>IFERROR(__xludf.DUMMYFUNCTION("""COMPUTED_VALUE"""),"INFANTIL 1")</f>
        <v>INFANTIL 1</v>
      </c>
      <c r="H23" s="95" t="str">
        <f>IFERROR(__xludf.DUMMYFUNCTION("""COMPUTED_VALUE"""),"CRECHE ALAYDE MARIA DA CONCEICAO")</f>
        <v>CRECHE ALAYDE MARIA DA CONCEICAO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96"/>
    </row>
    <row r="24" ht="15.75" customHeight="1">
      <c r="A24" s="77"/>
      <c r="B24" s="78" t="str">
        <f>IFERROR(__xludf.DUMMYFUNCTION("""COMPUTED_VALUE"""),"23/06/2026 08:34:26")</f>
        <v>23/06/2026 08:34:26</v>
      </c>
      <c r="C24" s="79" t="str">
        <f>IFERROR(__xludf.DUMMYFUNCTION("""COMPUTED_VALUE"""),"4")</f>
        <v>4</v>
      </c>
      <c r="D24" s="80" t="str">
        <f>IFERROR(__xludf.DUMMYFUNCTION("""COMPUTED_VALUE"""),"E. S. p. d. O")</f>
        <v>E. S. p. d. O</v>
      </c>
      <c r="E24" s="81" t="str">
        <f>IFERROR(__xludf.DUMMYFUNCTION("""COMPUTED_VALUE"""),"08/07/2024")</f>
        <v>08/07/2024</v>
      </c>
      <c r="F24" s="80" t="str">
        <f>IFERROR(__xludf.DUMMYFUNCTION("""COMPUTED_VALUE"""),"003******67")</f>
        <v>003******67</v>
      </c>
      <c r="G24" s="80" t="str">
        <f>IFERROR(__xludf.DUMMYFUNCTION("""COMPUTED_VALUE"""),"INFANTIL 1")</f>
        <v>INFANTIL 1</v>
      </c>
      <c r="H24" s="95" t="str">
        <f>IFERROR(__xludf.DUMMYFUNCTION("""COMPUTED_VALUE"""),"CRECHE ALAYDE MARIA DA CONCEICAO")</f>
        <v>CRECHE ALAYDE MARIA DA CONCEICAO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96"/>
    </row>
    <row r="25" ht="15.75" customHeight="1">
      <c r="A25" s="77"/>
      <c r="B25" s="77" t="str">
        <f>IFERROR(__xludf.DUMMYFUNCTION("""COMPUTED_VALUE"""),"19/03/2026 10:36:55")</f>
        <v>19/03/2026 10:36:55</v>
      </c>
      <c r="C25" s="83" t="str">
        <f>IFERROR(__xludf.DUMMYFUNCTION("""COMPUTED_VALUE"""),"1")</f>
        <v>1</v>
      </c>
      <c r="D25" s="77" t="str">
        <f>IFERROR(__xludf.DUMMYFUNCTION("""COMPUTED_VALUE"""),"E. E. M. D. L")</f>
        <v>E. E. M. D. L</v>
      </c>
      <c r="E25" s="77" t="str">
        <f>IFERROR(__xludf.DUMMYFUNCTION("""COMPUTED_VALUE"""),"21/04/2023")</f>
        <v>21/04/2023</v>
      </c>
      <c r="F25" s="77" t="str">
        <f>IFERROR(__xludf.DUMMYFUNCTION("""COMPUTED_VALUE"""),"185******93")</f>
        <v>185******93</v>
      </c>
      <c r="G25" s="77" t="str">
        <f>IFERROR(__xludf.DUMMYFUNCTION("""COMPUTED_VALUE"""),"INFANTIL 2")</f>
        <v>INFANTIL 2</v>
      </c>
      <c r="H25" s="97" t="str">
        <f>IFERROR(__xludf.DUMMYFUNCTION("""COMPUTED_VALUE"""),"CRECHE ALAYDE MARIA DA CONCEICAO")</f>
        <v>CRECHE ALAYDE MARIA DA CONCEICAO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96"/>
    </row>
    <row r="26" ht="15.75" customHeight="1">
      <c r="A26" s="77"/>
      <c r="B26" s="77" t="str">
        <f>IFERROR(__xludf.DUMMYFUNCTION("""COMPUTED_VALUE"""),"31/03/2026 12:14:35")</f>
        <v>31/03/2026 12:14:35</v>
      </c>
      <c r="C26" s="83" t="str">
        <f>IFERROR(__xludf.DUMMYFUNCTION("""COMPUTED_VALUE"""),"2")</f>
        <v>2</v>
      </c>
      <c r="D26" s="77" t="str">
        <f>IFERROR(__xludf.DUMMYFUNCTION("""COMPUTED_VALUE"""),"H. D. A. F")</f>
        <v>H. D. A. F</v>
      </c>
      <c r="E26" s="77" t="str">
        <f>IFERROR(__xludf.DUMMYFUNCTION("""COMPUTED_VALUE"""),"04/03/2024")</f>
        <v>04/03/2024</v>
      </c>
      <c r="F26" s="77" t="str">
        <f>IFERROR(__xludf.DUMMYFUNCTION("""COMPUTED_VALUE"""),"002******10")</f>
        <v>002******10</v>
      </c>
      <c r="G26" s="77" t="str">
        <f>IFERROR(__xludf.DUMMYFUNCTION("""COMPUTED_VALUE"""),"INFANTIL 2")</f>
        <v>INFANTIL 2</v>
      </c>
      <c r="H26" s="97" t="str">
        <f>IFERROR(__xludf.DUMMYFUNCTION("""COMPUTED_VALUE"""),"CRECHE ALAYDE MARIA DA CONCEICAO")</f>
        <v>CRECHE ALAYDE MARIA DA CONCEICAO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96"/>
    </row>
    <row r="27" ht="15.75" customHeight="1">
      <c r="A27" s="77"/>
      <c r="B27" s="77" t="str">
        <f>IFERROR(__xludf.DUMMYFUNCTION("""COMPUTED_VALUE"""),"27/04/2026 15:51:32")</f>
        <v>27/04/2026 15:51:32</v>
      </c>
      <c r="C27" s="83" t="str">
        <f>IFERROR(__xludf.DUMMYFUNCTION("""COMPUTED_VALUE"""),"3")</f>
        <v>3</v>
      </c>
      <c r="D27" s="77" t="str">
        <f>IFERROR(__xludf.DUMMYFUNCTION("""COMPUTED_VALUE"""),"E. F. M. D. S. R")</f>
        <v>E. F. M. D. S. R</v>
      </c>
      <c r="E27" s="77" t="str">
        <f>IFERROR(__xludf.DUMMYFUNCTION("""COMPUTED_VALUE"""),"11/02/2024")</f>
        <v>11/02/2024</v>
      </c>
      <c r="F27" s="77" t="str">
        <f>IFERROR(__xludf.DUMMYFUNCTION("""COMPUTED_VALUE"""),"001******22")</f>
        <v>001******22</v>
      </c>
      <c r="G27" s="77" t="str">
        <f>IFERROR(__xludf.DUMMYFUNCTION("""COMPUTED_VALUE"""),"INFANTIL 2")</f>
        <v>INFANTIL 2</v>
      </c>
      <c r="H27" s="97" t="str">
        <f>IFERROR(__xludf.DUMMYFUNCTION("""COMPUTED_VALUE"""),"CRECHE ALAYDE MARIA DA CONCEICAO")</f>
        <v>CRECHE ALAYDE MARIA DA CONCEICAO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96"/>
    </row>
    <row r="28" ht="15.75" customHeight="1">
      <c r="A28" s="77"/>
      <c r="B28" s="77" t="str">
        <f>IFERROR(__xludf.DUMMYFUNCTION("""COMPUTED_VALUE"""),"26/02/2026 09:33:21")</f>
        <v>26/02/2026 09:33:21</v>
      </c>
      <c r="C28" s="83" t="str">
        <f>IFERROR(__xludf.DUMMYFUNCTION("""COMPUTED_VALUE"""),"1")</f>
        <v>1</v>
      </c>
      <c r="D28" s="77" t="str">
        <f>IFERROR(__xludf.DUMMYFUNCTION("""COMPUTED_VALUE"""),"M. L. S. D. S")</f>
        <v>M. L. S. D. S</v>
      </c>
      <c r="E28" s="77" t="str">
        <f>IFERROR(__xludf.DUMMYFUNCTION("""COMPUTED_VALUE"""),"20/07/2024")</f>
        <v>20/07/2024</v>
      </c>
      <c r="F28" s="77" t="str">
        <f>IFERROR(__xludf.DUMMYFUNCTION("""COMPUTED_VALUE"""),"003******16")</f>
        <v>003******16</v>
      </c>
      <c r="G28" s="77" t="str">
        <f>IFERROR(__xludf.DUMMYFUNCTION("""COMPUTED_VALUE"""),"INFANTIL 1")</f>
        <v>INFANTIL 1</v>
      </c>
      <c r="H28" s="97" t="str">
        <f>IFERROR(__xludf.DUMMYFUNCTION("""COMPUTED_VALUE"""),"CRECHE PROFESSORA LEDA MARIA QUEIROZ DO REGO BARROS")</f>
        <v>CRECHE PROFESSORA LEDA MARIA QUEIROZ DO REGO BARROS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96"/>
    </row>
    <row r="29" ht="15.75" customHeight="1">
      <c r="A29" s="77"/>
      <c r="B29" s="77" t="str">
        <f>IFERROR(__xludf.DUMMYFUNCTION("""COMPUTED_VALUE"""),"05/04/2026 16:11:06")</f>
        <v>05/04/2026 16:11:06</v>
      </c>
      <c r="C29" s="83" t="str">
        <f>IFERROR(__xludf.DUMMYFUNCTION("""COMPUTED_VALUE"""),"2")</f>
        <v>2</v>
      </c>
      <c r="D29" s="77" t="str">
        <f>IFERROR(__xludf.DUMMYFUNCTION("""COMPUTED_VALUE"""),"T. N. F. G")</f>
        <v>T. N. F. G</v>
      </c>
      <c r="E29" s="77" t="str">
        <f>IFERROR(__xludf.DUMMYFUNCTION("""COMPUTED_VALUE"""),"27/09/2024")</f>
        <v>27/09/2024</v>
      </c>
      <c r="F29" s="77" t="str">
        <f>IFERROR(__xludf.DUMMYFUNCTION("""COMPUTED_VALUE"""),"004******13")</f>
        <v>004******13</v>
      </c>
      <c r="G29" s="77" t="str">
        <f>IFERROR(__xludf.DUMMYFUNCTION("""COMPUTED_VALUE"""),"INFANTIL 1")</f>
        <v>INFANTIL 1</v>
      </c>
      <c r="H29" s="97" t="str">
        <f>IFERROR(__xludf.DUMMYFUNCTION("""COMPUTED_VALUE"""),"CRECHE PROFESSORA LEDA MARIA QUEIROZ DO REGO BARROS")</f>
        <v>CRECHE PROFESSORA LEDA MARIA QUEIROZ DO REGO BARROS</v>
      </c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96"/>
    </row>
    <row r="30" ht="15.75" customHeight="1">
      <c r="A30" s="77"/>
      <c r="B30" s="77" t="str">
        <f>IFERROR(__xludf.DUMMYFUNCTION("""COMPUTED_VALUE"""),"25/05/2026 11:20:13")</f>
        <v>25/05/2026 11:20:13</v>
      </c>
      <c r="C30" s="83" t="str">
        <f>IFERROR(__xludf.DUMMYFUNCTION("""COMPUTED_VALUE"""),"3")</f>
        <v>3</v>
      </c>
      <c r="D30" s="77" t="str">
        <f>IFERROR(__xludf.DUMMYFUNCTION("""COMPUTED_VALUE"""),"M. C. M. D. S")</f>
        <v>M. C. M. D. S</v>
      </c>
      <c r="E30" s="77" t="str">
        <f>IFERROR(__xludf.DUMMYFUNCTION("""COMPUTED_VALUE"""),"22/04/2024")</f>
        <v>22/04/2024</v>
      </c>
      <c r="F30" s="77" t="str">
        <f>IFERROR(__xludf.DUMMYFUNCTION("""COMPUTED_VALUE"""),"003******40")</f>
        <v>003******40</v>
      </c>
      <c r="G30" s="77" t="str">
        <f>IFERROR(__xludf.DUMMYFUNCTION("""COMPUTED_VALUE"""),"INFANTIL 1")</f>
        <v>INFANTIL 1</v>
      </c>
      <c r="H30" s="97" t="str">
        <f>IFERROR(__xludf.DUMMYFUNCTION("""COMPUTED_VALUE"""),"CRECHE PROFESSORA LEDA MARIA QUEIROZ DO REGO BARROS")</f>
        <v>CRECHE PROFESSORA LEDA MARIA QUEIROZ DO REGO BARROS</v>
      </c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96"/>
    </row>
    <row r="31" ht="15.75" customHeight="1">
      <c r="A31" s="77"/>
      <c r="B31" s="77" t="str">
        <f>IFERROR(__xludf.DUMMYFUNCTION("""COMPUTED_VALUE"""),"01/06/2026 12:02:51")</f>
        <v>01/06/2026 12:02:51</v>
      </c>
      <c r="C31" s="83" t="str">
        <f>IFERROR(__xludf.DUMMYFUNCTION("""COMPUTED_VALUE"""),"4")</f>
        <v>4</v>
      </c>
      <c r="D31" s="77" t="str">
        <f>IFERROR(__xludf.DUMMYFUNCTION("""COMPUTED_VALUE"""),"R. V. V. M. d. S")</f>
        <v>R. V. V. M. d. S</v>
      </c>
      <c r="E31" s="77" t="str">
        <f>IFERROR(__xludf.DUMMYFUNCTION("""COMPUTED_VALUE"""),"18/03/2025")</f>
        <v>18/03/2025</v>
      </c>
      <c r="F31" s="77" t="str">
        <f>IFERROR(__xludf.DUMMYFUNCTION("""COMPUTED_VALUE"""),"005******43")</f>
        <v>005******43</v>
      </c>
      <c r="G31" s="77" t="str">
        <f>IFERROR(__xludf.DUMMYFUNCTION("""COMPUTED_VALUE"""),"INFANTIL 1")</f>
        <v>INFANTIL 1</v>
      </c>
      <c r="H31" s="97" t="str">
        <f>IFERROR(__xludf.DUMMYFUNCTION("""COMPUTED_VALUE"""),"CRECHE PROFESSORA LEDA MARIA QUEIROZ DO REGO BARROS")</f>
        <v>CRECHE PROFESSORA LEDA MARIA QUEIROZ DO REGO BARROS</v>
      </c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96"/>
    </row>
    <row r="32" ht="15.75" customHeight="1">
      <c r="A32" s="77"/>
      <c r="B32" s="77" t="str">
        <f>IFERROR(__xludf.DUMMYFUNCTION("""COMPUTED_VALUE"""),"02/02/2026 18:41:44")</f>
        <v>02/02/2026 18:41:44</v>
      </c>
      <c r="C32" s="83" t="str">
        <f>IFERROR(__xludf.DUMMYFUNCTION("""COMPUTED_VALUE"""),"1")</f>
        <v>1</v>
      </c>
      <c r="D32" s="77" t="str">
        <f>IFERROR(__xludf.DUMMYFUNCTION("""COMPUTED_VALUE"""),"Y. K. D. S. P")</f>
        <v>Y. K. D. S. P</v>
      </c>
      <c r="E32" s="77" t="str">
        <f>IFERROR(__xludf.DUMMYFUNCTION("""COMPUTED_VALUE"""),"24/06/2023")</f>
        <v>24/06/2023</v>
      </c>
      <c r="F32" s="77" t="str">
        <f>IFERROR(__xludf.DUMMYFUNCTION("""COMPUTED_VALUE"""),"185******44")</f>
        <v>185******44</v>
      </c>
      <c r="G32" s="77" t="str">
        <f>IFERROR(__xludf.DUMMYFUNCTION("""COMPUTED_VALUE"""),"INFANTIL 2")</f>
        <v>INFANTIL 2</v>
      </c>
      <c r="H32" s="97" t="str">
        <f>IFERROR(__xludf.DUMMYFUNCTION("""COMPUTED_VALUE"""),"CRECHE PROFESSORA LEDA MARIA QUEIROZ DO REGO BARROS")</f>
        <v>CRECHE PROFESSORA LEDA MARIA QUEIROZ DO REGO BARROS</v>
      </c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96"/>
    </row>
    <row r="33" ht="15.75" customHeight="1">
      <c r="A33" s="77"/>
      <c r="B33" s="77" t="str">
        <f>IFERROR(__xludf.DUMMYFUNCTION("""COMPUTED_VALUE"""),"09/02/2026 08:20:49")</f>
        <v>09/02/2026 08:20:49</v>
      </c>
      <c r="C33" s="83" t="str">
        <f>IFERROR(__xludf.DUMMYFUNCTION("""COMPUTED_VALUE"""),"2")</f>
        <v>2</v>
      </c>
      <c r="D33" s="77" t="str">
        <f>IFERROR(__xludf.DUMMYFUNCTION("""COMPUTED_VALUE"""),"T. R. D. S")</f>
        <v>T. R. D. S</v>
      </c>
      <c r="E33" s="77" t="str">
        <f>IFERROR(__xludf.DUMMYFUNCTION("""COMPUTED_VALUE"""),"10/03/2024")</f>
        <v>10/03/2024</v>
      </c>
      <c r="F33" s="77" t="str">
        <f>IFERROR(__xludf.DUMMYFUNCTION("""COMPUTED_VALUE"""),"002******98")</f>
        <v>002******98</v>
      </c>
      <c r="G33" s="77" t="str">
        <f>IFERROR(__xludf.DUMMYFUNCTION("""COMPUTED_VALUE"""),"INFANTIL 2")</f>
        <v>INFANTIL 2</v>
      </c>
      <c r="H33" s="97" t="str">
        <f>IFERROR(__xludf.DUMMYFUNCTION("""COMPUTED_VALUE"""),"CRECHE PROFESSORA LEDA MARIA QUEIROZ DO REGO BARROS")</f>
        <v>CRECHE PROFESSORA LEDA MARIA QUEIROZ DO REGO BARROS</v>
      </c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96"/>
    </row>
    <row r="34" ht="15.75" customHeight="1">
      <c r="A34" s="77"/>
      <c r="B34" s="77" t="str">
        <f>IFERROR(__xludf.DUMMYFUNCTION("""COMPUTED_VALUE"""),"09/03/2026 10:20:55")</f>
        <v>09/03/2026 10:20:55</v>
      </c>
      <c r="C34" s="83" t="str">
        <f>IFERROR(__xludf.DUMMYFUNCTION("""COMPUTED_VALUE"""),"3")</f>
        <v>3</v>
      </c>
      <c r="D34" s="77" t="str">
        <f>IFERROR(__xludf.DUMMYFUNCTION("""COMPUTED_VALUE"""),"S. J. D. S. A")</f>
        <v>S. J. D. S. A</v>
      </c>
      <c r="E34" s="77" t="str">
        <f>IFERROR(__xludf.DUMMYFUNCTION("""COMPUTED_VALUE"""),"19/06/2023")</f>
        <v>19/06/2023</v>
      </c>
      <c r="F34" s="77" t="str">
        <f>IFERROR(__xludf.DUMMYFUNCTION("""COMPUTED_VALUE"""),"185******81")</f>
        <v>185******81</v>
      </c>
      <c r="G34" s="77" t="str">
        <f>IFERROR(__xludf.DUMMYFUNCTION("""COMPUTED_VALUE"""),"INFANTIL 2")</f>
        <v>INFANTIL 2</v>
      </c>
      <c r="H34" s="97" t="str">
        <f>IFERROR(__xludf.DUMMYFUNCTION("""COMPUTED_VALUE"""),"CRECHE PROFESSORA LEDA MARIA QUEIROZ DO REGO BARROS")</f>
        <v>CRECHE PROFESSORA LEDA MARIA QUEIROZ DO REGO BARROS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96"/>
    </row>
    <row r="35" ht="15.75" customHeight="1">
      <c r="A35" s="77"/>
      <c r="B35" s="77" t="str">
        <f>IFERROR(__xludf.DUMMYFUNCTION("""COMPUTED_VALUE"""),"10/04/2026 02:09:34")</f>
        <v>10/04/2026 02:09:34</v>
      </c>
      <c r="C35" s="83" t="str">
        <f>IFERROR(__xludf.DUMMYFUNCTION("""COMPUTED_VALUE"""),"4")</f>
        <v>4</v>
      </c>
      <c r="D35" s="77" t="str">
        <f>IFERROR(__xludf.DUMMYFUNCTION("""COMPUTED_VALUE"""),"S. R. S. D. N")</f>
        <v>S. R. S. D. N</v>
      </c>
      <c r="E35" s="77" t="str">
        <f>IFERROR(__xludf.DUMMYFUNCTION("""COMPUTED_VALUE"""),"10/08/2023")</f>
        <v>10/08/2023</v>
      </c>
      <c r="F35" s="77" t="str">
        <f>IFERROR(__xludf.DUMMYFUNCTION("""COMPUTED_VALUE"""),"186******67")</f>
        <v>186******67</v>
      </c>
      <c r="G35" s="77" t="str">
        <f>IFERROR(__xludf.DUMMYFUNCTION("""COMPUTED_VALUE"""),"INFANTIL 2")</f>
        <v>INFANTIL 2</v>
      </c>
      <c r="H35" s="97" t="str">
        <f>IFERROR(__xludf.DUMMYFUNCTION("""COMPUTED_VALUE"""),"CRECHE PROFESSORA LEDA MARIA QUEIROZ DO REGO BARROS")</f>
        <v>CRECHE PROFESSORA LEDA MARIA QUEIROZ DO REGO BARROS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96"/>
    </row>
    <row r="36" ht="15.75" customHeight="1">
      <c r="A36" s="77"/>
      <c r="B36" s="77" t="str">
        <f>IFERROR(__xludf.DUMMYFUNCTION("""COMPUTED_VALUE"""),"22/04/2026 11:52:44")</f>
        <v>22/04/2026 11:52:44</v>
      </c>
      <c r="C36" s="83" t="str">
        <f>IFERROR(__xludf.DUMMYFUNCTION("""COMPUTED_VALUE"""),"5")</f>
        <v>5</v>
      </c>
      <c r="D36" s="77" t="str">
        <f>IFERROR(__xludf.DUMMYFUNCTION("""COMPUTED_VALUE"""),"H. M. F")</f>
        <v>H. M. F</v>
      </c>
      <c r="E36" s="77" t="str">
        <f>IFERROR(__xludf.DUMMYFUNCTION("""COMPUTED_VALUE"""),"15/07/2023")</f>
        <v>15/07/2023</v>
      </c>
      <c r="F36" s="77" t="str">
        <f>IFERROR(__xludf.DUMMYFUNCTION("""COMPUTED_VALUE"""),"186******47")</f>
        <v>186******47</v>
      </c>
      <c r="G36" s="77" t="str">
        <f>IFERROR(__xludf.DUMMYFUNCTION("""COMPUTED_VALUE"""),"INFANTIL 2")</f>
        <v>INFANTIL 2</v>
      </c>
      <c r="H36" s="97" t="str">
        <f>IFERROR(__xludf.DUMMYFUNCTION("""COMPUTED_VALUE"""),"CRECHE PROFESSORA LEDA MARIA QUEIROZ DO REGO BARROS")</f>
        <v>CRECHE PROFESSORA LEDA MARIA QUEIROZ DO REGO BARROS</v>
      </c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96"/>
    </row>
    <row r="37" ht="15.75" customHeight="1">
      <c r="A37" s="77"/>
      <c r="B37" s="77"/>
      <c r="C37" s="83"/>
      <c r="D37" s="77"/>
      <c r="E37" s="77"/>
      <c r="F37" s="77"/>
      <c r="G37" s="77"/>
      <c r="H37" s="9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96"/>
    </row>
    <row r="38" ht="15.75" customHeight="1">
      <c r="A38" s="77"/>
      <c r="B38" s="77"/>
      <c r="C38" s="83"/>
      <c r="D38" s="77"/>
      <c r="E38" s="77"/>
      <c r="F38" s="77"/>
      <c r="G38" s="77"/>
      <c r="H38" s="9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96"/>
    </row>
    <row r="39" ht="15.75" customHeight="1">
      <c r="A39" s="77"/>
      <c r="B39" s="77"/>
      <c r="C39" s="83"/>
      <c r="D39" s="77"/>
      <c r="E39" s="77"/>
      <c r="F39" s="77"/>
      <c r="G39" s="77"/>
      <c r="H39" s="9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96"/>
    </row>
    <row r="40" ht="15.75" customHeight="1">
      <c r="A40" s="77"/>
      <c r="B40" s="77"/>
      <c r="C40" s="83"/>
      <c r="D40" s="77"/>
      <c r="E40" s="77"/>
      <c r="F40" s="77"/>
      <c r="G40" s="77"/>
      <c r="H40" s="9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96"/>
    </row>
    <row r="41" ht="15.75" customHeight="1">
      <c r="A41" s="77"/>
      <c r="B41" s="77"/>
      <c r="C41" s="83"/>
      <c r="D41" s="77"/>
      <c r="E41" s="77"/>
      <c r="F41" s="77"/>
      <c r="G41" s="77"/>
      <c r="H41" s="9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96"/>
    </row>
  </sheetData>
  <mergeCells count="16">
    <mergeCell ref="K5:P5"/>
    <mergeCell ref="Q5:Q6"/>
    <mergeCell ref="K6:L6"/>
    <mergeCell ref="M6:N6"/>
    <mergeCell ref="O6:P6"/>
    <mergeCell ref="B4:C7"/>
    <mergeCell ref="B8:C10"/>
    <mergeCell ref="B11:C13"/>
    <mergeCell ref="B14:C16"/>
    <mergeCell ref="B2:Q2"/>
    <mergeCell ref="A4:A7"/>
    <mergeCell ref="D4:D7"/>
    <mergeCell ref="E4:Q4"/>
    <mergeCell ref="E5:H5"/>
    <mergeCell ref="I5:J5"/>
    <mergeCell ref="I6:J6"/>
  </mergeCells>
  <conditionalFormatting sqref="E8:N16">
    <cfRule type="containsBlanks" dxfId="7" priority="1">
      <formula>LEN(TRIM(E8))=0</formula>
    </cfRule>
  </conditionalFormatting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2" width="24.43"/>
    <col customWidth="1" min="3" max="3" width="8.86"/>
    <col customWidth="1" min="4" max="4" width="42.57"/>
    <col customWidth="1" min="5" max="5" width="17.57"/>
    <col customWidth="1" min="6" max="6" width="16.0"/>
    <col customWidth="1" min="7" max="7" width="13.86"/>
    <col customWidth="1" min="8" max="8" width="46.71"/>
    <col customWidth="1" min="9" max="9" width="6.43"/>
    <col customWidth="1" min="10" max="10" width="11.71"/>
    <col customWidth="1" min="11" max="11" width="6.57"/>
    <col customWidth="1" min="12" max="12" width="10.57"/>
    <col customWidth="1" min="13" max="13" width="7.14"/>
    <col customWidth="1" min="14" max="14" width="9.57"/>
    <col customWidth="1" min="15" max="15" width="4.57"/>
    <col customWidth="1" min="16" max="16" width="9.86"/>
    <col customWidth="1" hidden="1" min="18" max="24" width="14.43"/>
  </cols>
  <sheetData>
    <row r="1">
      <c r="A1" s="45"/>
      <c r="B1" s="45"/>
      <c r="C1" s="45"/>
      <c r="D1" s="45"/>
      <c r="E1" s="45"/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>
      <c r="A2" s="98"/>
      <c r="B2" s="98" t="s">
        <v>441</v>
      </c>
      <c r="R2" s="46"/>
      <c r="S2" s="46"/>
      <c r="T2" s="46"/>
      <c r="U2" s="46"/>
      <c r="V2" s="46"/>
      <c r="W2" s="46"/>
      <c r="X2" s="46"/>
    </row>
    <row r="3">
      <c r="A3" s="45"/>
      <c r="B3" s="45"/>
      <c r="C3" s="45"/>
      <c r="D3" s="45"/>
      <c r="E3" s="45"/>
      <c r="F3" s="45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>
      <c r="A4" s="99"/>
      <c r="B4" s="48" t="s">
        <v>17</v>
      </c>
      <c r="D4" s="49" t="s">
        <v>418</v>
      </c>
      <c r="E4" s="50" t="s">
        <v>419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6"/>
      <c r="S4" s="46"/>
      <c r="T4" s="46"/>
      <c r="U4" s="46"/>
      <c r="V4" s="46"/>
      <c r="W4" s="46"/>
      <c r="X4" s="46"/>
    </row>
    <row r="5">
      <c r="A5" s="99"/>
      <c r="B5" s="53"/>
      <c r="D5" s="54"/>
      <c r="E5" s="50" t="s">
        <v>420</v>
      </c>
      <c r="F5" s="51"/>
      <c r="G5" s="51"/>
      <c r="H5" s="52"/>
      <c r="I5" s="50" t="s">
        <v>421</v>
      </c>
      <c r="J5" s="52"/>
      <c r="K5" s="50" t="s">
        <v>422</v>
      </c>
      <c r="L5" s="51"/>
      <c r="M5" s="51"/>
      <c r="N5" s="51"/>
      <c r="O5" s="51"/>
      <c r="P5" s="52"/>
      <c r="Q5" s="55" t="s">
        <v>423</v>
      </c>
      <c r="R5" s="46"/>
      <c r="S5" s="46"/>
      <c r="T5" s="46"/>
      <c r="U5" s="46"/>
      <c r="V5" s="46"/>
      <c r="W5" s="46"/>
      <c r="X5" s="46"/>
    </row>
    <row r="6">
      <c r="A6" s="99"/>
      <c r="B6" s="53"/>
      <c r="D6" s="54"/>
      <c r="E6" s="56" t="s">
        <v>424</v>
      </c>
      <c r="F6" s="56" t="s">
        <v>425</v>
      </c>
      <c r="G6" s="56" t="s">
        <v>426</v>
      </c>
      <c r="H6" s="57" t="s">
        <v>427</v>
      </c>
      <c r="I6" s="50" t="s">
        <v>426</v>
      </c>
      <c r="J6" s="52"/>
      <c r="K6" s="50" t="s">
        <v>428</v>
      </c>
      <c r="L6" s="52"/>
      <c r="M6" s="50" t="s">
        <v>429</v>
      </c>
      <c r="N6" s="52"/>
      <c r="O6" s="58" t="s">
        <v>427</v>
      </c>
      <c r="P6" s="52"/>
      <c r="Q6" s="52"/>
      <c r="R6" s="46"/>
      <c r="S6" s="46"/>
      <c r="T6" s="46"/>
      <c r="U6" s="46"/>
      <c r="V6" s="46"/>
      <c r="W6" s="46"/>
      <c r="X6" s="46"/>
    </row>
    <row r="7">
      <c r="A7" s="99"/>
      <c r="B7" s="59"/>
      <c r="C7" s="51"/>
      <c r="D7" s="52"/>
      <c r="E7" s="56" t="s">
        <v>430</v>
      </c>
      <c r="F7" s="56" t="s">
        <v>430</v>
      </c>
      <c r="G7" s="56" t="s">
        <v>430</v>
      </c>
      <c r="H7" s="57" t="s">
        <v>430</v>
      </c>
      <c r="I7" s="56" t="s">
        <v>431</v>
      </c>
      <c r="J7" s="56" t="s">
        <v>432</v>
      </c>
      <c r="K7" s="56" t="s">
        <v>431</v>
      </c>
      <c r="L7" s="56" t="s">
        <v>432</v>
      </c>
      <c r="M7" s="56" t="s">
        <v>431</v>
      </c>
      <c r="N7" s="56" t="s">
        <v>432</v>
      </c>
      <c r="O7" s="57" t="s">
        <v>431</v>
      </c>
      <c r="P7" s="57" t="s">
        <v>432</v>
      </c>
      <c r="Q7" s="60" t="s">
        <v>433</v>
      </c>
      <c r="R7" s="46"/>
      <c r="S7" s="46"/>
      <c r="T7" s="46"/>
      <c r="U7" s="46"/>
      <c r="V7" s="46"/>
      <c r="W7" s="46"/>
      <c r="X7" s="46"/>
    </row>
    <row r="8">
      <c r="A8" s="68"/>
      <c r="B8" s="61" t="s">
        <v>183</v>
      </c>
      <c r="C8" s="54"/>
      <c r="D8" s="62" t="s">
        <v>435</v>
      </c>
      <c r="E8" s="64"/>
      <c r="F8" s="64"/>
      <c r="G8" s="64"/>
      <c r="H8" s="65">
        <v>0.0</v>
      </c>
      <c r="I8" s="63">
        <v>36.0</v>
      </c>
      <c r="J8" s="63">
        <v>36.0</v>
      </c>
      <c r="K8" s="63">
        <v>60.0</v>
      </c>
      <c r="L8" s="63">
        <v>60.0</v>
      </c>
      <c r="M8" s="63">
        <v>60.0</v>
      </c>
      <c r="N8" s="63">
        <v>60.0</v>
      </c>
      <c r="O8" s="65">
        <v>156.0</v>
      </c>
      <c r="P8" s="65">
        <v>156.0</v>
      </c>
      <c r="Q8" s="66">
        <v>312.0</v>
      </c>
      <c r="R8" s="46"/>
      <c r="S8" s="46"/>
      <c r="T8" s="46"/>
      <c r="U8" s="46"/>
      <c r="V8" s="46"/>
      <c r="W8" s="46"/>
      <c r="X8" s="46"/>
      <c r="Y8" s="87"/>
    </row>
    <row r="9">
      <c r="A9" s="68">
        <v>2.6183374E7</v>
      </c>
      <c r="B9" s="53"/>
      <c r="C9" s="54"/>
      <c r="D9" s="62" t="s">
        <v>436</v>
      </c>
      <c r="E9" s="63">
        <v>0.0</v>
      </c>
      <c r="F9" s="64"/>
      <c r="G9" s="64"/>
      <c r="H9" s="65">
        <v>0.0</v>
      </c>
      <c r="I9" s="63">
        <v>27.0</v>
      </c>
      <c r="J9" s="63">
        <v>36.0</v>
      </c>
      <c r="K9" s="63">
        <v>38.0</v>
      </c>
      <c r="L9" s="63">
        <v>60.0</v>
      </c>
      <c r="M9" s="63">
        <v>57.0</v>
      </c>
      <c r="N9" s="63">
        <v>60.0</v>
      </c>
      <c r="O9" s="65">
        <v>122.0</v>
      </c>
      <c r="P9" s="65">
        <v>156.0</v>
      </c>
      <c r="Q9" s="69">
        <v>278.0</v>
      </c>
      <c r="R9" s="46"/>
      <c r="S9" s="46"/>
      <c r="T9" s="46"/>
      <c r="U9" s="46"/>
      <c r="V9" s="46"/>
      <c r="W9" s="46"/>
      <c r="X9" s="46"/>
      <c r="Y9" s="87"/>
    </row>
    <row r="10">
      <c r="A10" s="68"/>
      <c r="B10" s="59"/>
      <c r="C10" s="52"/>
      <c r="D10" s="70" t="s">
        <v>437</v>
      </c>
      <c r="E10" s="71">
        <v>0.0</v>
      </c>
      <c r="F10" s="71">
        <v>0.0</v>
      </c>
      <c r="G10" s="71">
        <v>0.0</v>
      </c>
      <c r="H10" s="71">
        <v>0.0</v>
      </c>
      <c r="I10" s="71">
        <v>9.0</v>
      </c>
      <c r="J10" s="71">
        <v>0.0</v>
      </c>
      <c r="K10" s="71">
        <v>22.0</v>
      </c>
      <c r="L10" s="71">
        <v>0.0</v>
      </c>
      <c r="M10" s="71">
        <v>3.0</v>
      </c>
      <c r="N10" s="71">
        <v>0.0</v>
      </c>
      <c r="O10" s="71">
        <v>34.0</v>
      </c>
      <c r="P10" s="71">
        <v>0.0</v>
      </c>
      <c r="Q10" s="71">
        <v>34.0</v>
      </c>
      <c r="R10" s="46"/>
      <c r="S10" s="46"/>
      <c r="T10" s="46"/>
      <c r="U10" s="46"/>
      <c r="V10" s="46"/>
      <c r="W10" s="46"/>
      <c r="X10" s="46"/>
      <c r="Y10" s="87"/>
    </row>
    <row r="11">
      <c r="A11" s="68"/>
      <c r="B11" s="61" t="s">
        <v>185</v>
      </c>
      <c r="C11" s="54"/>
      <c r="D11" s="62" t="s">
        <v>435</v>
      </c>
      <c r="E11" s="63">
        <v>30.0</v>
      </c>
      <c r="F11" s="63">
        <v>45.0</v>
      </c>
      <c r="G11" s="63">
        <v>40.0</v>
      </c>
      <c r="H11" s="65">
        <v>115.0</v>
      </c>
      <c r="I11" s="64"/>
      <c r="J11" s="64"/>
      <c r="K11" s="64"/>
      <c r="L11" s="64"/>
      <c r="M11" s="64"/>
      <c r="N11" s="64"/>
      <c r="O11" s="65">
        <v>0.0</v>
      </c>
      <c r="P11" s="65">
        <v>0.0</v>
      </c>
      <c r="Q11" s="66">
        <v>115.0</v>
      </c>
      <c r="R11" s="46"/>
      <c r="S11" s="46"/>
      <c r="T11" s="46"/>
      <c r="U11" s="46"/>
      <c r="V11" s="46"/>
      <c r="W11" s="46"/>
      <c r="X11" s="46"/>
      <c r="Y11" s="87"/>
    </row>
    <row r="12">
      <c r="A12" s="68">
        <v>2.6156261E7</v>
      </c>
      <c r="B12" s="53"/>
      <c r="C12" s="54"/>
      <c r="D12" s="62" t="s">
        <v>436</v>
      </c>
      <c r="E12" s="63">
        <v>30.0</v>
      </c>
      <c r="F12" s="63">
        <v>45.0</v>
      </c>
      <c r="G12" s="63">
        <v>43.0</v>
      </c>
      <c r="H12" s="65">
        <v>83.0</v>
      </c>
      <c r="I12" s="63">
        <v>0.0</v>
      </c>
      <c r="J12" s="63">
        <v>0.0</v>
      </c>
      <c r="K12" s="63">
        <v>0.0</v>
      </c>
      <c r="L12" s="63">
        <v>0.0</v>
      </c>
      <c r="M12" s="63">
        <v>0.0</v>
      </c>
      <c r="N12" s="63">
        <v>0.0</v>
      </c>
      <c r="O12" s="65">
        <v>0.0</v>
      </c>
      <c r="P12" s="65">
        <v>0.0</v>
      </c>
      <c r="Q12" s="69">
        <v>83.0</v>
      </c>
      <c r="R12" s="46"/>
      <c r="S12" s="46"/>
      <c r="T12" s="46"/>
      <c r="U12" s="46"/>
      <c r="V12" s="46"/>
      <c r="W12" s="46"/>
      <c r="X12" s="46"/>
      <c r="Y12" s="87"/>
    </row>
    <row r="13">
      <c r="A13" s="68"/>
      <c r="B13" s="59"/>
      <c r="C13" s="52"/>
      <c r="D13" s="70" t="s">
        <v>437</v>
      </c>
      <c r="E13" s="71">
        <v>0.0</v>
      </c>
      <c r="F13" s="71">
        <v>0.0</v>
      </c>
      <c r="G13" s="71">
        <v>-3.0</v>
      </c>
      <c r="H13" s="71">
        <v>32.0</v>
      </c>
      <c r="I13" s="71">
        <v>0.0</v>
      </c>
      <c r="J13" s="71">
        <v>0.0</v>
      </c>
      <c r="K13" s="71">
        <v>0.0</v>
      </c>
      <c r="L13" s="71">
        <v>0.0</v>
      </c>
      <c r="M13" s="71">
        <v>0.0</v>
      </c>
      <c r="N13" s="71">
        <v>0.0</v>
      </c>
      <c r="O13" s="71">
        <v>0.0</v>
      </c>
      <c r="P13" s="71">
        <v>0.0</v>
      </c>
      <c r="Q13" s="71">
        <v>32.0</v>
      </c>
      <c r="R13" s="46"/>
      <c r="S13" s="46"/>
      <c r="T13" s="46"/>
      <c r="U13" s="46"/>
      <c r="V13" s="46"/>
      <c r="W13" s="46"/>
      <c r="X13" s="46"/>
      <c r="Y13" s="87"/>
    </row>
    <row r="14">
      <c r="A14" s="68"/>
      <c r="B14" s="61" t="s">
        <v>134</v>
      </c>
      <c r="C14" s="54"/>
      <c r="D14" s="62" t="s">
        <v>435</v>
      </c>
      <c r="E14" s="64"/>
      <c r="F14" s="64"/>
      <c r="G14" s="64"/>
      <c r="H14" s="65">
        <v>0.0</v>
      </c>
      <c r="I14" s="64"/>
      <c r="J14" s="64"/>
      <c r="K14" s="64"/>
      <c r="L14" s="64"/>
      <c r="M14" s="64"/>
      <c r="N14" s="64"/>
      <c r="O14" s="65">
        <v>0.0</v>
      </c>
      <c r="P14" s="65">
        <v>0.0</v>
      </c>
      <c r="Q14" s="66">
        <v>0.0</v>
      </c>
      <c r="R14" s="46"/>
      <c r="S14" s="46"/>
      <c r="T14" s="46"/>
      <c r="U14" s="46"/>
      <c r="V14" s="46"/>
      <c r="W14" s="46"/>
      <c r="X14" s="46"/>
      <c r="Y14" s="87"/>
    </row>
    <row r="15">
      <c r="A15" s="68"/>
      <c r="B15" s="53"/>
      <c r="C15" s="54"/>
      <c r="D15" s="62" t="s">
        <v>436</v>
      </c>
      <c r="E15" s="64"/>
      <c r="F15" s="64"/>
      <c r="G15" s="64"/>
      <c r="H15" s="65">
        <v>0.0</v>
      </c>
      <c r="I15" s="63">
        <v>0.0</v>
      </c>
      <c r="J15" s="63">
        <v>0.0</v>
      </c>
      <c r="K15" s="63">
        <v>0.0</v>
      </c>
      <c r="L15" s="63">
        <v>0.0</v>
      </c>
      <c r="M15" s="63">
        <v>0.0</v>
      </c>
      <c r="N15" s="63">
        <v>0.0</v>
      </c>
      <c r="O15" s="65">
        <v>0.0</v>
      </c>
      <c r="P15" s="65">
        <v>0.0</v>
      </c>
      <c r="Q15" s="69">
        <v>0.0</v>
      </c>
      <c r="R15" s="46"/>
      <c r="S15" s="46"/>
      <c r="T15" s="46"/>
      <c r="U15" s="46"/>
      <c r="V15" s="46"/>
      <c r="W15" s="46"/>
      <c r="X15" s="46"/>
      <c r="Y15" s="87"/>
    </row>
    <row r="16">
      <c r="A16" s="68"/>
      <c r="B16" s="59"/>
      <c r="C16" s="52"/>
      <c r="D16" s="70" t="s">
        <v>437</v>
      </c>
      <c r="E16" s="71">
        <v>0.0</v>
      </c>
      <c r="F16" s="71">
        <v>0.0</v>
      </c>
      <c r="G16" s="71">
        <v>0.0</v>
      </c>
      <c r="H16" s="71">
        <v>0.0</v>
      </c>
      <c r="I16" s="71">
        <v>0.0</v>
      </c>
      <c r="J16" s="71">
        <v>0.0</v>
      </c>
      <c r="K16" s="71">
        <v>0.0</v>
      </c>
      <c r="L16" s="71">
        <v>0.0</v>
      </c>
      <c r="M16" s="71">
        <v>0.0</v>
      </c>
      <c r="N16" s="71">
        <v>0.0</v>
      </c>
      <c r="O16" s="71">
        <v>0.0</v>
      </c>
      <c r="P16" s="71">
        <v>0.0</v>
      </c>
      <c r="Q16" s="71">
        <v>0.0</v>
      </c>
      <c r="R16" s="46"/>
      <c r="S16" s="46"/>
      <c r="T16" s="46"/>
      <c r="U16" s="46"/>
      <c r="V16" s="46"/>
      <c r="W16" s="46"/>
      <c r="X16" s="46"/>
      <c r="Y16" s="87"/>
    </row>
    <row r="17">
      <c r="A17" s="45"/>
      <c r="B17" s="45"/>
      <c r="C17" s="45"/>
      <c r="D17" s="45"/>
      <c r="E17" s="45"/>
      <c r="F17" s="45"/>
      <c r="G17" s="45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>
      <c r="A18" s="45"/>
      <c r="B18" s="45"/>
      <c r="C18" s="45"/>
      <c r="D18" s="45"/>
      <c r="E18" s="45"/>
      <c r="F18" s="45"/>
      <c r="G18" s="45"/>
      <c r="H18" s="45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</row>
    <row r="19">
      <c r="A19" s="45"/>
      <c r="B19" s="45"/>
      <c r="C19" s="45"/>
      <c r="D19" s="45"/>
      <c r="E19" s="45"/>
      <c r="F19" s="45"/>
      <c r="G19" s="45"/>
      <c r="H19" s="45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</row>
    <row r="20">
      <c r="A20" s="100"/>
      <c r="B20" s="73" t="s">
        <v>411</v>
      </c>
      <c r="C20" s="74" t="s">
        <v>7</v>
      </c>
      <c r="D20" s="74" t="s">
        <v>412</v>
      </c>
      <c r="E20" s="74" t="s">
        <v>413</v>
      </c>
      <c r="F20" s="74" t="s">
        <v>11</v>
      </c>
      <c r="G20" s="75" t="s">
        <v>414</v>
      </c>
      <c r="H20" s="75" t="s">
        <v>415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94"/>
    </row>
    <row r="21" ht="15.75" customHeight="1">
      <c r="A21" s="78"/>
      <c r="B21" s="78" t="str">
        <f>IFERROR(__xludf.DUMMYFUNCTION("QUERY(dados_02!$A$2:$H$675, ""SELECT Col1, Col2, Col3, Col4, Col5, Col6, Col7  where Col8 = 'REGIONAL 3' "")"),"29/01/2026 13:35:30")</f>
        <v>29/01/2026 13:35:30</v>
      </c>
      <c r="C21" s="79" t="str">
        <f>IFERROR(__xludf.DUMMYFUNCTION("""COMPUTED_VALUE"""),"1")</f>
        <v>1</v>
      </c>
      <c r="D21" s="80" t="str">
        <f>IFERROR(__xludf.DUMMYFUNCTION("""COMPUTED_VALUE"""),"J. D. D. S")</f>
        <v>J. D. D. S</v>
      </c>
      <c r="E21" s="81" t="str">
        <f>IFERROR(__xludf.DUMMYFUNCTION("""COMPUTED_VALUE"""),"26/08/2024")</f>
        <v>26/08/2024</v>
      </c>
      <c r="F21" s="80" t="str">
        <f>IFERROR(__xludf.DUMMYFUNCTION("""COMPUTED_VALUE"""),"003******39")</f>
        <v>003******39</v>
      </c>
      <c r="G21" s="80" t="str">
        <f>IFERROR(__xludf.DUMMYFUNCTION("""COMPUTED_VALUE"""),"INFANTIL 1")</f>
        <v>INFANTIL 1</v>
      </c>
      <c r="H21" s="80" t="str">
        <f>IFERROR(__xludf.DUMMYFUNCTION("""COMPUTED_VALUE"""),"CRECHE MUNDO ENCANTADO")</f>
        <v>CRECHE MUNDO ENCANTADO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96"/>
    </row>
    <row r="22" ht="15.75" customHeight="1">
      <c r="A22" s="78"/>
      <c r="B22" s="78" t="str">
        <f>IFERROR(__xludf.DUMMYFUNCTION("""COMPUTED_VALUE"""),"29/01/2026 14:12:29")</f>
        <v>29/01/2026 14:12:29</v>
      </c>
      <c r="C22" s="79" t="str">
        <f>IFERROR(__xludf.DUMMYFUNCTION("""COMPUTED_VALUE"""),"2")</f>
        <v>2</v>
      </c>
      <c r="D22" s="80" t="str">
        <f>IFERROR(__xludf.DUMMYFUNCTION("""COMPUTED_VALUE"""),"J. F. B. D. S. C")</f>
        <v>J. F. B. D. S. C</v>
      </c>
      <c r="E22" s="81" t="str">
        <f>IFERROR(__xludf.DUMMYFUNCTION("""COMPUTED_VALUE"""),"13/03/2025")</f>
        <v>13/03/2025</v>
      </c>
      <c r="F22" s="80" t="str">
        <f>IFERROR(__xludf.DUMMYFUNCTION("""COMPUTED_VALUE"""),"006******02")</f>
        <v>006******02</v>
      </c>
      <c r="G22" s="80" t="str">
        <f>IFERROR(__xludf.DUMMYFUNCTION("""COMPUTED_VALUE"""),"INFANTIL 1")</f>
        <v>INFANTIL 1</v>
      </c>
      <c r="H22" s="80" t="str">
        <f>IFERROR(__xludf.DUMMYFUNCTION("""COMPUTED_VALUE"""),"CRECHE MUNDO ENCANTADO")</f>
        <v>CRECHE MUNDO ENCANTADO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96"/>
    </row>
    <row r="23" ht="15.75" customHeight="1">
      <c r="A23" s="78"/>
      <c r="B23" s="78" t="str">
        <f>IFERROR(__xludf.DUMMYFUNCTION("""COMPUTED_VALUE"""),"19/02/2026 21:16:01")</f>
        <v>19/02/2026 21:16:01</v>
      </c>
      <c r="C23" s="79" t="str">
        <f>IFERROR(__xludf.DUMMYFUNCTION("""COMPUTED_VALUE"""),"3")</f>
        <v>3</v>
      </c>
      <c r="D23" s="80" t="str">
        <f>IFERROR(__xludf.DUMMYFUNCTION("""COMPUTED_VALUE"""),"H. A. D. S")</f>
        <v>H. A. D. S</v>
      </c>
      <c r="E23" s="81" t="str">
        <f>IFERROR(__xludf.DUMMYFUNCTION("""COMPUTED_VALUE"""),"19/05/2024")</f>
        <v>19/05/2024</v>
      </c>
      <c r="F23" s="80" t="str">
        <f>IFERROR(__xludf.DUMMYFUNCTION("""COMPUTED_VALUE"""),"003******24")</f>
        <v>003******24</v>
      </c>
      <c r="G23" s="80" t="str">
        <f>IFERROR(__xludf.DUMMYFUNCTION("""COMPUTED_VALUE"""),"INFANTIL 1")</f>
        <v>INFANTIL 1</v>
      </c>
      <c r="H23" s="80" t="str">
        <f>IFERROR(__xludf.DUMMYFUNCTION("""COMPUTED_VALUE"""),"CRECHE MUNDO ENCANTADO")</f>
        <v>CRECHE MUNDO ENCANTADO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96"/>
    </row>
    <row r="24" ht="15.75" customHeight="1">
      <c r="A24" s="78"/>
      <c r="B24" s="78" t="str">
        <f>IFERROR(__xludf.DUMMYFUNCTION("""COMPUTED_VALUE"""),"28/02/2026 20:58:43")</f>
        <v>28/02/2026 20:58:43</v>
      </c>
      <c r="C24" s="79" t="str">
        <f>IFERROR(__xludf.DUMMYFUNCTION("""COMPUTED_VALUE"""),"4")</f>
        <v>4</v>
      </c>
      <c r="D24" s="80" t="str">
        <f>IFERROR(__xludf.DUMMYFUNCTION("""COMPUTED_VALUE"""),"L. G. P. D. S")</f>
        <v>L. G. P. D. S</v>
      </c>
      <c r="E24" s="81" t="str">
        <f>IFERROR(__xludf.DUMMYFUNCTION("""COMPUTED_VALUE"""),"12/04/2025")</f>
        <v>12/04/2025</v>
      </c>
      <c r="F24" s="80" t="str">
        <f>IFERROR(__xludf.DUMMYFUNCTION("""COMPUTED_VALUE"""),"005******46")</f>
        <v>005******46</v>
      </c>
      <c r="G24" s="80" t="str">
        <f>IFERROR(__xludf.DUMMYFUNCTION("""COMPUTED_VALUE"""),"INFANTIL 1")</f>
        <v>INFANTIL 1</v>
      </c>
      <c r="H24" s="80" t="str">
        <f>IFERROR(__xludf.DUMMYFUNCTION("""COMPUTED_VALUE"""),"CRECHE MUNDO ENCANTADO")</f>
        <v>CRECHE MUNDO ENCANTADO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96"/>
    </row>
    <row r="25" ht="15.75" customHeight="1">
      <c r="A25" s="77"/>
      <c r="B25" s="77" t="str">
        <f>IFERROR(__xludf.DUMMYFUNCTION("""COMPUTED_VALUE"""),"28/04/2026 11:00:10")</f>
        <v>28/04/2026 11:00:10</v>
      </c>
      <c r="C25" s="83" t="str">
        <f>IFERROR(__xludf.DUMMYFUNCTION("""COMPUTED_VALUE"""),"5")</f>
        <v>5</v>
      </c>
      <c r="D25" s="77" t="str">
        <f>IFERROR(__xludf.DUMMYFUNCTION("""COMPUTED_VALUE"""),"M. G. S. G")</f>
        <v>M. G. S. G</v>
      </c>
      <c r="E25" s="77" t="str">
        <f>IFERROR(__xludf.DUMMYFUNCTION("""COMPUTED_VALUE"""),"11/04/2025")</f>
        <v>11/04/2025</v>
      </c>
      <c r="F25" s="77" t="str">
        <f>IFERROR(__xludf.DUMMYFUNCTION("""COMPUTED_VALUE"""),"005******19")</f>
        <v>005******19</v>
      </c>
      <c r="G25" s="77" t="str">
        <f>IFERROR(__xludf.DUMMYFUNCTION("""COMPUTED_VALUE"""),"INFANTIL 1")</f>
        <v>INFANTIL 1</v>
      </c>
      <c r="H25" s="77" t="str">
        <f>IFERROR(__xludf.DUMMYFUNCTION("""COMPUTED_VALUE"""),"CRECHE MUNDO ENCANTADO")</f>
        <v>CRECHE MUNDO ENCANTADO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96"/>
    </row>
    <row r="26" ht="15.75" customHeight="1">
      <c r="A26" s="77"/>
      <c r="B26" s="77" t="str">
        <f>IFERROR(__xludf.DUMMYFUNCTION("""COMPUTED_VALUE"""),"25/05/2026 18:39:15")</f>
        <v>25/05/2026 18:39:15</v>
      </c>
      <c r="C26" s="83" t="str">
        <f>IFERROR(__xludf.DUMMYFUNCTION("""COMPUTED_VALUE"""),"6")</f>
        <v>6</v>
      </c>
      <c r="D26" s="77" t="str">
        <f>IFERROR(__xludf.DUMMYFUNCTION("""COMPUTED_VALUE"""),"M. Y. R. M. V")</f>
        <v>M. Y. R. M. V</v>
      </c>
      <c r="E26" s="77" t="str">
        <f>IFERROR(__xludf.DUMMYFUNCTION("""COMPUTED_VALUE"""),"29/12/2024")</f>
        <v>29/12/2024</v>
      </c>
      <c r="F26" s="77" t="str">
        <f>IFERROR(__xludf.DUMMYFUNCTION("""COMPUTED_VALUE"""),"004******67")</f>
        <v>004******67</v>
      </c>
      <c r="G26" s="77" t="str">
        <f>IFERROR(__xludf.DUMMYFUNCTION("""COMPUTED_VALUE"""),"INFANTIL 1")</f>
        <v>INFANTIL 1</v>
      </c>
      <c r="H26" s="77" t="str">
        <f>IFERROR(__xludf.DUMMYFUNCTION("""COMPUTED_VALUE"""),"CRECHE MUNDO ENCANTADO")</f>
        <v>CRECHE MUNDO ENCANTADO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96"/>
    </row>
    <row r="27" ht="15.75" customHeight="1">
      <c r="A27" s="77"/>
      <c r="B27" s="77" t="str">
        <f>IFERROR(__xludf.DUMMYFUNCTION("""COMPUTED_VALUE"""),"04/02/2026 15:08:15")</f>
        <v>04/02/2026 15:08:15</v>
      </c>
      <c r="C27" s="83" t="str">
        <f>IFERROR(__xludf.DUMMYFUNCTION("""COMPUTED_VALUE"""),"1")</f>
        <v>1</v>
      </c>
      <c r="D27" s="77" t="str">
        <f>IFERROR(__xludf.DUMMYFUNCTION("""COMPUTED_VALUE"""),"D. L. D. S. D. N")</f>
        <v>D. L. D. S. D. N</v>
      </c>
      <c r="E27" s="77" t="str">
        <f>IFERROR(__xludf.DUMMYFUNCTION("""COMPUTED_VALUE"""),"27/09/2023")</f>
        <v>27/09/2023</v>
      </c>
      <c r="F27" s="77" t="str">
        <f>IFERROR(__xludf.DUMMYFUNCTION("""COMPUTED_VALUE"""),"000******32")</f>
        <v>000******32</v>
      </c>
      <c r="G27" s="77" t="str">
        <f>IFERROR(__xludf.DUMMYFUNCTION("""COMPUTED_VALUE"""),"INFANTIL 2")</f>
        <v>INFANTIL 2</v>
      </c>
      <c r="H27" s="77" t="str">
        <f>IFERROR(__xludf.DUMMYFUNCTION("""COMPUTED_VALUE"""),"CRECHE MUNDO ENCANTADO")</f>
        <v>CRECHE MUNDO ENCANTADO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96"/>
    </row>
    <row r="28" ht="15.75" customHeight="1">
      <c r="A28" s="77"/>
      <c r="B28" s="77" t="str">
        <f>IFERROR(__xludf.DUMMYFUNCTION("""COMPUTED_VALUE"""),"09/02/2026 08:21:31")</f>
        <v>09/02/2026 08:21:31</v>
      </c>
      <c r="C28" s="83" t="str">
        <f>IFERROR(__xludf.DUMMYFUNCTION("""COMPUTED_VALUE"""),"2")</f>
        <v>2</v>
      </c>
      <c r="D28" s="77" t="str">
        <f>IFERROR(__xludf.DUMMYFUNCTION("""COMPUTED_VALUE"""),"A. P. C. D. S")</f>
        <v>A. P. C. D. S</v>
      </c>
      <c r="E28" s="77" t="str">
        <f>IFERROR(__xludf.DUMMYFUNCTION("""COMPUTED_VALUE"""),"16/12/2023")</f>
        <v>16/12/2023</v>
      </c>
      <c r="F28" s="77" t="str">
        <f>IFERROR(__xludf.DUMMYFUNCTION("""COMPUTED_VALUE"""),"001******77")</f>
        <v>001******77</v>
      </c>
      <c r="G28" s="77" t="str">
        <f>IFERROR(__xludf.DUMMYFUNCTION("""COMPUTED_VALUE"""),"INFANTIL 2")</f>
        <v>INFANTIL 2</v>
      </c>
      <c r="H28" s="77" t="str">
        <f>IFERROR(__xludf.DUMMYFUNCTION("""COMPUTED_VALUE"""),"CRECHE MUNDO ENCANTADO")</f>
        <v>CRECHE MUNDO ENCANTADO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96"/>
    </row>
    <row r="29" ht="15.75" customHeight="1">
      <c r="A29" s="77"/>
      <c r="B29" s="77" t="str">
        <f>IFERROR(__xludf.DUMMYFUNCTION("""COMPUTED_VALUE"""),"04/03/2026 22:04:48")</f>
        <v>04/03/2026 22:04:48</v>
      </c>
      <c r="C29" s="83" t="str">
        <f>IFERROR(__xludf.DUMMYFUNCTION("""COMPUTED_VALUE"""),"3")</f>
        <v>3</v>
      </c>
      <c r="D29" s="77" t="str">
        <f>IFERROR(__xludf.DUMMYFUNCTION("""COMPUTED_VALUE"""),"J. L. P. D. S")</f>
        <v>J. L. P. D. S</v>
      </c>
      <c r="E29" s="77" t="str">
        <f>IFERROR(__xludf.DUMMYFUNCTION("""COMPUTED_VALUE"""),"19/12/2023")</f>
        <v>19/12/2023</v>
      </c>
      <c r="F29" s="77" t="str">
        <f>IFERROR(__xludf.DUMMYFUNCTION("""COMPUTED_VALUE"""),"001******10")</f>
        <v>001******10</v>
      </c>
      <c r="G29" s="77" t="str">
        <f>IFERROR(__xludf.DUMMYFUNCTION("""COMPUTED_VALUE"""),"INFANTIL 2")</f>
        <v>INFANTIL 2</v>
      </c>
      <c r="H29" s="77" t="str">
        <f>IFERROR(__xludf.DUMMYFUNCTION("""COMPUTED_VALUE"""),"CRECHE MUNDO ENCANTADO")</f>
        <v>CRECHE MUNDO ENCANTADO</v>
      </c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96"/>
    </row>
    <row r="30" ht="15.75" customHeight="1">
      <c r="A30" s="77"/>
      <c r="B30" s="77"/>
      <c r="C30" s="83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96"/>
    </row>
    <row r="31" ht="15.75" customHeight="1">
      <c r="A31" s="77"/>
      <c r="B31" s="77"/>
      <c r="C31" s="83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96"/>
    </row>
    <row r="32" ht="15.75" customHeight="1">
      <c r="A32" s="77"/>
      <c r="B32" s="77"/>
      <c r="C32" s="83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96"/>
    </row>
    <row r="33" ht="15.75" customHeight="1">
      <c r="A33" s="77"/>
      <c r="B33" s="77"/>
      <c r="C33" s="83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96"/>
    </row>
    <row r="34" ht="15.75" customHeight="1">
      <c r="A34" s="77"/>
      <c r="B34" s="77"/>
      <c r="C34" s="83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96"/>
    </row>
    <row r="35" ht="15.75" customHeight="1">
      <c r="A35" s="77"/>
      <c r="B35" s="77"/>
      <c r="C35" s="8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96"/>
    </row>
    <row r="36" ht="15.75" customHeight="1">
      <c r="A36" s="77"/>
      <c r="B36" s="77"/>
      <c r="C36" s="83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96"/>
    </row>
    <row r="37" ht="15.75" customHeight="1">
      <c r="A37" s="77"/>
      <c r="B37" s="77"/>
      <c r="C37" s="83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96"/>
    </row>
  </sheetData>
  <mergeCells count="15">
    <mergeCell ref="I5:J5"/>
    <mergeCell ref="I6:J6"/>
    <mergeCell ref="K6:L6"/>
    <mergeCell ref="M6:N6"/>
    <mergeCell ref="B4:C7"/>
    <mergeCell ref="B8:C10"/>
    <mergeCell ref="B11:C13"/>
    <mergeCell ref="B14:C16"/>
    <mergeCell ref="B2:Q2"/>
    <mergeCell ref="D4:D7"/>
    <mergeCell ref="E4:Q4"/>
    <mergeCell ref="E5:H5"/>
    <mergeCell ref="K5:P5"/>
    <mergeCell ref="Q5:Q6"/>
    <mergeCell ref="O6:P6"/>
  </mergeCells>
  <conditionalFormatting sqref="E8:N16">
    <cfRule type="containsBlanks" dxfId="7" priority="1">
      <formula>LEN(TRIM(E8))=0</formula>
    </cfRule>
  </conditionalFormatting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24.43"/>
    <col customWidth="1" min="3" max="3" width="9.71"/>
    <col customWidth="1" min="4" max="4" width="42.57"/>
    <col customWidth="1" min="5" max="5" width="15.86"/>
    <col customWidth="1" min="6" max="6" width="16.0"/>
    <col customWidth="1" min="7" max="7" width="13.0"/>
    <col customWidth="1" min="8" max="8" width="63.0"/>
    <col customWidth="1" min="9" max="9" width="6.43"/>
    <col customWidth="1" min="10" max="10" width="11.71"/>
    <col customWidth="1" min="11" max="11" width="6.57"/>
    <col customWidth="1" min="12" max="12" width="10.57"/>
    <col customWidth="1" min="13" max="13" width="7.14"/>
    <col customWidth="1" min="14" max="14" width="9.57"/>
    <col customWidth="1" min="15" max="15" width="4.57"/>
    <col customWidth="1" min="16" max="16" width="9.86"/>
    <col customWidth="1" hidden="1" min="18" max="24" width="14.43"/>
  </cols>
  <sheetData>
    <row r="1">
      <c r="A1" s="45"/>
      <c r="B1" s="45"/>
      <c r="C1" s="45"/>
      <c r="D1" s="45"/>
      <c r="E1" s="45"/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>
      <c r="A2" s="98"/>
      <c r="B2" s="98" t="s">
        <v>442</v>
      </c>
      <c r="R2" s="46"/>
      <c r="S2" s="46"/>
      <c r="T2" s="46"/>
      <c r="U2" s="46"/>
      <c r="V2" s="46"/>
      <c r="W2" s="46"/>
      <c r="X2" s="46"/>
    </row>
    <row r="3">
      <c r="A3" s="45"/>
      <c r="B3" s="45"/>
      <c r="C3" s="45"/>
      <c r="D3" s="45"/>
      <c r="E3" s="45"/>
      <c r="F3" s="45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>
      <c r="A4" s="99"/>
      <c r="B4" s="48" t="s">
        <v>17</v>
      </c>
      <c r="D4" s="49" t="s">
        <v>418</v>
      </c>
      <c r="E4" s="50" t="s">
        <v>419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6"/>
      <c r="S4" s="46"/>
      <c r="T4" s="46"/>
      <c r="U4" s="46"/>
      <c r="V4" s="46"/>
      <c r="W4" s="46"/>
      <c r="X4" s="46"/>
    </row>
    <row r="5">
      <c r="A5" s="99"/>
      <c r="B5" s="53"/>
      <c r="D5" s="54"/>
      <c r="E5" s="50" t="s">
        <v>420</v>
      </c>
      <c r="F5" s="51"/>
      <c r="G5" s="51"/>
      <c r="H5" s="52"/>
      <c r="I5" s="50" t="s">
        <v>421</v>
      </c>
      <c r="J5" s="52"/>
      <c r="K5" s="50" t="s">
        <v>422</v>
      </c>
      <c r="L5" s="51"/>
      <c r="M5" s="51"/>
      <c r="N5" s="51"/>
      <c r="O5" s="51"/>
      <c r="P5" s="52"/>
      <c r="Q5" s="55" t="s">
        <v>423</v>
      </c>
      <c r="R5" s="46"/>
      <c r="S5" s="46"/>
      <c r="T5" s="46"/>
      <c r="U5" s="46"/>
      <c r="V5" s="46"/>
      <c r="W5" s="46"/>
      <c r="X5" s="46"/>
    </row>
    <row r="6">
      <c r="A6" s="99"/>
      <c r="B6" s="53"/>
      <c r="D6" s="54"/>
      <c r="E6" s="56" t="s">
        <v>424</v>
      </c>
      <c r="F6" s="56" t="s">
        <v>425</v>
      </c>
      <c r="G6" s="56" t="s">
        <v>426</v>
      </c>
      <c r="H6" s="57" t="s">
        <v>427</v>
      </c>
      <c r="I6" s="50" t="s">
        <v>426</v>
      </c>
      <c r="J6" s="52"/>
      <c r="K6" s="50" t="s">
        <v>428</v>
      </c>
      <c r="L6" s="52"/>
      <c r="M6" s="50" t="s">
        <v>429</v>
      </c>
      <c r="N6" s="52"/>
      <c r="O6" s="58" t="s">
        <v>427</v>
      </c>
      <c r="P6" s="52"/>
      <c r="Q6" s="52"/>
      <c r="R6" s="46"/>
      <c r="S6" s="46"/>
      <c r="T6" s="46"/>
      <c r="U6" s="46"/>
      <c r="V6" s="46"/>
      <c r="W6" s="46"/>
      <c r="X6" s="46"/>
    </row>
    <row r="7">
      <c r="A7" s="99"/>
      <c r="B7" s="59"/>
      <c r="C7" s="51"/>
      <c r="D7" s="52"/>
      <c r="E7" s="56" t="s">
        <v>430</v>
      </c>
      <c r="F7" s="56" t="s">
        <v>430</v>
      </c>
      <c r="G7" s="56" t="s">
        <v>430</v>
      </c>
      <c r="H7" s="57" t="s">
        <v>430</v>
      </c>
      <c r="I7" s="56" t="s">
        <v>431</v>
      </c>
      <c r="J7" s="56" t="s">
        <v>432</v>
      </c>
      <c r="K7" s="56" t="s">
        <v>431</v>
      </c>
      <c r="L7" s="56" t="s">
        <v>432</v>
      </c>
      <c r="M7" s="56" t="s">
        <v>431</v>
      </c>
      <c r="N7" s="56" t="s">
        <v>432</v>
      </c>
      <c r="O7" s="57" t="s">
        <v>431</v>
      </c>
      <c r="P7" s="57" t="s">
        <v>432</v>
      </c>
      <c r="Q7" s="60" t="s">
        <v>433</v>
      </c>
      <c r="R7" s="46"/>
      <c r="S7" s="46"/>
      <c r="T7" s="46"/>
      <c r="U7" s="46"/>
      <c r="V7" s="46"/>
      <c r="W7" s="46"/>
      <c r="X7" s="46"/>
    </row>
    <row r="8">
      <c r="A8" s="68"/>
      <c r="B8" s="61" t="s">
        <v>207</v>
      </c>
      <c r="C8" s="54"/>
      <c r="D8" s="62" t="s">
        <v>435</v>
      </c>
      <c r="E8" s="63">
        <v>30.0</v>
      </c>
      <c r="F8" s="63">
        <v>36.0</v>
      </c>
      <c r="G8" s="63">
        <v>60.0</v>
      </c>
      <c r="H8" s="65">
        <v>126.0</v>
      </c>
      <c r="I8" s="64"/>
      <c r="J8" s="64"/>
      <c r="K8" s="63">
        <v>40.0</v>
      </c>
      <c r="L8" s="63">
        <v>40.0</v>
      </c>
      <c r="M8" s="63">
        <v>50.0</v>
      </c>
      <c r="N8" s="63">
        <v>50.0</v>
      </c>
      <c r="O8" s="65">
        <v>90.0</v>
      </c>
      <c r="P8" s="65">
        <v>90.0</v>
      </c>
      <c r="Q8" s="66">
        <v>306.0</v>
      </c>
      <c r="R8" s="46"/>
      <c r="S8" s="46"/>
      <c r="T8" s="46"/>
      <c r="U8" s="46"/>
      <c r="V8" s="46"/>
      <c r="W8" s="46"/>
      <c r="X8" s="46"/>
    </row>
    <row r="9">
      <c r="A9" s="68">
        <v>2.6156288E7</v>
      </c>
      <c r="B9" s="53"/>
      <c r="C9" s="54"/>
      <c r="D9" s="62" t="s">
        <v>436</v>
      </c>
      <c r="E9" s="63">
        <v>30.0</v>
      </c>
      <c r="F9" s="63">
        <v>39.0</v>
      </c>
      <c r="G9" s="63">
        <v>60.0</v>
      </c>
      <c r="H9" s="65">
        <v>129.0</v>
      </c>
      <c r="I9" s="63">
        <v>0.0</v>
      </c>
      <c r="J9" s="63">
        <v>0.0</v>
      </c>
      <c r="K9" s="63">
        <v>40.0</v>
      </c>
      <c r="L9" s="63">
        <v>40.0</v>
      </c>
      <c r="M9" s="63">
        <v>50.0</v>
      </c>
      <c r="N9" s="63">
        <v>50.0</v>
      </c>
      <c r="O9" s="65">
        <v>90.0</v>
      </c>
      <c r="P9" s="65">
        <v>90.0</v>
      </c>
      <c r="Q9" s="69">
        <v>309.0</v>
      </c>
      <c r="R9" s="46"/>
      <c r="S9" s="46"/>
      <c r="T9" s="46"/>
      <c r="U9" s="46"/>
      <c r="V9" s="46"/>
      <c r="W9" s="46"/>
      <c r="X9" s="46"/>
    </row>
    <row r="10">
      <c r="A10" s="68"/>
      <c r="B10" s="59"/>
      <c r="C10" s="52"/>
      <c r="D10" s="70" t="s">
        <v>437</v>
      </c>
      <c r="E10" s="71">
        <v>0.0</v>
      </c>
      <c r="F10" s="71">
        <v>-3.0</v>
      </c>
      <c r="G10" s="71">
        <v>0.0</v>
      </c>
      <c r="H10" s="71">
        <v>-3.0</v>
      </c>
      <c r="I10" s="71">
        <v>0.0</v>
      </c>
      <c r="J10" s="71">
        <v>0.0</v>
      </c>
      <c r="K10" s="71">
        <v>0.0</v>
      </c>
      <c r="L10" s="71">
        <v>0.0</v>
      </c>
      <c r="M10" s="71">
        <v>0.0</v>
      </c>
      <c r="N10" s="71">
        <v>0.0</v>
      </c>
      <c r="O10" s="71">
        <v>0.0</v>
      </c>
      <c r="P10" s="71">
        <v>0.0</v>
      </c>
      <c r="Q10" s="71">
        <v>-3.0</v>
      </c>
      <c r="R10" s="46"/>
      <c r="S10" s="46"/>
      <c r="T10" s="46"/>
      <c r="U10" s="46"/>
      <c r="V10" s="46"/>
      <c r="W10" s="46"/>
      <c r="X10" s="46"/>
    </row>
    <row r="11">
      <c r="A11" s="68"/>
      <c r="B11" s="61" t="s">
        <v>443</v>
      </c>
      <c r="C11" s="54"/>
      <c r="D11" s="62" t="s">
        <v>435</v>
      </c>
      <c r="E11" s="64"/>
      <c r="F11" s="64"/>
      <c r="G11" s="64"/>
      <c r="H11" s="65">
        <v>0.0</v>
      </c>
      <c r="I11" s="63">
        <v>40.0</v>
      </c>
      <c r="J11" s="63">
        <v>20.0</v>
      </c>
      <c r="K11" s="63">
        <v>20.0</v>
      </c>
      <c r="L11" s="63">
        <v>40.0</v>
      </c>
      <c r="M11" s="63">
        <v>35.0</v>
      </c>
      <c r="N11" s="63">
        <v>20.0</v>
      </c>
      <c r="O11" s="65">
        <v>95.0</v>
      </c>
      <c r="P11" s="65">
        <v>80.0</v>
      </c>
      <c r="Q11" s="66">
        <v>175.0</v>
      </c>
      <c r="R11" s="46"/>
      <c r="S11" s="46"/>
      <c r="T11" s="46"/>
      <c r="U11" s="46"/>
      <c r="V11" s="46"/>
      <c r="W11" s="46"/>
      <c r="X11" s="46"/>
    </row>
    <row r="12">
      <c r="A12" s="68"/>
      <c r="B12" s="53"/>
      <c r="C12" s="54"/>
      <c r="D12" s="62" t="s">
        <v>436</v>
      </c>
      <c r="E12" s="63">
        <v>0.0</v>
      </c>
      <c r="F12" s="63">
        <v>0.0</v>
      </c>
      <c r="G12" s="63">
        <v>0.0</v>
      </c>
      <c r="H12" s="65">
        <v>0.0</v>
      </c>
      <c r="I12" s="63">
        <v>3.0</v>
      </c>
      <c r="J12" s="63">
        <v>5.0</v>
      </c>
      <c r="K12" s="63">
        <v>19.0</v>
      </c>
      <c r="L12" s="63">
        <v>28.0</v>
      </c>
      <c r="M12" s="63">
        <v>35.0</v>
      </c>
      <c r="N12" s="63">
        <v>17.0</v>
      </c>
      <c r="O12" s="65">
        <v>57.0</v>
      </c>
      <c r="P12" s="65">
        <v>50.0</v>
      </c>
      <c r="Q12" s="69">
        <v>107.0</v>
      </c>
      <c r="R12" s="46"/>
      <c r="S12" s="46"/>
      <c r="T12" s="46"/>
      <c r="U12" s="46"/>
      <c r="V12" s="46"/>
      <c r="W12" s="46"/>
      <c r="X12" s="46"/>
    </row>
    <row r="13">
      <c r="A13" s="68"/>
      <c r="B13" s="59"/>
      <c r="C13" s="52"/>
      <c r="D13" s="70" t="s">
        <v>437</v>
      </c>
      <c r="E13" s="71">
        <v>0.0</v>
      </c>
      <c r="F13" s="71">
        <v>0.0</v>
      </c>
      <c r="G13" s="71">
        <v>0.0</v>
      </c>
      <c r="H13" s="71">
        <v>0.0</v>
      </c>
      <c r="I13" s="71">
        <v>37.0</v>
      </c>
      <c r="J13" s="71">
        <v>15.0</v>
      </c>
      <c r="K13" s="71">
        <v>1.0</v>
      </c>
      <c r="L13" s="71">
        <v>12.0</v>
      </c>
      <c r="M13" s="71">
        <v>0.0</v>
      </c>
      <c r="N13" s="71">
        <v>3.0</v>
      </c>
      <c r="O13" s="71">
        <v>38.0</v>
      </c>
      <c r="P13" s="71">
        <v>30.0</v>
      </c>
      <c r="Q13" s="71">
        <v>68.0</v>
      </c>
      <c r="R13" s="46"/>
      <c r="S13" s="46"/>
      <c r="T13" s="46"/>
      <c r="U13" s="46"/>
      <c r="V13" s="46"/>
      <c r="W13" s="46"/>
      <c r="X13" s="46"/>
    </row>
    <row r="14">
      <c r="A14" s="45"/>
      <c r="B14" s="45"/>
      <c r="C14" s="45"/>
      <c r="D14" s="45"/>
      <c r="E14" s="45"/>
      <c r="F14" s="45"/>
      <c r="G14" s="45"/>
      <c r="H14" s="45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</row>
    <row r="15">
      <c r="A15" s="45"/>
      <c r="B15" s="45"/>
      <c r="C15" s="45"/>
      <c r="D15" s="45"/>
      <c r="E15" s="45"/>
      <c r="F15" s="45"/>
      <c r="G15" s="45"/>
      <c r="H15" s="45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>
      <c r="A16" s="100"/>
      <c r="B16" s="73" t="s">
        <v>411</v>
      </c>
      <c r="C16" s="74" t="s">
        <v>7</v>
      </c>
      <c r="D16" s="74" t="s">
        <v>412</v>
      </c>
      <c r="E16" s="74" t="s">
        <v>413</v>
      </c>
      <c r="F16" s="74" t="s">
        <v>11</v>
      </c>
      <c r="G16" s="75" t="s">
        <v>414</v>
      </c>
      <c r="H16" s="75" t="s">
        <v>415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94"/>
    </row>
    <row r="17">
      <c r="A17" s="78"/>
      <c r="B17" s="78" t="str">
        <f>IFERROR(__xludf.DUMMYFUNCTION("QUERY(dados_02!$A$2:$H$675, ""SELECT Col1, Col2, Col3, Col4, Col5, Col6, Col7  where Col8 = 'REGIONAL 4' "")"),"02/03/2026 13:05:13")</f>
        <v>02/03/2026 13:05:13</v>
      </c>
      <c r="C17" s="79" t="str">
        <f>IFERROR(__xludf.DUMMYFUNCTION("""COMPUTED_VALUE"""),"1")</f>
        <v>1</v>
      </c>
      <c r="D17" s="80" t="str">
        <f>IFERROR(__xludf.DUMMYFUNCTION("""COMPUTED_VALUE"""),"A. V. D. S. L")</f>
        <v>A. V. D. S. L</v>
      </c>
      <c r="E17" s="81" t="str">
        <f>IFERROR(__xludf.DUMMYFUNCTION("""COMPUTED_VALUE"""),"15/11/2025")</f>
        <v>15/11/2025</v>
      </c>
      <c r="F17" s="80" t="str">
        <f>IFERROR(__xludf.DUMMYFUNCTION("""COMPUTED_VALUE"""),"024******00")</f>
        <v>024******00</v>
      </c>
      <c r="G17" s="80" t="str">
        <f>IFERROR(__xludf.DUMMYFUNCTION("""COMPUTED_VALUE"""),"INFANTIL 1")</f>
        <v>INFANTIL 1</v>
      </c>
      <c r="H17" s="80" t="str">
        <f>IFERROR(__xludf.DUMMYFUNCTION("""COMPUTED_VALUE"""),"CENTRO MUNICIPAL DE EDUCAÇÃO INFANTIL MARCOS FREIRE")</f>
        <v>CENTRO MUNICIPAL DE EDUCAÇÃO INFANTIL MARCOS FREIRE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96"/>
    </row>
    <row r="18">
      <c r="A18" s="78"/>
      <c r="B18" s="78" t="str">
        <f>IFERROR(__xludf.DUMMYFUNCTION("""COMPUTED_VALUE"""),"03/03/2026 09:31:27")</f>
        <v>03/03/2026 09:31:27</v>
      </c>
      <c r="C18" s="79" t="str">
        <f>IFERROR(__xludf.DUMMYFUNCTION("""COMPUTED_VALUE"""),"2")</f>
        <v>2</v>
      </c>
      <c r="D18" s="80" t="str">
        <f>IFERROR(__xludf.DUMMYFUNCTION("""COMPUTED_VALUE"""),"J. K. G. D. N")</f>
        <v>J. K. G. D. N</v>
      </c>
      <c r="E18" s="82" t="str">
        <f>IFERROR(__xludf.DUMMYFUNCTION("""COMPUTED_VALUE"""),"25/07/2024")</f>
        <v>25/07/2024</v>
      </c>
      <c r="F18" s="80" t="str">
        <f>IFERROR(__xludf.DUMMYFUNCTION("""COMPUTED_VALUE"""),"003******88")</f>
        <v>003******88</v>
      </c>
      <c r="G18" s="80" t="str">
        <f>IFERROR(__xludf.DUMMYFUNCTION("""COMPUTED_VALUE"""),"INFANTIL 1")</f>
        <v>INFANTIL 1</v>
      </c>
      <c r="H18" s="80" t="str">
        <f>IFERROR(__xludf.DUMMYFUNCTION("""COMPUTED_VALUE"""),"CENTRO MUNICIPAL DE EDUCAÇÃO INFANTIL MARCOS FREIRE")</f>
        <v>CENTRO MUNICIPAL DE EDUCAÇÃO INFANTIL MARCOS FREIRE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96"/>
    </row>
    <row r="19">
      <c r="A19" s="78"/>
      <c r="B19" s="78" t="str">
        <f>IFERROR(__xludf.DUMMYFUNCTION("""COMPUTED_VALUE"""),"11/03/2026 16:45:43")</f>
        <v>11/03/2026 16:45:43</v>
      </c>
      <c r="C19" s="79" t="str">
        <f>IFERROR(__xludf.DUMMYFUNCTION("""COMPUTED_VALUE"""),"3")</f>
        <v>3</v>
      </c>
      <c r="D19" s="80" t="str">
        <f>IFERROR(__xludf.DUMMYFUNCTION("""COMPUTED_VALUE"""),"J. C. D. S")</f>
        <v>J. C. D. S</v>
      </c>
      <c r="E19" s="81" t="str">
        <f>IFERROR(__xludf.DUMMYFUNCTION("""COMPUTED_VALUE"""),"13/08/2025")</f>
        <v>13/08/2025</v>
      </c>
      <c r="F19" s="80" t="str">
        <f>IFERROR(__xludf.DUMMYFUNCTION("""COMPUTED_VALUE"""),"007******82")</f>
        <v>007******82</v>
      </c>
      <c r="G19" s="80" t="str">
        <f>IFERROR(__xludf.DUMMYFUNCTION("""COMPUTED_VALUE"""),"INFANTIL 1")</f>
        <v>INFANTIL 1</v>
      </c>
      <c r="H19" s="80" t="str">
        <f>IFERROR(__xludf.DUMMYFUNCTION("""COMPUTED_VALUE"""),"CENTRO MUNICIPAL DE EDUCAÇÃO INFANTIL MARCOS FREIRE")</f>
        <v>CENTRO MUNICIPAL DE EDUCAÇÃO INFANTIL MARCOS FREIRE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96"/>
    </row>
    <row r="20" ht="36.0" customHeight="1">
      <c r="A20" s="78"/>
      <c r="B20" s="78" t="str">
        <f>IFERROR(__xludf.DUMMYFUNCTION("""COMPUTED_VALUE"""),"12/03/2026 06:29:35")</f>
        <v>12/03/2026 06:29:35</v>
      </c>
      <c r="C20" s="79" t="str">
        <f>IFERROR(__xludf.DUMMYFUNCTION("""COMPUTED_VALUE"""),"4")</f>
        <v>4</v>
      </c>
      <c r="D20" s="80" t="str">
        <f>IFERROR(__xludf.DUMMYFUNCTION("""COMPUTED_VALUE"""),"M. I. A. D. S")</f>
        <v>M. I. A. D. S</v>
      </c>
      <c r="E20" s="81" t="str">
        <f>IFERROR(__xludf.DUMMYFUNCTION("""COMPUTED_VALUE"""),"13/02/2025")</f>
        <v>13/02/2025</v>
      </c>
      <c r="F20" s="80" t="str">
        <f>IFERROR(__xludf.DUMMYFUNCTION("""COMPUTED_VALUE"""),"005******24")</f>
        <v>005******24</v>
      </c>
      <c r="G20" s="80" t="str">
        <f>IFERROR(__xludf.DUMMYFUNCTION("""COMPUTED_VALUE"""),"INFANTIL 1")</f>
        <v>INFANTIL 1</v>
      </c>
      <c r="H20" s="80" t="str">
        <f>IFERROR(__xludf.DUMMYFUNCTION("""COMPUTED_VALUE"""),"CENTRO MUNICIPAL DE EDUCAÇÃO INFANTIL MARCOS FREIRE")</f>
        <v>CENTRO MUNICIPAL DE EDUCAÇÃO INFANTIL MARCOS FREIRE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96"/>
    </row>
    <row r="21" ht="36.0" customHeight="1">
      <c r="A21" s="78"/>
      <c r="B21" s="78" t="str">
        <f>IFERROR(__xludf.DUMMYFUNCTION("""COMPUTED_VALUE"""),"18/03/2026 11:00:34")</f>
        <v>18/03/2026 11:00:34</v>
      </c>
      <c r="C21" s="79" t="str">
        <f>IFERROR(__xludf.DUMMYFUNCTION("""COMPUTED_VALUE"""),"5")</f>
        <v>5</v>
      </c>
      <c r="D21" s="80" t="str">
        <f>IFERROR(__xludf.DUMMYFUNCTION("""COMPUTED_VALUE"""),"B. C. D. S. C")</f>
        <v>B. C. D. S. C</v>
      </c>
      <c r="E21" s="81" t="str">
        <f>IFERROR(__xludf.DUMMYFUNCTION("""COMPUTED_VALUE"""),"28/05/2025")</f>
        <v>28/05/2025</v>
      </c>
      <c r="F21" s="80" t="str">
        <f>IFERROR(__xludf.DUMMYFUNCTION("""COMPUTED_VALUE"""),"006******07")</f>
        <v>006******07</v>
      </c>
      <c r="G21" s="80" t="str">
        <f>IFERROR(__xludf.DUMMYFUNCTION("""COMPUTED_VALUE"""),"INFANTIL 1")</f>
        <v>INFANTIL 1</v>
      </c>
      <c r="H21" s="80" t="str">
        <f>IFERROR(__xludf.DUMMYFUNCTION("""COMPUTED_VALUE"""),"CENTRO MUNICIPAL DE EDUCAÇÃO INFANTIL MARCOS FREIRE")</f>
        <v>CENTRO MUNICIPAL DE EDUCAÇÃO INFANTIL MARCOS FREIRE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96"/>
    </row>
    <row r="22" ht="36.0" customHeight="1">
      <c r="A22" s="77"/>
      <c r="B22" s="77" t="str">
        <f>IFERROR(__xludf.DUMMYFUNCTION("""COMPUTED_VALUE"""),"23/03/2026 12:20:04")</f>
        <v>23/03/2026 12:20:04</v>
      </c>
      <c r="C22" s="83" t="str">
        <f>IFERROR(__xludf.DUMMYFUNCTION("""COMPUTED_VALUE"""),"6")</f>
        <v>6</v>
      </c>
      <c r="D22" s="77" t="str">
        <f>IFERROR(__xludf.DUMMYFUNCTION("""COMPUTED_VALUE"""),"D. D. S")</f>
        <v>D. D. S</v>
      </c>
      <c r="E22" s="77" t="str">
        <f>IFERROR(__xludf.DUMMYFUNCTION("""COMPUTED_VALUE"""),"09/04/2024")</f>
        <v>09/04/2024</v>
      </c>
      <c r="F22" s="77" t="str">
        <f>IFERROR(__xludf.DUMMYFUNCTION("""COMPUTED_VALUE"""),"002******29")</f>
        <v>002******29</v>
      </c>
      <c r="G22" s="77" t="str">
        <f>IFERROR(__xludf.DUMMYFUNCTION("""COMPUTED_VALUE"""),"INFANTIL 1")</f>
        <v>INFANTIL 1</v>
      </c>
      <c r="H22" s="77" t="str">
        <f>IFERROR(__xludf.DUMMYFUNCTION("""COMPUTED_VALUE"""),"CENTRO MUNICIPAL DE EDUCAÇÃO INFANTIL MARCOS FREIRE")</f>
        <v>CENTRO MUNICIPAL DE EDUCAÇÃO INFANTIL MARCOS FREIRE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96"/>
    </row>
    <row r="23" ht="36.0" customHeight="1">
      <c r="A23" s="77"/>
      <c r="B23" s="77" t="str">
        <f>IFERROR(__xludf.DUMMYFUNCTION("""COMPUTED_VALUE"""),"27/03/2026 14:19:05")</f>
        <v>27/03/2026 14:19:05</v>
      </c>
      <c r="C23" s="83" t="str">
        <f>IFERROR(__xludf.DUMMYFUNCTION("""COMPUTED_VALUE"""),"7")</f>
        <v>7</v>
      </c>
      <c r="D23" s="77" t="str">
        <f>IFERROR(__xludf.DUMMYFUNCTION("""COMPUTED_VALUE"""),"R. L. C. A. D. S")</f>
        <v>R. L. C. A. D. S</v>
      </c>
      <c r="E23" s="77" t="str">
        <f>IFERROR(__xludf.DUMMYFUNCTION("""COMPUTED_VALUE"""),"05/12/2024")</f>
        <v>05/12/2024</v>
      </c>
      <c r="F23" s="77" t="str">
        <f>IFERROR(__xludf.DUMMYFUNCTION("""COMPUTED_VALUE"""),"004******03")</f>
        <v>004******03</v>
      </c>
      <c r="G23" s="77" t="str">
        <f>IFERROR(__xludf.DUMMYFUNCTION("""COMPUTED_VALUE"""),"INFANTIL 1")</f>
        <v>INFANTIL 1</v>
      </c>
      <c r="H23" s="77" t="str">
        <f>IFERROR(__xludf.DUMMYFUNCTION("""COMPUTED_VALUE"""),"CENTRO MUNICIPAL DE EDUCAÇÃO INFANTIL MARCOS FREIRE")</f>
        <v>CENTRO MUNICIPAL DE EDUCAÇÃO INFANTIL MARCOS FREIRE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96"/>
    </row>
    <row r="24" ht="36.0" customHeight="1">
      <c r="A24" s="77"/>
      <c r="B24" s="77" t="str">
        <f>IFERROR(__xludf.DUMMYFUNCTION("""COMPUTED_VALUE"""),"08/04/2026 10:45:14")</f>
        <v>08/04/2026 10:45:14</v>
      </c>
      <c r="C24" s="83" t="str">
        <f>IFERROR(__xludf.DUMMYFUNCTION("""COMPUTED_VALUE"""),"8")</f>
        <v>8</v>
      </c>
      <c r="D24" s="77" t="str">
        <f>IFERROR(__xludf.DUMMYFUNCTION("""COMPUTED_VALUE"""),"T. S. D. L")</f>
        <v>T. S. D. L</v>
      </c>
      <c r="E24" s="77" t="str">
        <f>IFERROR(__xludf.DUMMYFUNCTION("""COMPUTED_VALUE"""),"28/10/2024")</f>
        <v>28/10/2024</v>
      </c>
      <c r="F24" s="77" t="str">
        <f>IFERROR(__xludf.DUMMYFUNCTION("""COMPUTED_VALUE"""),"004******67")</f>
        <v>004******67</v>
      </c>
      <c r="G24" s="77" t="str">
        <f>IFERROR(__xludf.DUMMYFUNCTION("""COMPUTED_VALUE"""),"INFANTIL 1")</f>
        <v>INFANTIL 1</v>
      </c>
      <c r="H24" s="77" t="str">
        <f>IFERROR(__xludf.DUMMYFUNCTION("""COMPUTED_VALUE"""),"CENTRO MUNICIPAL DE EDUCAÇÃO INFANTIL MARCOS FREIRE")</f>
        <v>CENTRO MUNICIPAL DE EDUCAÇÃO INFANTIL MARCOS FREIRE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96"/>
    </row>
    <row r="25" ht="36.0" customHeight="1">
      <c r="A25" s="77"/>
      <c r="B25" s="77" t="str">
        <f>IFERROR(__xludf.DUMMYFUNCTION("""COMPUTED_VALUE"""),"14/04/2026 09:51:21")</f>
        <v>14/04/2026 09:51:21</v>
      </c>
      <c r="C25" s="83" t="str">
        <f>IFERROR(__xludf.DUMMYFUNCTION("""COMPUTED_VALUE"""),"9")</f>
        <v>9</v>
      </c>
      <c r="D25" s="77" t="str">
        <f>IFERROR(__xludf.DUMMYFUNCTION("""COMPUTED_VALUE"""),"M. G. P. D. L")</f>
        <v>M. G. P. D. L</v>
      </c>
      <c r="E25" s="77" t="str">
        <f>IFERROR(__xludf.DUMMYFUNCTION("""COMPUTED_VALUE"""),"25/08/2025")</f>
        <v>25/08/2025</v>
      </c>
      <c r="F25" s="77" t="str">
        <f>IFERROR(__xludf.DUMMYFUNCTION("""COMPUTED_VALUE"""),"014******83")</f>
        <v>014******83</v>
      </c>
      <c r="G25" s="77" t="str">
        <f>IFERROR(__xludf.DUMMYFUNCTION("""COMPUTED_VALUE"""),"INFANTIL 1")</f>
        <v>INFANTIL 1</v>
      </c>
      <c r="H25" s="77" t="str">
        <f>IFERROR(__xludf.DUMMYFUNCTION("""COMPUTED_VALUE"""),"CENTRO MUNICIPAL DE EDUCAÇÃO INFANTIL MARCOS FREIRE")</f>
        <v>CENTRO MUNICIPAL DE EDUCAÇÃO INFANTIL MARCOS FREIRE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96"/>
    </row>
    <row r="26" ht="36.0" customHeight="1">
      <c r="A26" s="77"/>
      <c r="B26" s="77" t="str">
        <f>IFERROR(__xludf.DUMMYFUNCTION("""COMPUTED_VALUE"""),"15/04/2026 16:58:08")</f>
        <v>15/04/2026 16:58:08</v>
      </c>
      <c r="C26" s="83" t="str">
        <f>IFERROR(__xludf.DUMMYFUNCTION("""COMPUTED_VALUE"""),"10")</f>
        <v>10</v>
      </c>
      <c r="D26" s="77" t="str">
        <f>IFERROR(__xludf.DUMMYFUNCTION("""COMPUTED_VALUE"""),"E. M. D. S")</f>
        <v>E. M. D. S</v>
      </c>
      <c r="E26" s="77" t="str">
        <f>IFERROR(__xludf.DUMMYFUNCTION("""COMPUTED_VALUE"""),"12/02/2025")</f>
        <v>12/02/2025</v>
      </c>
      <c r="F26" s="77" t="str">
        <f>IFERROR(__xludf.DUMMYFUNCTION("""COMPUTED_VALUE"""),"050******00")</f>
        <v>050******00</v>
      </c>
      <c r="G26" s="77" t="str">
        <f>IFERROR(__xludf.DUMMYFUNCTION("""COMPUTED_VALUE"""),"INFANTIL 1")</f>
        <v>INFANTIL 1</v>
      </c>
      <c r="H26" s="77" t="str">
        <f>IFERROR(__xludf.DUMMYFUNCTION("""COMPUTED_VALUE"""),"CENTRO MUNICIPAL DE EDUCAÇÃO INFANTIL MARCOS FREIRE")</f>
        <v>CENTRO MUNICIPAL DE EDUCAÇÃO INFANTIL MARCOS FREIRE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96"/>
    </row>
    <row r="27" ht="36.0" customHeight="1">
      <c r="A27" s="77"/>
      <c r="B27" s="77" t="str">
        <f>IFERROR(__xludf.DUMMYFUNCTION("""COMPUTED_VALUE"""),"11/05/2026 14:39:32")</f>
        <v>11/05/2026 14:39:32</v>
      </c>
      <c r="C27" s="83" t="str">
        <f>IFERROR(__xludf.DUMMYFUNCTION("""COMPUTED_VALUE"""),"11")</f>
        <v>11</v>
      </c>
      <c r="D27" s="77" t="str">
        <f>IFERROR(__xludf.DUMMYFUNCTION("""COMPUTED_VALUE"""),"J. H. P. D. A")</f>
        <v>J. H. P. D. A</v>
      </c>
      <c r="E27" s="77" t="str">
        <f>IFERROR(__xludf.DUMMYFUNCTION("""COMPUTED_VALUE"""),"11/07/2024")</f>
        <v>11/07/2024</v>
      </c>
      <c r="F27" s="77" t="str">
        <f>IFERROR(__xludf.DUMMYFUNCTION("""COMPUTED_VALUE"""),"003******28")</f>
        <v>003******28</v>
      </c>
      <c r="G27" s="77" t="str">
        <f>IFERROR(__xludf.DUMMYFUNCTION("""COMPUTED_VALUE"""),"INFANTIL 1")</f>
        <v>INFANTIL 1</v>
      </c>
      <c r="H27" s="77" t="str">
        <f>IFERROR(__xludf.DUMMYFUNCTION("""COMPUTED_VALUE"""),"CENTRO MUNICIPAL DE EDUCAÇÃO INFANTIL MARCOS FREIRE")</f>
        <v>CENTRO MUNICIPAL DE EDUCAÇÃO INFANTIL MARCOS FREIRE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96"/>
    </row>
    <row r="28" ht="36.0" customHeight="1">
      <c r="A28" s="77"/>
      <c r="B28" s="77" t="str">
        <f>IFERROR(__xludf.DUMMYFUNCTION("""COMPUTED_VALUE"""),"26/05/2026 13:30:04")</f>
        <v>26/05/2026 13:30:04</v>
      </c>
      <c r="C28" s="83" t="str">
        <f>IFERROR(__xludf.DUMMYFUNCTION("""COMPUTED_VALUE"""),"12")</f>
        <v>12</v>
      </c>
      <c r="D28" s="77" t="str">
        <f>IFERROR(__xludf.DUMMYFUNCTION("""COMPUTED_VALUE"""),"M. V. D. S. F")</f>
        <v>M. V. D. S. F</v>
      </c>
      <c r="E28" s="77" t="str">
        <f>IFERROR(__xludf.DUMMYFUNCTION("""COMPUTED_VALUE"""),"14/05/2025")</f>
        <v>14/05/2025</v>
      </c>
      <c r="F28" s="77" t="str">
        <f>IFERROR(__xludf.DUMMYFUNCTION("""COMPUTED_VALUE"""),"006******85")</f>
        <v>006******85</v>
      </c>
      <c r="G28" s="77" t="str">
        <f>IFERROR(__xludf.DUMMYFUNCTION("""COMPUTED_VALUE"""),"INFANTIL 1")</f>
        <v>INFANTIL 1</v>
      </c>
      <c r="H28" s="77" t="str">
        <f>IFERROR(__xludf.DUMMYFUNCTION("""COMPUTED_VALUE"""),"CENTRO MUNICIPAL DE EDUCAÇÃO INFANTIL MARCOS FREIRE")</f>
        <v>CENTRO MUNICIPAL DE EDUCAÇÃO INFANTIL MARCOS FREIRE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96"/>
    </row>
    <row r="29" ht="36.0" customHeight="1">
      <c r="A29" s="77"/>
      <c r="B29" s="77" t="str">
        <f>IFERROR(__xludf.DUMMYFUNCTION("""COMPUTED_VALUE"""),"03/06/2026 08:39:17")</f>
        <v>03/06/2026 08:39:17</v>
      </c>
      <c r="C29" s="83" t="str">
        <f>IFERROR(__xludf.DUMMYFUNCTION("""COMPUTED_VALUE"""),"13")</f>
        <v>13</v>
      </c>
      <c r="D29" s="77" t="str">
        <f>IFERROR(__xludf.DUMMYFUNCTION("""COMPUTED_VALUE"""),"B. G. C. D. L")</f>
        <v>B. G. C. D. L</v>
      </c>
      <c r="E29" s="77" t="str">
        <f>IFERROR(__xludf.DUMMYFUNCTION("""COMPUTED_VALUE"""),"21/07/2024")</f>
        <v>21/07/2024</v>
      </c>
      <c r="F29" s="77" t="str">
        <f>IFERROR(__xludf.DUMMYFUNCTION("""COMPUTED_VALUE"""),"003******63")</f>
        <v>003******63</v>
      </c>
      <c r="G29" s="77" t="str">
        <f>IFERROR(__xludf.DUMMYFUNCTION("""COMPUTED_VALUE"""),"INFANTIL 1")</f>
        <v>INFANTIL 1</v>
      </c>
      <c r="H29" s="77" t="str">
        <f>IFERROR(__xludf.DUMMYFUNCTION("""COMPUTED_VALUE"""),"CENTRO MUNICIPAL DE EDUCAÇÃO INFANTIL MARCOS FREIRE")</f>
        <v>CENTRO MUNICIPAL DE EDUCAÇÃO INFANTIL MARCOS FREIRE</v>
      </c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96"/>
    </row>
    <row r="30" ht="36.0" customHeight="1">
      <c r="A30" s="77"/>
      <c r="B30" s="77" t="str">
        <f>IFERROR(__xludf.DUMMYFUNCTION("""COMPUTED_VALUE"""),"13/06/2026 12:51:02")</f>
        <v>13/06/2026 12:51:02</v>
      </c>
      <c r="C30" s="83" t="str">
        <f>IFERROR(__xludf.DUMMYFUNCTION("""COMPUTED_VALUE"""),"14")</f>
        <v>14</v>
      </c>
      <c r="D30" s="77" t="str">
        <f>IFERROR(__xludf.DUMMYFUNCTION("""COMPUTED_VALUE"""),"L. H. d. L. F")</f>
        <v>L. H. d. L. F</v>
      </c>
      <c r="E30" s="77" t="str">
        <f>IFERROR(__xludf.DUMMYFUNCTION("""COMPUTED_VALUE"""),"29/05/2025")</f>
        <v>29/05/2025</v>
      </c>
      <c r="F30" s="77" t="str">
        <f>IFERROR(__xludf.DUMMYFUNCTION("""COMPUTED_VALUE"""),"006******54")</f>
        <v>006******54</v>
      </c>
      <c r="G30" s="77" t="str">
        <f>IFERROR(__xludf.DUMMYFUNCTION("""COMPUTED_VALUE"""),"INFANTIL 1")</f>
        <v>INFANTIL 1</v>
      </c>
      <c r="H30" s="77" t="str">
        <f>IFERROR(__xludf.DUMMYFUNCTION("""COMPUTED_VALUE"""),"CENTRO MUNICIPAL DE EDUCAÇÃO INFANTIL MARCOS FREIRE")</f>
        <v>CENTRO MUNICIPAL DE EDUCAÇÃO INFANTIL MARCOS FREIRE</v>
      </c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96"/>
    </row>
    <row r="31" ht="36.0" customHeight="1">
      <c r="A31" s="77"/>
      <c r="B31" s="77" t="str">
        <f>IFERROR(__xludf.DUMMYFUNCTION("""COMPUTED_VALUE"""),"03/03/2026 12:34:10")</f>
        <v>03/03/2026 12:34:10</v>
      </c>
      <c r="C31" s="83" t="str">
        <f>IFERROR(__xludf.DUMMYFUNCTION("""COMPUTED_VALUE"""),"1")</f>
        <v>1</v>
      </c>
      <c r="D31" s="77" t="str">
        <f>IFERROR(__xludf.DUMMYFUNCTION("""COMPUTED_VALUE"""),"G. A. S. D. L")</f>
        <v>G. A. S. D. L</v>
      </c>
      <c r="E31" s="77" t="str">
        <f>IFERROR(__xludf.DUMMYFUNCTION("""COMPUTED_VALUE"""),"16/01/2024")</f>
        <v>16/01/2024</v>
      </c>
      <c r="F31" s="77" t="str">
        <f>IFERROR(__xludf.DUMMYFUNCTION("""COMPUTED_VALUE"""),"001******51")</f>
        <v>001******51</v>
      </c>
      <c r="G31" s="77" t="str">
        <f>IFERROR(__xludf.DUMMYFUNCTION("""COMPUTED_VALUE"""),"INFANTIL 2")</f>
        <v>INFANTIL 2</v>
      </c>
      <c r="H31" s="77" t="str">
        <f>IFERROR(__xludf.DUMMYFUNCTION("""COMPUTED_VALUE"""),"CENTRO MUNICIPAL DE EDUCAÇÃO INFANTIL MARCOS FREIRE")</f>
        <v>CENTRO MUNICIPAL DE EDUCAÇÃO INFANTIL MARCOS FREIRE</v>
      </c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96"/>
    </row>
    <row r="32" ht="36.0" customHeight="1">
      <c r="A32" s="77"/>
      <c r="B32" s="77" t="str">
        <f>IFERROR(__xludf.DUMMYFUNCTION("""COMPUTED_VALUE"""),"04/03/2026 14:46:15")</f>
        <v>04/03/2026 14:46:15</v>
      </c>
      <c r="C32" s="83" t="str">
        <f>IFERROR(__xludf.DUMMYFUNCTION("""COMPUTED_VALUE"""),"2")</f>
        <v>2</v>
      </c>
      <c r="D32" s="77" t="str">
        <f>IFERROR(__xludf.DUMMYFUNCTION("""COMPUTED_VALUE"""),"J. M. D. L. C")</f>
        <v>J. M. D. L. C</v>
      </c>
      <c r="E32" s="77" t="str">
        <f>IFERROR(__xludf.DUMMYFUNCTION("""COMPUTED_VALUE"""),"22/07/2023")</f>
        <v>22/07/2023</v>
      </c>
      <c r="F32" s="77" t="str">
        <f>IFERROR(__xludf.DUMMYFUNCTION("""COMPUTED_VALUE"""),"234******62")</f>
        <v>234******62</v>
      </c>
      <c r="G32" s="77" t="str">
        <f>IFERROR(__xludf.DUMMYFUNCTION("""COMPUTED_VALUE"""),"INFANTIL 2")</f>
        <v>INFANTIL 2</v>
      </c>
      <c r="H32" s="77" t="str">
        <f>IFERROR(__xludf.DUMMYFUNCTION("""COMPUTED_VALUE"""),"CENTRO MUNICIPAL DE EDUCAÇÃO INFANTIL MARCOS FREIRE")</f>
        <v>CENTRO MUNICIPAL DE EDUCAÇÃO INFANTIL MARCOS FREIRE</v>
      </c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96"/>
    </row>
    <row r="33" ht="36.0" customHeight="1">
      <c r="A33" s="77"/>
      <c r="B33" s="77" t="str">
        <f>IFERROR(__xludf.DUMMYFUNCTION("""COMPUTED_VALUE"""),"20/03/2026 08:02:42")</f>
        <v>20/03/2026 08:02:42</v>
      </c>
      <c r="C33" s="83" t="str">
        <f>IFERROR(__xludf.DUMMYFUNCTION("""COMPUTED_VALUE"""),"3")</f>
        <v>3</v>
      </c>
      <c r="D33" s="77" t="str">
        <f>IFERROR(__xludf.DUMMYFUNCTION("""COMPUTED_VALUE"""),"D. P. D. S. B")</f>
        <v>D. P. D. S. B</v>
      </c>
      <c r="E33" s="77" t="str">
        <f>IFERROR(__xludf.DUMMYFUNCTION("""COMPUTED_VALUE"""),"17/01/2024")</f>
        <v>17/01/2024</v>
      </c>
      <c r="F33" s="77" t="str">
        <f>IFERROR(__xludf.DUMMYFUNCTION("""COMPUTED_VALUE"""),"001******32")</f>
        <v>001******32</v>
      </c>
      <c r="G33" s="77" t="str">
        <f>IFERROR(__xludf.DUMMYFUNCTION("""COMPUTED_VALUE"""),"INFANTIL 2")</f>
        <v>INFANTIL 2</v>
      </c>
      <c r="H33" s="77" t="str">
        <f>IFERROR(__xludf.DUMMYFUNCTION("""COMPUTED_VALUE"""),"CENTRO MUNICIPAL DE EDUCAÇÃO INFANTIL MARCOS FREIRE")</f>
        <v>CENTRO MUNICIPAL DE EDUCAÇÃO INFANTIL MARCOS FREIRE</v>
      </c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96"/>
    </row>
    <row r="34" ht="36.0" customHeight="1">
      <c r="A34" s="77"/>
      <c r="B34" s="77" t="str">
        <f>IFERROR(__xludf.DUMMYFUNCTION("""COMPUTED_VALUE"""),"20/03/2026 23:02:44")</f>
        <v>20/03/2026 23:02:44</v>
      </c>
      <c r="C34" s="83" t="str">
        <f>IFERROR(__xludf.DUMMYFUNCTION("""COMPUTED_VALUE"""),"4")</f>
        <v>4</v>
      </c>
      <c r="D34" s="77" t="str">
        <f>IFERROR(__xludf.DUMMYFUNCTION("""COMPUTED_VALUE"""),"L. B. D. O. R")</f>
        <v>L. B. D. O. R</v>
      </c>
      <c r="E34" s="77" t="str">
        <f>IFERROR(__xludf.DUMMYFUNCTION("""COMPUTED_VALUE"""),"22/02/2024")</f>
        <v>22/02/2024</v>
      </c>
      <c r="F34" s="77" t="str">
        <f>IFERROR(__xludf.DUMMYFUNCTION("""COMPUTED_VALUE"""),"002******40")</f>
        <v>002******40</v>
      </c>
      <c r="G34" s="77" t="str">
        <f>IFERROR(__xludf.DUMMYFUNCTION("""COMPUTED_VALUE"""),"INFANTIL 2")</f>
        <v>INFANTIL 2</v>
      </c>
      <c r="H34" s="77" t="str">
        <f>IFERROR(__xludf.DUMMYFUNCTION("""COMPUTED_VALUE"""),"CENTRO MUNICIPAL DE EDUCAÇÃO INFANTIL MARCOS FREIRE")</f>
        <v>CENTRO MUNICIPAL DE EDUCAÇÃO INFANTIL MARCOS FREIRE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96"/>
    </row>
    <row r="35">
      <c r="A35" s="77"/>
      <c r="B35" s="77" t="str">
        <f>IFERROR(__xludf.DUMMYFUNCTION("""COMPUTED_VALUE"""),"08/04/2026 13:49:21")</f>
        <v>08/04/2026 13:49:21</v>
      </c>
      <c r="C35" s="83" t="str">
        <f>IFERROR(__xludf.DUMMYFUNCTION("""COMPUTED_VALUE"""),"5")</f>
        <v>5</v>
      </c>
      <c r="D35" s="77" t="str">
        <f>IFERROR(__xludf.DUMMYFUNCTION("""COMPUTED_VALUE"""),"J. M. D. S. N")</f>
        <v>J. M. D. S. N</v>
      </c>
      <c r="E35" s="77" t="str">
        <f>IFERROR(__xludf.DUMMYFUNCTION("""COMPUTED_VALUE"""),"23/07/2023")</f>
        <v>23/07/2023</v>
      </c>
      <c r="F35" s="77" t="str">
        <f>IFERROR(__xludf.DUMMYFUNCTION("""COMPUTED_VALUE"""),"186******21")</f>
        <v>186******21</v>
      </c>
      <c r="G35" s="77" t="str">
        <f>IFERROR(__xludf.DUMMYFUNCTION("""COMPUTED_VALUE"""),"INFANTIL 2")</f>
        <v>INFANTIL 2</v>
      </c>
      <c r="H35" s="77" t="str">
        <f>IFERROR(__xludf.DUMMYFUNCTION("""COMPUTED_VALUE"""),"CENTRO MUNICIPAL DE EDUCAÇÃO INFANTIL MARCOS FREIRE")</f>
        <v>CENTRO MUNICIPAL DE EDUCAÇÃO INFANTIL MARCOS FREIRE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96"/>
    </row>
    <row r="36">
      <c r="A36" s="77"/>
      <c r="B36" s="77" t="str">
        <f>IFERROR(__xludf.DUMMYFUNCTION("""COMPUTED_VALUE"""),"17/03/2026 12:24:13")</f>
        <v>17/03/2026 12:24:13</v>
      </c>
      <c r="C36" s="83" t="str">
        <f>IFERROR(__xludf.DUMMYFUNCTION("""COMPUTED_VALUE"""),"1")</f>
        <v>1</v>
      </c>
      <c r="D36" s="77" t="str">
        <f>IFERROR(__xludf.DUMMYFUNCTION("""COMPUTED_VALUE"""),"H. V. D. S. N")</f>
        <v>H. V. D. S. N</v>
      </c>
      <c r="E36" s="77" t="str">
        <f>IFERROR(__xludf.DUMMYFUNCTION("""COMPUTED_VALUE"""),"30/03/2023")</f>
        <v>30/03/2023</v>
      </c>
      <c r="F36" s="77" t="str">
        <f>IFERROR(__xludf.DUMMYFUNCTION("""COMPUTED_VALUE"""),"185******64")</f>
        <v>185******64</v>
      </c>
      <c r="G36" s="77" t="str">
        <f>IFERROR(__xludf.DUMMYFUNCTION("""COMPUTED_VALUE"""),"INFANTIL 3")</f>
        <v>INFANTIL 3</v>
      </c>
      <c r="H36" s="77" t="str">
        <f>IFERROR(__xludf.DUMMYFUNCTION("""COMPUTED_VALUE"""),"CENTRO MUNICIPAL DE EDUCAÇÃO INFANTIL MARCOS FREIRE")</f>
        <v>CENTRO MUNICIPAL DE EDUCAÇÃO INFANTIL MARCOS FREIRE</v>
      </c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96"/>
    </row>
    <row r="37" ht="14.25" customHeight="1">
      <c r="A37" s="77"/>
      <c r="B37" s="77" t="str">
        <f>IFERROR(__xludf.DUMMYFUNCTION("""COMPUTED_VALUE"""),"19/03/2026 09:22:32")</f>
        <v>19/03/2026 09:22:32</v>
      </c>
      <c r="C37" s="83" t="str">
        <f>IFERROR(__xludf.DUMMYFUNCTION("""COMPUTED_VALUE"""),"2")</f>
        <v>2</v>
      </c>
      <c r="D37" s="77" t="str">
        <f>IFERROR(__xludf.DUMMYFUNCTION("""COMPUTED_VALUE"""),"T. L. A")</f>
        <v>T. L. A</v>
      </c>
      <c r="E37" s="77" t="str">
        <f>IFERROR(__xludf.DUMMYFUNCTION("""COMPUTED_VALUE"""),"28/09/2022")</f>
        <v>28/09/2022</v>
      </c>
      <c r="F37" s="77" t="str">
        <f>IFERROR(__xludf.DUMMYFUNCTION("""COMPUTED_VALUE"""),"605******52")</f>
        <v>605******52</v>
      </c>
      <c r="G37" s="77" t="str">
        <f>IFERROR(__xludf.DUMMYFUNCTION("""COMPUTED_VALUE"""),"INFANTIL 3")</f>
        <v>INFANTIL 3</v>
      </c>
      <c r="H37" s="77" t="str">
        <f>IFERROR(__xludf.DUMMYFUNCTION("""COMPUTED_VALUE"""),"CENTRO MUNICIPAL DE EDUCAÇÃO INFANTIL MARCOS FREIRE")</f>
        <v>CENTRO MUNICIPAL DE EDUCAÇÃO INFANTIL MARCOS FREIRE</v>
      </c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96"/>
    </row>
    <row r="38" ht="14.25" customHeight="1">
      <c r="A38" s="77"/>
      <c r="B38" s="77" t="str">
        <f>IFERROR(__xludf.DUMMYFUNCTION("""COMPUTED_VALUE"""),"06/04/2026 11:03:43")</f>
        <v>06/04/2026 11:03:43</v>
      </c>
      <c r="C38" s="83" t="str">
        <f>IFERROR(__xludf.DUMMYFUNCTION("""COMPUTED_VALUE"""),"3")</f>
        <v>3</v>
      </c>
      <c r="D38" s="77" t="str">
        <f>IFERROR(__xludf.DUMMYFUNCTION("""COMPUTED_VALUE"""),"S. C. B. D. S")</f>
        <v>S. C. B. D. S</v>
      </c>
      <c r="E38" s="77" t="str">
        <f>IFERROR(__xludf.DUMMYFUNCTION("""COMPUTED_VALUE"""),"13/06/2022")</f>
        <v>13/06/2022</v>
      </c>
      <c r="F38" s="77" t="str">
        <f>IFERROR(__xludf.DUMMYFUNCTION("""COMPUTED_VALUE"""),"181******80")</f>
        <v>181******80</v>
      </c>
      <c r="G38" s="77" t="str">
        <f>IFERROR(__xludf.DUMMYFUNCTION("""COMPUTED_VALUE"""),"INFANTIL 3")</f>
        <v>INFANTIL 3</v>
      </c>
      <c r="H38" s="77" t="str">
        <f>IFERROR(__xludf.DUMMYFUNCTION("""COMPUTED_VALUE"""),"CENTRO MUNICIPAL DE EDUCAÇÃO INFANTIL MARCOS FREIRE")</f>
        <v>CENTRO MUNICIPAL DE EDUCAÇÃO INFANTIL MARCOS FREIRE</v>
      </c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96"/>
    </row>
    <row r="39" ht="14.25" customHeight="1">
      <c r="A39" s="77"/>
      <c r="B39" s="77"/>
      <c r="C39" s="83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96"/>
    </row>
    <row r="40" ht="14.25" customHeight="1">
      <c r="A40" s="77"/>
      <c r="B40" s="77"/>
      <c r="C40" s="83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96"/>
    </row>
    <row r="41" ht="14.25" customHeight="1">
      <c r="A41" s="77"/>
      <c r="B41" s="77"/>
      <c r="C41" s="83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96"/>
    </row>
    <row r="42" ht="14.25" customHeight="1">
      <c r="A42" s="77"/>
      <c r="B42" s="77"/>
      <c r="C42" s="83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96"/>
    </row>
    <row r="43" ht="14.25" customHeight="1">
      <c r="A43" s="77"/>
      <c r="B43" s="77"/>
      <c r="C43" s="83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96"/>
    </row>
    <row r="44" ht="14.25" customHeight="1">
      <c r="A44" s="77"/>
      <c r="B44" s="77"/>
      <c r="C44" s="83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96"/>
    </row>
    <row r="45" ht="14.25" customHeight="1">
      <c r="A45" s="77"/>
      <c r="B45" s="77"/>
      <c r="C45" s="83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96"/>
    </row>
    <row r="46" ht="14.25" customHeight="1">
      <c r="A46" s="77"/>
      <c r="B46" s="77"/>
      <c r="C46" s="83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96"/>
    </row>
  </sheetData>
  <mergeCells count="14">
    <mergeCell ref="I5:J5"/>
    <mergeCell ref="I6:J6"/>
    <mergeCell ref="K6:L6"/>
    <mergeCell ref="M6:N6"/>
    <mergeCell ref="B4:C7"/>
    <mergeCell ref="B8:C10"/>
    <mergeCell ref="B11:C13"/>
    <mergeCell ref="B2:Q2"/>
    <mergeCell ref="D4:D7"/>
    <mergeCell ref="E4:Q4"/>
    <mergeCell ref="E5:H5"/>
    <mergeCell ref="K5:P5"/>
    <mergeCell ref="Q5:Q6"/>
    <mergeCell ref="O6:P6"/>
  </mergeCells>
  <conditionalFormatting sqref="E8:N13">
    <cfRule type="containsBlanks" dxfId="7" priority="1">
      <formula>LEN(TRIM(E8))=0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2" width="24.43"/>
    <col customWidth="1" min="3" max="3" width="9.0"/>
    <col customWidth="1" min="4" max="4" width="42.57"/>
    <col customWidth="1" min="5" max="5" width="16.43"/>
    <col customWidth="1" min="6" max="6" width="16.0"/>
    <col customWidth="1" min="7" max="7" width="13.14"/>
    <col customWidth="1" min="8" max="8" width="50.43"/>
    <col customWidth="1" min="9" max="9" width="6.43"/>
    <col customWidth="1" min="10" max="10" width="11.71"/>
    <col customWidth="1" min="11" max="11" width="6.57"/>
    <col customWidth="1" min="12" max="12" width="10.57"/>
    <col customWidth="1" min="13" max="13" width="7.14"/>
    <col customWidth="1" min="14" max="14" width="9.57"/>
    <col customWidth="1" min="15" max="15" width="4.57"/>
    <col customWidth="1" min="16" max="16" width="9.86"/>
    <col customWidth="1" hidden="1" min="18" max="24" width="14.43"/>
  </cols>
  <sheetData>
    <row r="1">
      <c r="A1" s="45"/>
      <c r="B1" s="45"/>
      <c r="C1" s="45"/>
      <c r="D1" s="45"/>
      <c r="E1" s="45"/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>
      <c r="A2" s="98"/>
      <c r="B2" s="98" t="s">
        <v>444</v>
      </c>
      <c r="R2" s="46"/>
      <c r="S2" s="46"/>
      <c r="T2" s="46"/>
      <c r="U2" s="46"/>
      <c r="V2" s="46"/>
      <c r="W2" s="46"/>
      <c r="X2" s="46"/>
    </row>
    <row r="3">
      <c r="A3" s="45"/>
      <c r="B3" s="45"/>
      <c r="C3" s="45"/>
      <c r="D3" s="45"/>
      <c r="E3" s="45"/>
      <c r="F3" s="45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>
      <c r="A4" s="99"/>
      <c r="B4" s="48" t="s">
        <v>17</v>
      </c>
      <c r="D4" s="49" t="s">
        <v>418</v>
      </c>
      <c r="E4" s="50" t="s">
        <v>419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6"/>
      <c r="S4" s="46"/>
      <c r="T4" s="46"/>
      <c r="U4" s="46"/>
      <c r="V4" s="46"/>
      <c r="W4" s="46"/>
      <c r="X4" s="46"/>
    </row>
    <row r="5">
      <c r="A5" s="99"/>
      <c r="B5" s="53"/>
      <c r="D5" s="54"/>
      <c r="E5" s="50" t="s">
        <v>420</v>
      </c>
      <c r="F5" s="51"/>
      <c r="G5" s="51"/>
      <c r="H5" s="52"/>
      <c r="I5" s="50" t="s">
        <v>421</v>
      </c>
      <c r="J5" s="52"/>
      <c r="K5" s="50" t="s">
        <v>422</v>
      </c>
      <c r="L5" s="51"/>
      <c r="M5" s="51"/>
      <c r="N5" s="51"/>
      <c r="O5" s="51"/>
      <c r="P5" s="52"/>
      <c r="Q5" s="55" t="s">
        <v>423</v>
      </c>
      <c r="R5" s="46"/>
      <c r="S5" s="46"/>
      <c r="T5" s="46"/>
      <c r="U5" s="46"/>
      <c r="V5" s="46"/>
      <c r="W5" s="46"/>
      <c r="X5" s="46"/>
    </row>
    <row r="6">
      <c r="A6" s="99"/>
      <c r="B6" s="53"/>
      <c r="D6" s="54"/>
      <c r="E6" s="56" t="s">
        <v>424</v>
      </c>
      <c r="F6" s="56" t="s">
        <v>425</v>
      </c>
      <c r="G6" s="56" t="s">
        <v>426</v>
      </c>
      <c r="H6" s="57" t="s">
        <v>427</v>
      </c>
      <c r="I6" s="50" t="s">
        <v>426</v>
      </c>
      <c r="J6" s="52"/>
      <c r="K6" s="50" t="s">
        <v>428</v>
      </c>
      <c r="L6" s="52"/>
      <c r="M6" s="50" t="s">
        <v>429</v>
      </c>
      <c r="N6" s="52"/>
      <c r="O6" s="58" t="s">
        <v>427</v>
      </c>
      <c r="P6" s="52"/>
      <c r="Q6" s="52"/>
      <c r="R6" s="46"/>
      <c r="S6" s="46"/>
      <c r="T6" s="46"/>
      <c r="U6" s="46"/>
      <c r="V6" s="46"/>
      <c r="W6" s="46"/>
      <c r="X6" s="46"/>
    </row>
    <row r="7">
      <c r="A7" s="99"/>
      <c r="B7" s="59"/>
      <c r="C7" s="51"/>
      <c r="D7" s="52"/>
      <c r="E7" s="56" t="s">
        <v>430</v>
      </c>
      <c r="F7" s="56" t="s">
        <v>430</v>
      </c>
      <c r="G7" s="56" t="s">
        <v>430</v>
      </c>
      <c r="H7" s="57" t="s">
        <v>430</v>
      </c>
      <c r="I7" s="56" t="s">
        <v>431</v>
      </c>
      <c r="J7" s="56" t="s">
        <v>432</v>
      </c>
      <c r="K7" s="56" t="s">
        <v>431</v>
      </c>
      <c r="L7" s="56" t="s">
        <v>432</v>
      </c>
      <c r="M7" s="56" t="s">
        <v>431</v>
      </c>
      <c r="N7" s="56" t="s">
        <v>432</v>
      </c>
      <c r="O7" s="57" t="s">
        <v>431</v>
      </c>
      <c r="P7" s="57" t="s">
        <v>432</v>
      </c>
      <c r="Q7" s="60" t="s">
        <v>433</v>
      </c>
      <c r="R7" s="46"/>
      <c r="S7" s="46"/>
      <c r="T7" s="46"/>
      <c r="U7" s="46"/>
      <c r="V7" s="46"/>
      <c r="W7" s="46"/>
      <c r="X7" s="46"/>
    </row>
    <row r="8">
      <c r="A8" s="68"/>
      <c r="B8" s="61" t="s">
        <v>445</v>
      </c>
      <c r="C8" s="54"/>
      <c r="D8" s="62" t="s">
        <v>435</v>
      </c>
      <c r="E8" s="63">
        <v>30.0</v>
      </c>
      <c r="F8" s="63">
        <v>30.0</v>
      </c>
      <c r="G8" s="63">
        <v>40.0</v>
      </c>
      <c r="H8" s="65">
        <v>100.0</v>
      </c>
      <c r="I8" s="64"/>
      <c r="J8" s="64"/>
      <c r="K8" s="63">
        <v>60.0</v>
      </c>
      <c r="L8" s="63">
        <v>60.0</v>
      </c>
      <c r="M8" s="63">
        <v>80.0</v>
      </c>
      <c r="N8" s="63">
        <v>80.0</v>
      </c>
      <c r="O8" s="65">
        <v>140.0</v>
      </c>
      <c r="P8" s="65">
        <v>140.0</v>
      </c>
      <c r="Q8" s="66">
        <v>380.0</v>
      </c>
      <c r="R8" s="46"/>
      <c r="S8" s="46"/>
      <c r="T8" s="46"/>
      <c r="U8" s="46"/>
      <c r="V8" s="46"/>
      <c r="W8" s="46"/>
      <c r="X8" s="46"/>
    </row>
    <row r="9">
      <c r="A9" s="68"/>
      <c r="B9" s="53"/>
      <c r="C9" s="54"/>
      <c r="D9" s="62" t="s">
        <v>436</v>
      </c>
      <c r="E9" s="63">
        <v>30.0</v>
      </c>
      <c r="F9" s="63">
        <v>30.0</v>
      </c>
      <c r="G9" s="63">
        <v>43.0</v>
      </c>
      <c r="H9" s="65">
        <v>90.0</v>
      </c>
      <c r="I9" s="63">
        <v>0.0</v>
      </c>
      <c r="J9" s="63">
        <v>0.0</v>
      </c>
      <c r="K9" s="63">
        <v>29.0</v>
      </c>
      <c r="L9" s="63">
        <v>28.0</v>
      </c>
      <c r="M9" s="63">
        <v>80.0</v>
      </c>
      <c r="N9" s="63">
        <v>69.0</v>
      </c>
      <c r="O9" s="65">
        <v>109.0</v>
      </c>
      <c r="P9" s="65">
        <v>97.0</v>
      </c>
      <c r="Q9" s="69">
        <v>296.0</v>
      </c>
      <c r="R9" s="46"/>
      <c r="S9" s="46"/>
      <c r="T9" s="46"/>
      <c r="U9" s="46"/>
      <c r="V9" s="46"/>
      <c r="W9" s="46"/>
      <c r="X9" s="46"/>
    </row>
    <row r="10">
      <c r="A10" s="68"/>
      <c r="B10" s="59"/>
      <c r="C10" s="52"/>
      <c r="D10" s="70" t="s">
        <v>437</v>
      </c>
      <c r="E10" s="71">
        <v>0.0</v>
      </c>
      <c r="F10" s="71">
        <v>0.0</v>
      </c>
      <c r="G10" s="71">
        <v>-3.0</v>
      </c>
      <c r="H10" s="71">
        <v>10.0</v>
      </c>
      <c r="I10" s="71">
        <v>0.0</v>
      </c>
      <c r="J10" s="71">
        <v>0.0</v>
      </c>
      <c r="K10" s="71">
        <v>31.0</v>
      </c>
      <c r="L10" s="71">
        <v>32.0</v>
      </c>
      <c r="M10" s="71">
        <v>0.0</v>
      </c>
      <c r="N10" s="71">
        <v>11.0</v>
      </c>
      <c r="O10" s="71">
        <v>31.0</v>
      </c>
      <c r="P10" s="71">
        <v>43.0</v>
      </c>
      <c r="Q10" s="71">
        <v>84.0</v>
      </c>
      <c r="R10" s="46"/>
      <c r="S10" s="46"/>
      <c r="T10" s="46"/>
      <c r="U10" s="46"/>
      <c r="V10" s="46"/>
      <c r="W10" s="46"/>
      <c r="X10" s="46"/>
    </row>
    <row r="11">
      <c r="A11" s="68"/>
      <c r="B11" s="61" t="s">
        <v>446</v>
      </c>
      <c r="C11" s="54"/>
      <c r="D11" s="62" t="s">
        <v>435</v>
      </c>
      <c r="E11" s="64"/>
      <c r="F11" s="64"/>
      <c r="G11" s="64"/>
      <c r="H11" s="65">
        <v>0.0</v>
      </c>
      <c r="I11" s="63">
        <v>40.0</v>
      </c>
      <c r="J11" s="63">
        <v>40.0</v>
      </c>
      <c r="K11" s="63">
        <v>60.0</v>
      </c>
      <c r="L11" s="63">
        <v>60.0</v>
      </c>
      <c r="M11" s="63">
        <v>60.0</v>
      </c>
      <c r="N11" s="63">
        <v>60.0</v>
      </c>
      <c r="O11" s="65">
        <v>160.0</v>
      </c>
      <c r="P11" s="65">
        <v>160.0</v>
      </c>
      <c r="Q11" s="66">
        <v>320.0</v>
      </c>
      <c r="R11" s="46"/>
      <c r="S11" s="46"/>
      <c r="T11" s="46"/>
      <c r="U11" s="46"/>
      <c r="V11" s="46"/>
      <c r="W11" s="46"/>
      <c r="X11" s="46"/>
    </row>
    <row r="12">
      <c r="A12" s="68"/>
      <c r="B12" s="53"/>
      <c r="C12" s="54"/>
      <c r="D12" s="62" t="s">
        <v>436</v>
      </c>
      <c r="E12" s="63">
        <v>0.0</v>
      </c>
      <c r="F12" s="63">
        <v>0.0</v>
      </c>
      <c r="G12" s="63">
        <v>0.0</v>
      </c>
      <c r="H12" s="65">
        <v>0.0</v>
      </c>
      <c r="I12" s="63">
        <v>6.0</v>
      </c>
      <c r="J12" s="63">
        <v>6.0</v>
      </c>
      <c r="K12" s="63">
        <v>32.0</v>
      </c>
      <c r="L12" s="63">
        <v>55.0</v>
      </c>
      <c r="M12" s="63">
        <v>60.0</v>
      </c>
      <c r="N12" s="63">
        <v>59.0</v>
      </c>
      <c r="O12" s="65">
        <v>98.0</v>
      </c>
      <c r="P12" s="65">
        <v>120.0</v>
      </c>
      <c r="Q12" s="69">
        <v>218.0</v>
      </c>
      <c r="R12" s="46"/>
      <c r="S12" s="46"/>
      <c r="T12" s="46"/>
      <c r="U12" s="46"/>
      <c r="V12" s="46"/>
      <c r="W12" s="46"/>
      <c r="X12" s="46"/>
    </row>
    <row r="13">
      <c r="A13" s="68"/>
      <c r="B13" s="59"/>
      <c r="C13" s="52"/>
      <c r="D13" s="70" t="s">
        <v>437</v>
      </c>
      <c r="E13" s="71">
        <v>0.0</v>
      </c>
      <c r="F13" s="71">
        <v>0.0</v>
      </c>
      <c r="G13" s="71">
        <v>0.0</v>
      </c>
      <c r="H13" s="71">
        <v>0.0</v>
      </c>
      <c r="I13" s="71">
        <v>34.0</v>
      </c>
      <c r="J13" s="71">
        <v>34.0</v>
      </c>
      <c r="K13" s="71">
        <v>28.0</v>
      </c>
      <c r="L13" s="71">
        <v>5.0</v>
      </c>
      <c r="M13" s="71">
        <v>0.0</v>
      </c>
      <c r="N13" s="71">
        <v>1.0</v>
      </c>
      <c r="O13" s="71">
        <v>62.0</v>
      </c>
      <c r="P13" s="71">
        <v>40.0</v>
      </c>
      <c r="Q13" s="71">
        <v>102.0</v>
      </c>
      <c r="R13" s="46"/>
      <c r="S13" s="46"/>
      <c r="T13" s="46"/>
      <c r="U13" s="46"/>
      <c r="V13" s="46"/>
      <c r="W13" s="46"/>
      <c r="X13" s="46"/>
    </row>
    <row r="14">
      <c r="A14" s="68"/>
      <c r="B14" s="61" t="s">
        <v>241</v>
      </c>
      <c r="C14" s="54"/>
      <c r="D14" s="62" t="s">
        <v>435</v>
      </c>
      <c r="E14" s="63">
        <v>15.0</v>
      </c>
      <c r="F14" s="63">
        <v>30.0</v>
      </c>
      <c r="G14" s="63">
        <v>40.0</v>
      </c>
      <c r="H14" s="65">
        <v>85.0</v>
      </c>
      <c r="I14" s="64"/>
      <c r="J14" s="64"/>
      <c r="K14" s="63">
        <v>40.0</v>
      </c>
      <c r="L14" s="63">
        <v>20.0</v>
      </c>
      <c r="M14" s="63">
        <v>40.0</v>
      </c>
      <c r="N14" s="63">
        <v>20.0</v>
      </c>
      <c r="O14" s="65">
        <v>80.0</v>
      </c>
      <c r="P14" s="65">
        <v>40.0</v>
      </c>
      <c r="Q14" s="66">
        <v>205.0</v>
      </c>
      <c r="R14" s="46"/>
      <c r="S14" s="46"/>
      <c r="T14" s="46"/>
      <c r="U14" s="46"/>
      <c r="V14" s="46"/>
      <c r="W14" s="46"/>
      <c r="X14" s="46"/>
    </row>
    <row r="15">
      <c r="A15" s="68">
        <v>2.618706E7</v>
      </c>
      <c r="B15" s="53"/>
      <c r="C15" s="54"/>
      <c r="D15" s="62" t="s">
        <v>436</v>
      </c>
      <c r="E15" s="63">
        <v>15.0</v>
      </c>
      <c r="F15" s="63">
        <v>30.0</v>
      </c>
      <c r="G15" s="63">
        <f>19+18</f>
        <v>37</v>
      </c>
      <c r="H15" s="65">
        <v>59.0</v>
      </c>
      <c r="I15" s="63">
        <v>0.0</v>
      </c>
      <c r="J15" s="63">
        <v>0.0</v>
      </c>
      <c r="K15" s="63">
        <v>29.0</v>
      </c>
      <c r="L15" s="63">
        <v>10.0</v>
      </c>
      <c r="M15" s="63">
        <v>28.0</v>
      </c>
      <c r="N15" s="63">
        <v>18.0</v>
      </c>
      <c r="O15" s="65">
        <v>57.0</v>
      </c>
      <c r="P15" s="65">
        <v>28.0</v>
      </c>
      <c r="Q15" s="69">
        <v>144.0</v>
      </c>
      <c r="R15" s="46"/>
      <c r="S15" s="46"/>
      <c r="T15" s="46"/>
      <c r="U15" s="46"/>
      <c r="V15" s="46"/>
      <c r="W15" s="46"/>
      <c r="X15" s="46"/>
    </row>
    <row r="16">
      <c r="A16" s="68"/>
      <c r="B16" s="59"/>
      <c r="C16" s="52"/>
      <c r="D16" s="70" t="s">
        <v>437</v>
      </c>
      <c r="E16" s="71">
        <v>8.0</v>
      </c>
      <c r="F16" s="71">
        <v>13.0</v>
      </c>
      <c r="G16" s="71">
        <v>5.0</v>
      </c>
      <c r="H16" s="71">
        <v>26.0</v>
      </c>
      <c r="I16" s="71">
        <v>0.0</v>
      </c>
      <c r="J16" s="71">
        <v>0.0</v>
      </c>
      <c r="K16" s="71">
        <v>11.0</v>
      </c>
      <c r="L16" s="71">
        <v>10.0</v>
      </c>
      <c r="M16" s="71">
        <v>12.0</v>
      </c>
      <c r="N16" s="71">
        <v>2.0</v>
      </c>
      <c r="O16" s="71">
        <v>23.0</v>
      </c>
      <c r="P16" s="71">
        <v>12.0</v>
      </c>
      <c r="Q16" s="71">
        <v>61.0</v>
      </c>
      <c r="R16" s="46"/>
      <c r="S16" s="46"/>
      <c r="T16" s="46"/>
      <c r="U16" s="46"/>
      <c r="V16" s="46"/>
      <c r="W16" s="46"/>
      <c r="X16" s="46"/>
    </row>
    <row r="17">
      <c r="A17" s="68"/>
      <c r="B17" s="61" t="s">
        <v>243</v>
      </c>
      <c r="C17" s="54"/>
      <c r="D17" s="62" t="s">
        <v>435</v>
      </c>
      <c r="E17" s="63">
        <v>15.0</v>
      </c>
      <c r="F17" s="63">
        <v>15.0</v>
      </c>
      <c r="G17" s="63">
        <v>40.0</v>
      </c>
      <c r="H17" s="65">
        <v>70.0</v>
      </c>
      <c r="I17" s="64"/>
      <c r="J17" s="64"/>
      <c r="K17" s="63">
        <v>70.0</v>
      </c>
      <c r="L17" s="64"/>
      <c r="M17" s="64"/>
      <c r="N17" s="63">
        <v>70.0</v>
      </c>
      <c r="O17" s="65">
        <v>70.0</v>
      </c>
      <c r="P17" s="65">
        <v>70.0</v>
      </c>
      <c r="Q17" s="66">
        <v>210.0</v>
      </c>
      <c r="R17" s="46"/>
      <c r="S17" s="46"/>
      <c r="T17" s="46"/>
      <c r="U17" s="46"/>
      <c r="V17" s="46"/>
      <c r="W17" s="46"/>
      <c r="X17" s="46"/>
    </row>
    <row r="18">
      <c r="A18" s="68"/>
      <c r="B18" s="53"/>
      <c r="C18" s="54"/>
      <c r="D18" s="62" t="s">
        <v>436</v>
      </c>
      <c r="E18" s="63">
        <v>15.0</v>
      </c>
      <c r="F18" s="63">
        <v>15.0</v>
      </c>
      <c r="G18" s="63">
        <v>40.0</v>
      </c>
      <c r="H18" s="65">
        <v>46.0</v>
      </c>
      <c r="I18" s="63">
        <v>0.0</v>
      </c>
      <c r="J18" s="63">
        <v>0.0</v>
      </c>
      <c r="K18" s="63">
        <v>38.0</v>
      </c>
      <c r="L18" s="63">
        <v>0.0</v>
      </c>
      <c r="M18" s="63">
        <v>0.0</v>
      </c>
      <c r="N18" s="63">
        <v>69.0</v>
      </c>
      <c r="O18" s="65">
        <v>38.0</v>
      </c>
      <c r="P18" s="65">
        <v>69.0</v>
      </c>
      <c r="Q18" s="69">
        <v>153.0</v>
      </c>
      <c r="R18" s="46"/>
      <c r="S18" s="46"/>
      <c r="T18" s="46"/>
      <c r="U18" s="46"/>
      <c r="V18" s="46"/>
      <c r="W18" s="46"/>
      <c r="X18" s="46"/>
    </row>
    <row r="19">
      <c r="A19" s="68"/>
      <c r="B19" s="59"/>
      <c r="C19" s="52"/>
      <c r="D19" s="70" t="s">
        <v>437</v>
      </c>
      <c r="E19" s="71">
        <v>0.0</v>
      </c>
      <c r="F19" s="71">
        <v>0.0</v>
      </c>
      <c r="G19" s="71">
        <v>0.0</v>
      </c>
      <c r="H19" s="71">
        <v>24.0</v>
      </c>
      <c r="I19" s="71">
        <v>0.0</v>
      </c>
      <c r="J19" s="71">
        <v>0.0</v>
      </c>
      <c r="K19" s="71">
        <v>32.0</v>
      </c>
      <c r="L19" s="71">
        <v>0.0</v>
      </c>
      <c r="M19" s="71">
        <v>0.0</v>
      </c>
      <c r="N19" s="71">
        <v>1.0</v>
      </c>
      <c r="O19" s="71">
        <v>32.0</v>
      </c>
      <c r="P19" s="71">
        <v>1.0</v>
      </c>
      <c r="Q19" s="71">
        <v>57.0</v>
      </c>
      <c r="R19" s="46"/>
      <c r="S19" s="46"/>
      <c r="T19" s="46"/>
      <c r="U19" s="46"/>
      <c r="V19" s="46"/>
      <c r="W19" s="46"/>
      <c r="X19" s="46"/>
    </row>
    <row r="20">
      <c r="A20" s="45"/>
      <c r="B20" s="45"/>
      <c r="C20" s="45"/>
      <c r="D20" s="45"/>
      <c r="E20" s="45"/>
      <c r="F20" s="45"/>
      <c r="G20" s="45"/>
      <c r="H20" s="45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</row>
    <row r="21" ht="15.75" customHeight="1">
      <c r="A21" s="45"/>
      <c r="B21" s="45"/>
      <c r="C21" s="45"/>
      <c r="D21" s="45"/>
      <c r="E21" s="45"/>
      <c r="F21" s="45"/>
      <c r="G21" s="45"/>
      <c r="H21" s="45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</row>
    <row r="22" ht="15.75" customHeight="1">
      <c r="A22" s="45"/>
      <c r="B22" s="45"/>
      <c r="C22" s="45"/>
      <c r="D22" s="45"/>
      <c r="E22" s="45"/>
      <c r="F22" s="45"/>
      <c r="G22" s="45"/>
      <c r="H22" s="45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</row>
    <row r="23">
      <c r="A23" s="100"/>
      <c r="B23" s="73" t="s">
        <v>411</v>
      </c>
      <c r="C23" s="74" t="s">
        <v>7</v>
      </c>
      <c r="D23" s="74" t="s">
        <v>412</v>
      </c>
      <c r="E23" s="74" t="s">
        <v>413</v>
      </c>
      <c r="F23" s="74" t="s">
        <v>11</v>
      </c>
      <c r="G23" s="75" t="s">
        <v>414</v>
      </c>
      <c r="H23" s="75" t="s">
        <v>415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94"/>
    </row>
    <row r="24" ht="15.75" customHeight="1">
      <c r="A24" s="78"/>
      <c r="B24" s="78" t="str">
        <f>IFERROR(__xludf.DUMMYFUNCTION("QUERY(dados_02!$A$2:$H$675, ""SELECT Col1, Col2, Col3, Col4, Col5, Col6, Col7  where Col8 = 'REGIONAL 5' "")"),"19/03/2026 08:28:18")</f>
        <v>19/03/2026 08:28:18</v>
      </c>
      <c r="C24" s="79" t="str">
        <f>IFERROR(__xludf.DUMMYFUNCTION("""COMPUTED_VALUE"""),"1")</f>
        <v>1</v>
      </c>
      <c r="D24" s="80" t="str">
        <f>IFERROR(__xludf.DUMMYFUNCTION("""COMPUTED_VALUE"""),"M. C. D. L")</f>
        <v>M. C. D. L</v>
      </c>
      <c r="E24" s="81" t="str">
        <f>IFERROR(__xludf.DUMMYFUNCTION("""COMPUTED_VALUE"""),"16/12/2024")</f>
        <v>16/12/2024</v>
      </c>
      <c r="F24" s="80" t="str">
        <f>IFERROR(__xludf.DUMMYFUNCTION("""COMPUTED_VALUE"""),"004******32")</f>
        <v>004******32</v>
      </c>
      <c r="G24" s="80" t="str">
        <f>IFERROR(__xludf.DUMMYFUNCTION("""COMPUTED_VALUE"""),"INFANTIL 1")</f>
        <v>INFANTIL 1</v>
      </c>
      <c r="H24" s="95" t="str">
        <f>IFERROR(__xludf.DUMMYFUNCTION("""COMPUTED_VALUE"""),"CEMEI PROFª MARIA LUZIA RIO LIMA")</f>
        <v>CEMEI PROFª MARIA LUZIA RIO LIMA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96"/>
    </row>
    <row r="25" ht="15.75" customHeight="1">
      <c r="A25" s="78"/>
      <c r="B25" s="78" t="str">
        <f>IFERROR(__xludf.DUMMYFUNCTION("""COMPUTED_VALUE"""),"19/03/2026 08:46:18")</f>
        <v>19/03/2026 08:46:18</v>
      </c>
      <c r="C25" s="79" t="str">
        <f>IFERROR(__xludf.DUMMYFUNCTION("""COMPUTED_VALUE"""),"2")</f>
        <v>2</v>
      </c>
      <c r="D25" s="80" t="str">
        <f>IFERROR(__xludf.DUMMYFUNCTION("""COMPUTED_VALUE"""),"M. F. D. L")</f>
        <v>M. F. D. L</v>
      </c>
      <c r="E25" s="81" t="str">
        <f>IFERROR(__xludf.DUMMYFUNCTION("""COMPUTED_VALUE"""),"16/12/2024")</f>
        <v>16/12/2024</v>
      </c>
      <c r="F25" s="80" t="str">
        <f>IFERROR(__xludf.DUMMYFUNCTION("""COMPUTED_VALUE"""),"004******97")</f>
        <v>004******97</v>
      </c>
      <c r="G25" s="80" t="str">
        <f>IFERROR(__xludf.DUMMYFUNCTION("""COMPUTED_VALUE"""),"INFANTIL 1")</f>
        <v>INFANTIL 1</v>
      </c>
      <c r="H25" s="95" t="str">
        <f>IFERROR(__xludf.DUMMYFUNCTION("""COMPUTED_VALUE"""),"CEMEI PROFª MARIA LUZIA RIO LIMA")</f>
        <v>CEMEI PROFª MARIA LUZIA RIO LIMA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96"/>
    </row>
    <row r="26" ht="15.75" customHeight="1">
      <c r="A26" s="78"/>
      <c r="B26" s="78" t="str">
        <f>IFERROR(__xludf.DUMMYFUNCTION("""COMPUTED_VALUE"""),"06/05/2026 15:38:45")</f>
        <v>06/05/2026 15:38:45</v>
      </c>
      <c r="C26" s="79" t="str">
        <f>IFERROR(__xludf.DUMMYFUNCTION("""COMPUTED_VALUE"""),"3")</f>
        <v>3</v>
      </c>
      <c r="D26" s="80" t="str">
        <f>IFERROR(__xludf.DUMMYFUNCTION("""COMPUTED_VALUE"""),"E. L. F. D. S")</f>
        <v>E. L. F. D. S</v>
      </c>
      <c r="E26" s="81" t="str">
        <f>IFERROR(__xludf.DUMMYFUNCTION("""COMPUTED_VALUE"""),"05/09/2024")</f>
        <v>05/09/2024</v>
      </c>
      <c r="F26" s="80" t="str">
        <f>IFERROR(__xludf.DUMMYFUNCTION("""COMPUTED_VALUE"""),"118******81")</f>
        <v>118******81</v>
      </c>
      <c r="G26" s="80" t="str">
        <f>IFERROR(__xludf.DUMMYFUNCTION("""COMPUTED_VALUE"""),"INFANTIL 1")</f>
        <v>INFANTIL 1</v>
      </c>
      <c r="H26" s="95" t="str">
        <f>IFERROR(__xludf.DUMMYFUNCTION("""COMPUTED_VALUE"""),"CEMEI PROFª MARIA LUZIA RIO LIMA")</f>
        <v>CEMEI PROFª MARIA LUZIA RIO LIMA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96"/>
    </row>
    <row r="27" ht="15.75" customHeight="1">
      <c r="A27" s="78"/>
      <c r="B27" s="78" t="str">
        <f>IFERROR(__xludf.DUMMYFUNCTION("""COMPUTED_VALUE"""),"10/06/2026 16:57:35")</f>
        <v>10/06/2026 16:57:35</v>
      </c>
      <c r="C27" s="79" t="str">
        <f>IFERROR(__xludf.DUMMYFUNCTION("""COMPUTED_VALUE"""),"4")</f>
        <v>4</v>
      </c>
      <c r="D27" s="80" t="str">
        <f>IFERROR(__xludf.DUMMYFUNCTION("""COMPUTED_VALUE"""),"E. S. d. m")</f>
        <v>E. S. d. m</v>
      </c>
      <c r="E27" s="81" t="str">
        <f>IFERROR(__xludf.DUMMYFUNCTION("""COMPUTED_VALUE"""),"19/09/2024")</f>
        <v>19/09/2024</v>
      </c>
      <c r="F27" s="80" t="str">
        <f>IFERROR(__xludf.DUMMYFUNCTION("""COMPUTED_VALUE"""),"004******08")</f>
        <v>004******08</v>
      </c>
      <c r="G27" s="80" t="str">
        <f>IFERROR(__xludf.DUMMYFUNCTION("""COMPUTED_VALUE"""),"INFANTIL 1")</f>
        <v>INFANTIL 1</v>
      </c>
      <c r="H27" s="95" t="str">
        <f>IFERROR(__xludf.DUMMYFUNCTION("""COMPUTED_VALUE"""),"CEMEI PROFª MARIA LUZIA RIO LIMA")</f>
        <v>CEMEI PROFª MARIA LUZIA RIO LIMA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96"/>
    </row>
    <row r="28" ht="15.75" customHeight="1">
      <c r="A28" s="78"/>
      <c r="B28" s="78" t="str">
        <f>IFERROR(__xludf.DUMMYFUNCTION("""COMPUTED_VALUE"""),"10/06/2026 17:01:25")</f>
        <v>10/06/2026 17:01:25</v>
      </c>
      <c r="C28" s="79" t="str">
        <f>IFERROR(__xludf.DUMMYFUNCTION("""COMPUTED_VALUE"""),"5")</f>
        <v>5</v>
      </c>
      <c r="D28" s="80" t="str">
        <f>IFERROR(__xludf.DUMMYFUNCTION("""COMPUTED_VALUE"""),"D. S. d. M")</f>
        <v>D. S. d. M</v>
      </c>
      <c r="E28" s="81" t="str">
        <f>IFERROR(__xludf.DUMMYFUNCTION("""COMPUTED_VALUE"""),"19/09/2024")</f>
        <v>19/09/2024</v>
      </c>
      <c r="F28" s="80" t="str">
        <f>IFERROR(__xludf.DUMMYFUNCTION("""COMPUTED_VALUE"""),"004******92")</f>
        <v>004******92</v>
      </c>
      <c r="G28" s="80" t="str">
        <f>IFERROR(__xludf.DUMMYFUNCTION("""COMPUTED_VALUE"""),"INFANTIL 1")</f>
        <v>INFANTIL 1</v>
      </c>
      <c r="H28" s="95" t="str">
        <f>IFERROR(__xludf.DUMMYFUNCTION("""COMPUTED_VALUE"""),"CEMEI PROFª MARIA LUZIA RIO LIMA")</f>
        <v>CEMEI PROFª MARIA LUZIA RIO LIMA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96"/>
    </row>
    <row r="29" ht="15.75" customHeight="1">
      <c r="A29" s="78"/>
      <c r="B29" s="78" t="str">
        <f>IFERROR(__xludf.DUMMYFUNCTION("""COMPUTED_VALUE"""),"28/01/2026 08:08:23")</f>
        <v>28/01/2026 08:08:23</v>
      </c>
      <c r="C29" s="79" t="str">
        <f>IFERROR(__xludf.DUMMYFUNCTION("""COMPUTED_VALUE"""),"1")</f>
        <v>1</v>
      </c>
      <c r="D29" s="80" t="str">
        <f>IFERROR(__xludf.DUMMYFUNCTION("""COMPUTED_VALUE"""),"L. S. D. S. A")</f>
        <v>L. S. D. S. A</v>
      </c>
      <c r="E29" s="81" t="str">
        <f>IFERROR(__xludf.DUMMYFUNCTION("""COMPUTED_VALUE"""),"07/11/2024")</f>
        <v>07/11/2024</v>
      </c>
      <c r="F29" s="80" t="str">
        <f>IFERROR(__xludf.DUMMYFUNCTION("""COMPUTED_VALUE"""),"004******67")</f>
        <v>004******67</v>
      </c>
      <c r="G29" s="80" t="str">
        <f>IFERROR(__xludf.DUMMYFUNCTION("""COMPUTED_VALUE"""),"INFANTIL 1")</f>
        <v>INFANTIL 1</v>
      </c>
      <c r="H29" s="95" t="str">
        <f>IFERROR(__xludf.DUMMYFUNCTION("""COMPUTED_VALUE"""),"CEMEI PROFESSORA LINDOMAR DOMINGOS DA SILVA ANJOS")</f>
        <v>CEMEI PROFESSORA LINDOMAR DOMINGOS DA SILVA ANJOS</v>
      </c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96"/>
    </row>
    <row r="30" ht="15.75" customHeight="1">
      <c r="A30" s="78"/>
      <c r="B30" s="78" t="str">
        <f>IFERROR(__xludf.DUMMYFUNCTION("""COMPUTED_VALUE"""),"28/01/2026 08:08:37")</f>
        <v>28/01/2026 08:08:37</v>
      </c>
      <c r="C30" s="79" t="str">
        <f>IFERROR(__xludf.DUMMYFUNCTION("""COMPUTED_VALUE"""),"2")</f>
        <v>2</v>
      </c>
      <c r="D30" s="80" t="str">
        <f>IFERROR(__xludf.DUMMYFUNCTION("""COMPUTED_VALUE"""),"B. A. C. S")</f>
        <v>B. A. C. S</v>
      </c>
      <c r="E30" s="81" t="str">
        <f>IFERROR(__xludf.DUMMYFUNCTION("""COMPUTED_VALUE"""),"13/09/2024")</f>
        <v>13/09/2024</v>
      </c>
      <c r="F30" s="80" t="str">
        <f>IFERROR(__xludf.DUMMYFUNCTION("""COMPUTED_VALUE"""),"004******74")</f>
        <v>004******74</v>
      </c>
      <c r="G30" s="80" t="str">
        <f>IFERROR(__xludf.DUMMYFUNCTION("""COMPUTED_VALUE"""),"INFANTIL 1")</f>
        <v>INFANTIL 1</v>
      </c>
      <c r="H30" s="95" t="str">
        <f>IFERROR(__xludf.DUMMYFUNCTION("""COMPUTED_VALUE"""),"CEMEI PROFESSORA LINDOMAR DOMINGOS DA SILVA ANJOS")</f>
        <v>CEMEI PROFESSORA LINDOMAR DOMINGOS DA SILVA ANJOS</v>
      </c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96"/>
    </row>
    <row r="31" ht="15.75" customHeight="1">
      <c r="A31" s="78"/>
      <c r="B31" s="78" t="str">
        <f>IFERROR(__xludf.DUMMYFUNCTION("""COMPUTED_VALUE"""),"28/01/2026 08:11:25")</f>
        <v>28/01/2026 08:11:25</v>
      </c>
      <c r="C31" s="79" t="str">
        <f>IFERROR(__xludf.DUMMYFUNCTION("""COMPUTED_VALUE"""),"3")</f>
        <v>3</v>
      </c>
      <c r="D31" s="80" t="str">
        <f>IFERROR(__xludf.DUMMYFUNCTION("""COMPUTED_VALUE"""),"A. L. C. D. S. M")</f>
        <v>A. L. C. D. S. M</v>
      </c>
      <c r="E31" s="81" t="str">
        <f>IFERROR(__xludf.DUMMYFUNCTION("""COMPUTED_VALUE"""),"20/04/2024")</f>
        <v>20/04/2024</v>
      </c>
      <c r="F31" s="80" t="str">
        <f>IFERROR(__xludf.DUMMYFUNCTION("""COMPUTED_VALUE"""),"170******77")</f>
        <v>170******77</v>
      </c>
      <c r="G31" s="80" t="str">
        <f>IFERROR(__xludf.DUMMYFUNCTION("""COMPUTED_VALUE"""),"INFANTIL 1")</f>
        <v>INFANTIL 1</v>
      </c>
      <c r="H31" s="95" t="str">
        <f>IFERROR(__xludf.DUMMYFUNCTION("""COMPUTED_VALUE"""),"CEMEI PROFESSORA LINDOMAR DOMINGOS DA SILVA ANJOS")</f>
        <v>CEMEI PROFESSORA LINDOMAR DOMINGOS DA SILVA ANJOS</v>
      </c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96"/>
    </row>
    <row r="32" ht="15.75" customHeight="1">
      <c r="A32" s="78"/>
      <c r="B32" s="78" t="str">
        <f>IFERROR(__xludf.DUMMYFUNCTION("""COMPUTED_VALUE"""),"28/01/2026 08:13:45")</f>
        <v>28/01/2026 08:13:45</v>
      </c>
      <c r="C32" s="79" t="str">
        <f>IFERROR(__xludf.DUMMYFUNCTION("""COMPUTED_VALUE"""),"4")</f>
        <v>4</v>
      </c>
      <c r="D32" s="80" t="str">
        <f>IFERROR(__xludf.DUMMYFUNCTION("""COMPUTED_VALUE"""),"G. L. C. D. S")</f>
        <v>G. L. C. D. S</v>
      </c>
      <c r="E32" s="81" t="str">
        <f>IFERROR(__xludf.DUMMYFUNCTION("""COMPUTED_VALUE"""),"18/07/2024")</f>
        <v>18/07/2024</v>
      </c>
      <c r="F32" s="80" t="str">
        <f>IFERROR(__xludf.DUMMYFUNCTION("""COMPUTED_VALUE"""),"003******31")</f>
        <v>003******31</v>
      </c>
      <c r="G32" s="80" t="str">
        <f>IFERROR(__xludf.DUMMYFUNCTION("""COMPUTED_VALUE"""),"INFANTIL 1")</f>
        <v>INFANTIL 1</v>
      </c>
      <c r="H32" s="95" t="str">
        <f>IFERROR(__xludf.DUMMYFUNCTION("""COMPUTED_VALUE"""),"CEMEI PROFESSORA LINDOMAR DOMINGOS DA SILVA ANJOS")</f>
        <v>CEMEI PROFESSORA LINDOMAR DOMINGOS DA SILVA ANJOS</v>
      </c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96"/>
    </row>
    <row r="33" ht="15.75" customHeight="1">
      <c r="A33" s="78"/>
      <c r="B33" s="78" t="str">
        <f>IFERROR(__xludf.DUMMYFUNCTION("""COMPUTED_VALUE"""),"28/01/2026 08:25:22")</f>
        <v>28/01/2026 08:25:22</v>
      </c>
      <c r="C33" s="79" t="str">
        <f>IFERROR(__xludf.DUMMYFUNCTION("""COMPUTED_VALUE"""),"5")</f>
        <v>5</v>
      </c>
      <c r="D33" s="80" t="str">
        <f>IFERROR(__xludf.DUMMYFUNCTION("""COMPUTED_VALUE"""),"H. M. B. D. S")</f>
        <v>H. M. B. D. S</v>
      </c>
      <c r="E33" s="82" t="str">
        <f>IFERROR(__xludf.DUMMYFUNCTION("""COMPUTED_VALUE"""),"02/11/2024")</f>
        <v>02/11/2024</v>
      </c>
      <c r="F33" s="80" t="str">
        <f>IFERROR(__xludf.DUMMYFUNCTION("""COMPUTED_VALUE"""),"004******61")</f>
        <v>004******61</v>
      </c>
      <c r="G33" s="80" t="str">
        <f>IFERROR(__xludf.DUMMYFUNCTION("""COMPUTED_VALUE"""),"INFANTIL 1")</f>
        <v>INFANTIL 1</v>
      </c>
      <c r="H33" s="95" t="str">
        <f>IFERROR(__xludf.DUMMYFUNCTION("""COMPUTED_VALUE"""),"CEMEI PROFESSORA LINDOMAR DOMINGOS DA SILVA ANJOS")</f>
        <v>CEMEI PROFESSORA LINDOMAR DOMINGOS DA SILVA ANJOS</v>
      </c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96"/>
    </row>
    <row r="34" ht="15.75" customHeight="1">
      <c r="A34" s="78"/>
      <c r="B34" s="78" t="str">
        <f>IFERROR(__xludf.DUMMYFUNCTION("""COMPUTED_VALUE"""),"28/01/2026 09:18:21")</f>
        <v>28/01/2026 09:18:21</v>
      </c>
      <c r="C34" s="79" t="str">
        <f>IFERROR(__xludf.DUMMYFUNCTION("""COMPUTED_VALUE"""),"6")</f>
        <v>6</v>
      </c>
      <c r="D34" s="80" t="str">
        <f>IFERROR(__xludf.DUMMYFUNCTION("""COMPUTED_VALUE"""),"H. F. M. D. S")</f>
        <v>H. F. M. D. S</v>
      </c>
      <c r="E34" s="81" t="str">
        <f>IFERROR(__xludf.DUMMYFUNCTION("""COMPUTED_VALUE"""),"15/01/2025")</f>
        <v>15/01/2025</v>
      </c>
      <c r="F34" s="80" t="str">
        <f>IFERROR(__xludf.DUMMYFUNCTION("""COMPUTED_VALUE"""),"005******11")</f>
        <v>005******11</v>
      </c>
      <c r="G34" s="80" t="str">
        <f>IFERROR(__xludf.DUMMYFUNCTION("""COMPUTED_VALUE"""),"INFANTIL 1")</f>
        <v>INFANTIL 1</v>
      </c>
      <c r="H34" s="95" t="str">
        <f>IFERROR(__xludf.DUMMYFUNCTION("""COMPUTED_VALUE"""),"CEMEI PROFESSORA LINDOMAR DOMINGOS DA SILVA ANJOS")</f>
        <v>CEMEI PROFESSORA LINDOMAR DOMINGOS DA SILVA ANJOS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96"/>
    </row>
    <row r="35" ht="15.75" customHeight="1">
      <c r="A35" s="78"/>
      <c r="B35" s="78" t="str">
        <f>IFERROR(__xludf.DUMMYFUNCTION("""COMPUTED_VALUE"""),"28/01/2026 09:33:11")</f>
        <v>28/01/2026 09:33:11</v>
      </c>
      <c r="C35" s="79" t="str">
        <f>IFERROR(__xludf.DUMMYFUNCTION("""COMPUTED_VALUE"""),"7")</f>
        <v>7</v>
      </c>
      <c r="D35" s="80" t="str">
        <f>IFERROR(__xludf.DUMMYFUNCTION("""COMPUTED_VALUE"""),"J. E. D. S")</f>
        <v>J. E. D. S</v>
      </c>
      <c r="E35" s="81" t="str">
        <f>IFERROR(__xludf.DUMMYFUNCTION("""COMPUTED_VALUE"""),"23/06/2024")</f>
        <v>23/06/2024</v>
      </c>
      <c r="F35" s="80" t="str">
        <f>IFERROR(__xludf.DUMMYFUNCTION("""COMPUTED_VALUE"""),"004******68")</f>
        <v>004******68</v>
      </c>
      <c r="G35" s="80" t="str">
        <f>IFERROR(__xludf.DUMMYFUNCTION("""COMPUTED_VALUE"""),"INFANTIL 1")</f>
        <v>INFANTIL 1</v>
      </c>
      <c r="H35" s="95" t="str">
        <f>IFERROR(__xludf.DUMMYFUNCTION("""COMPUTED_VALUE"""),"CEMEI PROFESSORA LINDOMAR DOMINGOS DA SILVA ANJOS")</f>
        <v>CEMEI PROFESSORA LINDOMAR DOMINGOS DA SILVA ANJOS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96"/>
    </row>
    <row r="36" ht="15.75" customHeight="1">
      <c r="A36" s="78"/>
      <c r="B36" s="78" t="str">
        <f>IFERROR(__xludf.DUMMYFUNCTION("""COMPUTED_VALUE"""),"28/01/2026 09:38:34")</f>
        <v>28/01/2026 09:38:34</v>
      </c>
      <c r="C36" s="79" t="str">
        <f>IFERROR(__xludf.DUMMYFUNCTION("""COMPUTED_VALUE"""),"8")</f>
        <v>8</v>
      </c>
      <c r="D36" s="80" t="str">
        <f>IFERROR(__xludf.DUMMYFUNCTION("""COMPUTED_VALUE"""),"A. G. F. S")</f>
        <v>A. G. F. S</v>
      </c>
      <c r="E36" s="82" t="str">
        <f>IFERROR(__xludf.DUMMYFUNCTION("""COMPUTED_VALUE"""),"31/05/2024")</f>
        <v>31/05/2024</v>
      </c>
      <c r="F36" s="80" t="str">
        <f>IFERROR(__xludf.DUMMYFUNCTION("""COMPUTED_VALUE"""),"003******24")</f>
        <v>003******24</v>
      </c>
      <c r="G36" s="80" t="str">
        <f>IFERROR(__xludf.DUMMYFUNCTION("""COMPUTED_VALUE"""),"INFANTIL 1")</f>
        <v>INFANTIL 1</v>
      </c>
      <c r="H36" s="95" t="str">
        <f>IFERROR(__xludf.DUMMYFUNCTION("""COMPUTED_VALUE"""),"CEMEI PROFESSORA LINDOMAR DOMINGOS DA SILVA ANJOS")</f>
        <v>CEMEI PROFESSORA LINDOMAR DOMINGOS DA SILVA ANJOS</v>
      </c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96"/>
    </row>
    <row r="37" ht="15.75" customHeight="1">
      <c r="A37" s="78"/>
      <c r="B37" s="78" t="str">
        <f>IFERROR(__xludf.DUMMYFUNCTION("""COMPUTED_VALUE"""),"28/01/2026 10:45:36")</f>
        <v>28/01/2026 10:45:36</v>
      </c>
      <c r="C37" s="79" t="str">
        <f>IFERROR(__xludf.DUMMYFUNCTION("""COMPUTED_VALUE"""),"9")</f>
        <v>9</v>
      </c>
      <c r="D37" s="80" t="str">
        <f>IFERROR(__xludf.DUMMYFUNCTION("""COMPUTED_VALUE"""),"T. M. D. S")</f>
        <v>T. M. D. S</v>
      </c>
      <c r="E37" s="82" t="str">
        <f>IFERROR(__xludf.DUMMYFUNCTION("""COMPUTED_VALUE"""),"25/11/2024")</f>
        <v>25/11/2024</v>
      </c>
      <c r="F37" s="80" t="str">
        <f>IFERROR(__xludf.DUMMYFUNCTION("""COMPUTED_VALUE"""),"004******16")</f>
        <v>004******16</v>
      </c>
      <c r="G37" s="80" t="str">
        <f>IFERROR(__xludf.DUMMYFUNCTION("""COMPUTED_VALUE"""),"INFANTIL 1")</f>
        <v>INFANTIL 1</v>
      </c>
      <c r="H37" s="95" t="str">
        <f>IFERROR(__xludf.DUMMYFUNCTION("""COMPUTED_VALUE"""),"CEMEI PROFESSORA LINDOMAR DOMINGOS DA SILVA ANJOS")</f>
        <v>CEMEI PROFESSORA LINDOMAR DOMINGOS DA SILVA ANJOS</v>
      </c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96"/>
    </row>
    <row r="38" ht="15.75" customHeight="1">
      <c r="A38" s="78"/>
      <c r="B38" s="78" t="str">
        <f>IFERROR(__xludf.DUMMYFUNCTION("""COMPUTED_VALUE"""),"28/01/2026 12:49:55")</f>
        <v>28/01/2026 12:49:55</v>
      </c>
      <c r="C38" s="79" t="str">
        <f>IFERROR(__xludf.DUMMYFUNCTION("""COMPUTED_VALUE"""),"10")</f>
        <v>10</v>
      </c>
      <c r="D38" s="80" t="str">
        <f>IFERROR(__xludf.DUMMYFUNCTION("""COMPUTED_VALUE"""),"K. C. F. S. D. S")</f>
        <v>K. C. F. S. D. S</v>
      </c>
      <c r="E38" s="81" t="str">
        <f>IFERROR(__xludf.DUMMYFUNCTION("""COMPUTED_VALUE"""),"10/09/2024")</f>
        <v>10/09/2024</v>
      </c>
      <c r="F38" s="80" t="str">
        <f>IFERROR(__xludf.DUMMYFUNCTION("""COMPUTED_VALUE"""),"004******30")</f>
        <v>004******30</v>
      </c>
      <c r="G38" s="80" t="str">
        <f>IFERROR(__xludf.DUMMYFUNCTION("""COMPUTED_VALUE"""),"INFANTIL 1")</f>
        <v>INFANTIL 1</v>
      </c>
      <c r="H38" s="95" t="str">
        <f>IFERROR(__xludf.DUMMYFUNCTION("""COMPUTED_VALUE"""),"CEMEI PROFESSORA LINDOMAR DOMINGOS DA SILVA ANJOS")</f>
        <v>CEMEI PROFESSORA LINDOMAR DOMINGOS DA SILVA ANJOS</v>
      </c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96"/>
    </row>
    <row r="39" ht="15.75" customHeight="1">
      <c r="A39" s="78"/>
      <c r="B39" s="78" t="str">
        <f>IFERROR(__xludf.DUMMYFUNCTION("""COMPUTED_VALUE"""),"28/01/2026 20:34:21")</f>
        <v>28/01/2026 20:34:21</v>
      </c>
      <c r="C39" s="79" t="str">
        <f>IFERROR(__xludf.DUMMYFUNCTION("""COMPUTED_VALUE"""),"11")</f>
        <v>11</v>
      </c>
      <c r="D39" s="80" t="str">
        <f>IFERROR(__xludf.DUMMYFUNCTION("""COMPUTED_VALUE"""),"L. H. P. D. S")</f>
        <v>L. H. P. D. S</v>
      </c>
      <c r="E39" s="81" t="str">
        <f>IFERROR(__xludf.DUMMYFUNCTION("""COMPUTED_VALUE"""),"01/04/2024")</f>
        <v>01/04/2024</v>
      </c>
      <c r="F39" s="80" t="str">
        <f>IFERROR(__xludf.DUMMYFUNCTION("""COMPUTED_VALUE"""),"002******69")</f>
        <v>002******69</v>
      </c>
      <c r="G39" s="80" t="str">
        <f>IFERROR(__xludf.DUMMYFUNCTION("""COMPUTED_VALUE"""),"INFANTIL 1")</f>
        <v>INFANTIL 1</v>
      </c>
      <c r="H39" s="95" t="str">
        <f>IFERROR(__xludf.DUMMYFUNCTION("""COMPUTED_VALUE"""),"CEMEI PROFESSORA LINDOMAR DOMINGOS DA SILVA ANJOS")</f>
        <v>CEMEI PROFESSORA LINDOMAR DOMINGOS DA SILVA ANJOS</v>
      </c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96"/>
    </row>
    <row r="40" ht="15.75" customHeight="1">
      <c r="A40" s="78"/>
      <c r="B40" s="78" t="str">
        <f>IFERROR(__xludf.DUMMYFUNCTION("""COMPUTED_VALUE"""),"06/02/2026 14:12:06")</f>
        <v>06/02/2026 14:12:06</v>
      </c>
      <c r="C40" s="79" t="str">
        <f>IFERROR(__xludf.DUMMYFUNCTION("""COMPUTED_VALUE"""),"12")</f>
        <v>12</v>
      </c>
      <c r="D40" s="80" t="str">
        <f>IFERROR(__xludf.DUMMYFUNCTION("""COMPUTED_VALUE"""),"V. M. D. S. F")</f>
        <v>V. M. D. S. F</v>
      </c>
      <c r="E40" s="81" t="str">
        <f>IFERROR(__xludf.DUMMYFUNCTION("""COMPUTED_VALUE"""),"16/04/2024")</f>
        <v>16/04/2024</v>
      </c>
      <c r="F40" s="80" t="str">
        <f>IFERROR(__xludf.DUMMYFUNCTION("""COMPUTED_VALUE"""),"003******09")</f>
        <v>003******09</v>
      </c>
      <c r="G40" s="80" t="str">
        <f>IFERROR(__xludf.DUMMYFUNCTION("""COMPUTED_VALUE"""),"INFANTIL 1")</f>
        <v>INFANTIL 1</v>
      </c>
      <c r="H40" s="95" t="str">
        <f>IFERROR(__xludf.DUMMYFUNCTION("""COMPUTED_VALUE"""),"CEMEI PROFESSORA LINDOMAR DOMINGOS DA SILVA ANJOS")</f>
        <v>CEMEI PROFESSORA LINDOMAR DOMINGOS DA SILVA ANJOS</v>
      </c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96"/>
    </row>
    <row r="41" ht="15.75" customHeight="1">
      <c r="A41" s="78"/>
      <c r="B41" s="78" t="str">
        <f>IFERROR(__xludf.DUMMYFUNCTION("""COMPUTED_VALUE"""),"11/02/2026 09:26:12")</f>
        <v>11/02/2026 09:26:12</v>
      </c>
      <c r="C41" s="79" t="str">
        <f>IFERROR(__xludf.DUMMYFUNCTION("""COMPUTED_VALUE"""),"13")</f>
        <v>13</v>
      </c>
      <c r="D41" s="80" t="str">
        <f>IFERROR(__xludf.DUMMYFUNCTION("""COMPUTED_VALUE"""),"K. I. D. S. S")</f>
        <v>K. I. D. S. S</v>
      </c>
      <c r="E41" s="81" t="str">
        <f>IFERROR(__xludf.DUMMYFUNCTION("""COMPUTED_VALUE"""),"13/09/2024")</f>
        <v>13/09/2024</v>
      </c>
      <c r="F41" s="80" t="str">
        <f>IFERROR(__xludf.DUMMYFUNCTION("""COMPUTED_VALUE"""),"004******62")</f>
        <v>004******62</v>
      </c>
      <c r="G41" s="80" t="str">
        <f>IFERROR(__xludf.DUMMYFUNCTION("""COMPUTED_VALUE"""),"INFANTIL 1")</f>
        <v>INFANTIL 1</v>
      </c>
      <c r="H41" s="95" t="str">
        <f>IFERROR(__xludf.DUMMYFUNCTION("""COMPUTED_VALUE"""),"CEMEI PROFESSORA LINDOMAR DOMINGOS DA SILVA ANJOS")</f>
        <v>CEMEI PROFESSORA LINDOMAR DOMINGOS DA SILVA ANJOS</v>
      </c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96"/>
    </row>
    <row r="42" ht="15.75" customHeight="1">
      <c r="A42" s="78"/>
      <c r="B42" s="78" t="str">
        <f>IFERROR(__xludf.DUMMYFUNCTION("""COMPUTED_VALUE"""),"26/02/2026 23:54:06")</f>
        <v>26/02/2026 23:54:06</v>
      </c>
      <c r="C42" s="79" t="str">
        <f>IFERROR(__xludf.DUMMYFUNCTION("""COMPUTED_VALUE"""),"14")</f>
        <v>14</v>
      </c>
      <c r="D42" s="80" t="str">
        <f>IFERROR(__xludf.DUMMYFUNCTION("""COMPUTED_VALUE"""),"A. M. D. S. R")</f>
        <v>A. M. D. S. R</v>
      </c>
      <c r="E42" s="81" t="str">
        <f>IFERROR(__xludf.DUMMYFUNCTION("""COMPUTED_VALUE"""),"21/01/2025")</f>
        <v>21/01/2025</v>
      </c>
      <c r="F42" s="80" t="str">
        <f>IFERROR(__xludf.DUMMYFUNCTION("""COMPUTED_VALUE"""),"005******50")</f>
        <v>005******50</v>
      </c>
      <c r="G42" s="80" t="str">
        <f>IFERROR(__xludf.DUMMYFUNCTION("""COMPUTED_VALUE"""),"INFANTIL 1")</f>
        <v>INFANTIL 1</v>
      </c>
      <c r="H42" s="95" t="str">
        <f>IFERROR(__xludf.DUMMYFUNCTION("""COMPUTED_VALUE"""),"CEMEI PROFESSORA LINDOMAR DOMINGOS DA SILVA ANJOS")</f>
        <v>CEMEI PROFESSORA LINDOMAR DOMINGOS DA SILVA ANJOS</v>
      </c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96"/>
    </row>
    <row r="43" ht="15.75" customHeight="1">
      <c r="A43" s="78"/>
      <c r="B43" s="78" t="str">
        <f>IFERROR(__xludf.DUMMYFUNCTION("""COMPUTED_VALUE"""),"03/03/2026 13:59:55")</f>
        <v>03/03/2026 13:59:55</v>
      </c>
      <c r="C43" s="79" t="str">
        <f>IFERROR(__xludf.DUMMYFUNCTION("""COMPUTED_VALUE"""),"15")</f>
        <v>15</v>
      </c>
      <c r="D43" s="80" t="str">
        <f>IFERROR(__xludf.DUMMYFUNCTION("""COMPUTED_VALUE"""),"G. A. D. D. M")</f>
        <v>G. A. D. D. M</v>
      </c>
      <c r="E43" s="82" t="str">
        <f>IFERROR(__xludf.DUMMYFUNCTION("""COMPUTED_VALUE"""),"05/04/2025")</f>
        <v>05/04/2025</v>
      </c>
      <c r="F43" s="80" t="str">
        <f>IFERROR(__xludf.DUMMYFUNCTION("""COMPUTED_VALUE"""),"005******94")</f>
        <v>005******94</v>
      </c>
      <c r="G43" s="80" t="str">
        <f>IFERROR(__xludf.DUMMYFUNCTION("""COMPUTED_VALUE"""),"INFANTIL 1")</f>
        <v>INFANTIL 1</v>
      </c>
      <c r="H43" s="95" t="str">
        <f>IFERROR(__xludf.DUMMYFUNCTION("""COMPUTED_VALUE"""),"CEMEI PROFESSORA LINDOMAR DOMINGOS DA SILVA ANJOS")</f>
        <v>CEMEI PROFESSORA LINDOMAR DOMINGOS DA SILVA ANJOS</v>
      </c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96"/>
    </row>
    <row r="44" ht="15.75" customHeight="1">
      <c r="A44" s="78"/>
      <c r="B44" s="78" t="str">
        <f>IFERROR(__xludf.DUMMYFUNCTION("""COMPUTED_VALUE"""),"04/03/2026 10:32:01")</f>
        <v>04/03/2026 10:32:01</v>
      </c>
      <c r="C44" s="79" t="str">
        <f>IFERROR(__xludf.DUMMYFUNCTION("""COMPUTED_VALUE"""),"16")</f>
        <v>16</v>
      </c>
      <c r="D44" s="80" t="str">
        <f>IFERROR(__xludf.DUMMYFUNCTION("""COMPUTED_VALUE"""),"N. D. M. D. S")</f>
        <v>N. D. M. D. S</v>
      </c>
      <c r="E44" s="81" t="str">
        <f>IFERROR(__xludf.DUMMYFUNCTION("""COMPUTED_VALUE"""),"21/05/2025")</f>
        <v>21/05/2025</v>
      </c>
      <c r="F44" s="80" t="str">
        <f>IFERROR(__xludf.DUMMYFUNCTION("""COMPUTED_VALUE"""),"006******45")</f>
        <v>006******45</v>
      </c>
      <c r="G44" s="80" t="str">
        <f>IFERROR(__xludf.DUMMYFUNCTION("""COMPUTED_VALUE"""),"INFANTIL 1")</f>
        <v>INFANTIL 1</v>
      </c>
      <c r="H44" s="95" t="str">
        <f>IFERROR(__xludf.DUMMYFUNCTION("""COMPUTED_VALUE"""),"CEMEI PROFESSORA LINDOMAR DOMINGOS DA SILVA ANJOS")</f>
        <v>CEMEI PROFESSORA LINDOMAR DOMINGOS DA SILVA ANJOS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96"/>
    </row>
    <row r="45" ht="15.75" customHeight="1">
      <c r="A45" s="78"/>
      <c r="B45" s="78" t="str">
        <f>IFERROR(__xludf.DUMMYFUNCTION("""COMPUTED_VALUE"""),"23/03/2026 12:35:29")</f>
        <v>23/03/2026 12:35:29</v>
      </c>
      <c r="C45" s="79" t="str">
        <f>IFERROR(__xludf.DUMMYFUNCTION("""COMPUTED_VALUE"""),"17")</f>
        <v>17</v>
      </c>
      <c r="D45" s="80" t="str">
        <f>IFERROR(__xludf.DUMMYFUNCTION("""COMPUTED_VALUE"""),"R. G. D. R. P")</f>
        <v>R. G. D. R. P</v>
      </c>
      <c r="E45" s="81" t="str">
        <f>IFERROR(__xludf.DUMMYFUNCTION("""COMPUTED_VALUE"""),"07/11/2025")</f>
        <v>07/11/2025</v>
      </c>
      <c r="F45" s="80" t="str">
        <f>IFERROR(__xludf.DUMMYFUNCTION("""COMPUTED_VALUE"""),"022******15")</f>
        <v>022******15</v>
      </c>
      <c r="G45" s="80" t="str">
        <f>IFERROR(__xludf.DUMMYFUNCTION("""COMPUTED_VALUE"""),"INFANTIL 1")</f>
        <v>INFANTIL 1</v>
      </c>
      <c r="H45" s="95" t="str">
        <f>IFERROR(__xludf.DUMMYFUNCTION("""COMPUTED_VALUE"""),"CEMEI PROFESSORA LINDOMAR DOMINGOS DA SILVA ANJOS")</f>
        <v>CEMEI PROFESSORA LINDOMAR DOMINGOS DA SILVA ANJOS</v>
      </c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96"/>
    </row>
    <row r="46" ht="15.75" customHeight="1">
      <c r="A46" s="78"/>
      <c r="B46" s="78" t="str">
        <f>IFERROR(__xludf.DUMMYFUNCTION("""COMPUTED_VALUE"""),"30/03/2026 09:26:51")</f>
        <v>30/03/2026 09:26:51</v>
      </c>
      <c r="C46" s="79" t="str">
        <f>IFERROR(__xludf.DUMMYFUNCTION("""COMPUTED_VALUE"""),"18")</f>
        <v>18</v>
      </c>
      <c r="D46" s="80" t="str">
        <f>IFERROR(__xludf.DUMMYFUNCTION("""COMPUTED_VALUE"""),"F. C. M")</f>
        <v>F. C. M</v>
      </c>
      <c r="E46" s="82" t="str">
        <f>IFERROR(__xludf.DUMMYFUNCTION("""COMPUTED_VALUE"""),"26/11/2025")</f>
        <v>26/11/2025</v>
      </c>
      <c r="F46" s="80" t="str">
        <f>IFERROR(__xludf.DUMMYFUNCTION("""COMPUTED_VALUE"""),"027******72")</f>
        <v>027******72</v>
      </c>
      <c r="G46" s="80" t="str">
        <f>IFERROR(__xludf.DUMMYFUNCTION("""COMPUTED_VALUE"""),"INFANTIL 1")</f>
        <v>INFANTIL 1</v>
      </c>
      <c r="H46" s="95" t="str">
        <f>IFERROR(__xludf.DUMMYFUNCTION("""COMPUTED_VALUE"""),"CEMEI PROFESSORA LINDOMAR DOMINGOS DA SILVA ANJOS")</f>
        <v>CEMEI PROFESSORA LINDOMAR DOMINGOS DA SILVA ANJOS</v>
      </c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96"/>
    </row>
    <row r="47" ht="15.75" customHeight="1">
      <c r="A47" s="78"/>
      <c r="B47" s="78" t="str">
        <f>IFERROR(__xludf.DUMMYFUNCTION("""COMPUTED_VALUE"""),"01/04/2026 11:07:18")</f>
        <v>01/04/2026 11:07:18</v>
      </c>
      <c r="C47" s="79" t="str">
        <f>IFERROR(__xludf.DUMMYFUNCTION("""COMPUTED_VALUE"""),"19")</f>
        <v>19</v>
      </c>
      <c r="D47" s="80" t="str">
        <f>IFERROR(__xludf.DUMMYFUNCTION("""COMPUTED_VALUE"""),"M. I. S. S")</f>
        <v>M. I. S. S</v>
      </c>
      <c r="E47" s="81" t="str">
        <f>IFERROR(__xludf.DUMMYFUNCTION("""COMPUTED_VALUE"""),"03/09/2024")</f>
        <v>03/09/2024</v>
      </c>
      <c r="F47" s="80" t="str">
        <f>IFERROR(__xludf.DUMMYFUNCTION("""COMPUTED_VALUE"""),"054******71")</f>
        <v>054******71</v>
      </c>
      <c r="G47" s="80" t="str">
        <f>IFERROR(__xludf.DUMMYFUNCTION("""COMPUTED_VALUE"""),"INFANTIL 1")</f>
        <v>INFANTIL 1</v>
      </c>
      <c r="H47" s="95" t="str">
        <f>IFERROR(__xludf.DUMMYFUNCTION("""COMPUTED_VALUE"""),"CEMEI PROFESSORA LINDOMAR DOMINGOS DA SILVA ANJOS")</f>
        <v>CEMEI PROFESSORA LINDOMAR DOMINGOS DA SILVA ANJOS</v>
      </c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96"/>
    </row>
    <row r="48" ht="15.75" customHeight="1">
      <c r="A48" s="78"/>
      <c r="B48" s="78" t="str">
        <f>IFERROR(__xludf.DUMMYFUNCTION("""COMPUTED_VALUE"""),"08/04/2026 16:32:34")</f>
        <v>08/04/2026 16:32:34</v>
      </c>
      <c r="C48" s="79" t="str">
        <f>IFERROR(__xludf.DUMMYFUNCTION("""COMPUTED_VALUE"""),"20")</f>
        <v>20</v>
      </c>
      <c r="D48" s="80" t="str">
        <f>IFERROR(__xludf.DUMMYFUNCTION("""COMPUTED_VALUE"""),"M. B. M. A")</f>
        <v>M. B. M. A</v>
      </c>
      <c r="E48" s="82" t="str">
        <f>IFERROR(__xludf.DUMMYFUNCTION("""COMPUTED_VALUE"""),"01/04/2025")</f>
        <v>01/04/2025</v>
      </c>
      <c r="F48" s="80" t="str">
        <f>IFERROR(__xludf.DUMMYFUNCTION("""COMPUTED_VALUE"""),"005******85")</f>
        <v>005******85</v>
      </c>
      <c r="G48" s="80" t="str">
        <f>IFERROR(__xludf.DUMMYFUNCTION("""COMPUTED_VALUE"""),"INFANTIL 1")</f>
        <v>INFANTIL 1</v>
      </c>
      <c r="H48" s="95" t="str">
        <f>IFERROR(__xludf.DUMMYFUNCTION("""COMPUTED_VALUE"""),"CEMEI PROFESSORA LINDOMAR DOMINGOS DA SILVA ANJOS")</f>
        <v>CEMEI PROFESSORA LINDOMAR DOMINGOS DA SILVA ANJOS</v>
      </c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96"/>
    </row>
    <row r="49" ht="15.75" customHeight="1">
      <c r="A49" s="78"/>
      <c r="B49" s="78" t="str">
        <f>IFERROR(__xludf.DUMMYFUNCTION("""COMPUTED_VALUE"""),"15/04/2026 13:07:53")</f>
        <v>15/04/2026 13:07:53</v>
      </c>
      <c r="C49" s="79" t="str">
        <f>IFERROR(__xludf.DUMMYFUNCTION("""COMPUTED_VALUE"""),"21")</f>
        <v>21</v>
      </c>
      <c r="D49" s="80" t="str">
        <f>IFERROR(__xludf.DUMMYFUNCTION("""COMPUTED_VALUE"""),"H. R. M")</f>
        <v>H. R. M</v>
      </c>
      <c r="E49" s="82" t="str">
        <f>IFERROR(__xludf.DUMMYFUNCTION("""COMPUTED_VALUE"""),"30/08/2025")</f>
        <v>30/08/2025</v>
      </c>
      <c r="F49" s="80" t="str">
        <f>IFERROR(__xludf.DUMMYFUNCTION("""COMPUTED_VALUE"""),"007******44")</f>
        <v>007******44</v>
      </c>
      <c r="G49" s="80" t="str">
        <f>IFERROR(__xludf.DUMMYFUNCTION("""COMPUTED_VALUE"""),"INFANTIL 1")</f>
        <v>INFANTIL 1</v>
      </c>
      <c r="H49" s="95" t="str">
        <f>IFERROR(__xludf.DUMMYFUNCTION("""COMPUTED_VALUE"""),"CEMEI PROFESSORA LINDOMAR DOMINGOS DA SILVA ANJOS")</f>
        <v>CEMEI PROFESSORA LINDOMAR DOMINGOS DA SILVA ANJOS</v>
      </c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96"/>
    </row>
    <row r="50" ht="15.75" customHeight="1">
      <c r="A50" s="78"/>
      <c r="B50" s="78" t="str">
        <f>IFERROR(__xludf.DUMMYFUNCTION("""COMPUTED_VALUE"""),"04/05/2026 10:11:49")</f>
        <v>04/05/2026 10:11:49</v>
      </c>
      <c r="C50" s="79" t="str">
        <f>IFERROR(__xludf.DUMMYFUNCTION("""COMPUTED_VALUE"""),"22")</f>
        <v>22</v>
      </c>
      <c r="D50" s="80" t="str">
        <f>IFERROR(__xludf.DUMMYFUNCTION("""COMPUTED_VALUE"""),"M. A. D. A. E")</f>
        <v>M. A. D. A. E</v>
      </c>
      <c r="E50" s="81" t="str">
        <f>IFERROR(__xludf.DUMMYFUNCTION("""COMPUTED_VALUE"""),"11/03/2025")</f>
        <v>11/03/2025</v>
      </c>
      <c r="F50" s="80" t="str">
        <f>IFERROR(__xludf.DUMMYFUNCTION("""COMPUTED_VALUE"""),"005******59")</f>
        <v>005******59</v>
      </c>
      <c r="G50" s="80" t="str">
        <f>IFERROR(__xludf.DUMMYFUNCTION("""COMPUTED_VALUE"""),"INFANTIL 1")</f>
        <v>INFANTIL 1</v>
      </c>
      <c r="H50" s="95" t="str">
        <f>IFERROR(__xludf.DUMMYFUNCTION("""COMPUTED_VALUE"""),"CEMEI PROFESSORA LINDOMAR DOMINGOS DA SILVA ANJOS")</f>
        <v>CEMEI PROFESSORA LINDOMAR DOMINGOS DA SILVA ANJOS</v>
      </c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96"/>
    </row>
    <row r="51" ht="15.75" customHeight="1">
      <c r="A51" s="78"/>
      <c r="B51" s="78" t="str">
        <f>IFERROR(__xludf.DUMMYFUNCTION("""COMPUTED_VALUE"""),"15/05/2026 11:54:29")</f>
        <v>15/05/2026 11:54:29</v>
      </c>
      <c r="C51" s="79" t="str">
        <f>IFERROR(__xludf.DUMMYFUNCTION("""COMPUTED_VALUE"""),"23")</f>
        <v>23</v>
      </c>
      <c r="D51" s="80" t="str">
        <f>IFERROR(__xludf.DUMMYFUNCTION("""COMPUTED_VALUE"""),"A. M. S. D. S")</f>
        <v>A. M. S. D. S</v>
      </c>
      <c r="E51" s="81" t="str">
        <f>IFERROR(__xludf.DUMMYFUNCTION("""COMPUTED_VALUE"""),"10/09/2024")</f>
        <v>10/09/2024</v>
      </c>
      <c r="F51" s="80" t="str">
        <f>IFERROR(__xludf.DUMMYFUNCTION("""COMPUTED_VALUE"""),"004******58")</f>
        <v>004******58</v>
      </c>
      <c r="G51" s="80" t="str">
        <f>IFERROR(__xludf.DUMMYFUNCTION("""COMPUTED_VALUE"""),"INFANTIL 1")</f>
        <v>INFANTIL 1</v>
      </c>
      <c r="H51" s="95" t="str">
        <f>IFERROR(__xludf.DUMMYFUNCTION("""COMPUTED_VALUE"""),"CEMEI PROFESSORA LINDOMAR DOMINGOS DA SILVA ANJOS")</f>
        <v>CEMEI PROFESSORA LINDOMAR DOMINGOS DA SILVA ANJOS</v>
      </c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96"/>
    </row>
    <row r="52" ht="15.75" customHeight="1">
      <c r="A52" s="78"/>
      <c r="B52" s="78" t="str">
        <f>IFERROR(__xludf.DUMMYFUNCTION("""COMPUTED_VALUE"""),"15/05/2026 12:03:27")</f>
        <v>15/05/2026 12:03:27</v>
      </c>
      <c r="C52" s="79" t="str">
        <f>IFERROR(__xludf.DUMMYFUNCTION("""COMPUTED_VALUE"""),"24")</f>
        <v>24</v>
      </c>
      <c r="D52" s="80" t="str">
        <f>IFERROR(__xludf.DUMMYFUNCTION("""COMPUTED_VALUE"""),"A. K. S. D. S")</f>
        <v>A. K. S. D. S</v>
      </c>
      <c r="E52" s="82" t="str">
        <f>IFERROR(__xludf.DUMMYFUNCTION("""COMPUTED_VALUE"""),"10/09/2024")</f>
        <v>10/09/2024</v>
      </c>
      <c r="F52" s="80" t="str">
        <f>IFERROR(__xludf.DUMMYFUNCTION("""COMPUTED_VALUE"""),"004******02")</f>
        <v>004******02</v>
      </c>
      <c r="G52" s="80" t="str">
        <f>IFERROR(__xludf.DUMMYFUNCTION("""COMPUTED_VALUE"""),"INFANTIL 1")</f>
        <v>INFANTIL 1</v>
      </c>
      <c r="H52" s="95" t="str">
        <f>IFERROR(__xludf.DUMMYFUNCTION("""COMPUTED_VALUE"""),"CEMEI PROFESSORA LINDOMAR DOMINGOS DA SILVA ANJOS")</f>
        <v>CEMEI PROFESSORA LINDOMAR DOMINGOS DA SILVA ANJOS</v>
      </c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96"/>
    </row>
    <row r="53" ht="15.75" customHeight="1">
      <c r="A53" s="78"/>
      <c r="B53" s="78" t="str">
        <f>IFERROR(__xludf.DUMMYFUNCTION("""COMPUTED_VALUE"""),"30/05/2026 11:24:31")</f>
        <v>30/05/2026 11:24:31</v>
      </c>
      <c r="C53" s="79" t="str">
        <f>IFERROR(__xludf.DUMMYFUNCTION("""COMPUTED_VALUE"""),"25")</f>
        <v>25</v>
      </c>
      <c r="D53" s="80" t="str">
        <f>IFERROR(__xludf.DUMMYFUNCTION("""COMPUTED_VALUE"""),"N. R. F. d. S")</f>
        <v>N. R. F. d. S</v>
      </c>
      <c r="E53" s="81" t="str">
        <f>IFERROR(__xludf.DUMMYFUNCTION("""COMPUTED_VALUE"""),"10/10/2024")</f>
        <v>10/10/2024</v>
      </c>
      <c r="F53" s="80" t="str">
        <f>IFERROR(__xludf.DUMMYFUNCTION("""COMPUTED_VALUE"""),"004******85")</f>
        <v>004******85</v>
      </c>
      <c r="G53" s="80" t="str">
        <f>IFERROR(__xludf.DUMMYFUNCTION("""COMPUTED_VALUE"""),"INFANTIL 1")</f>
        <v>INFANTIL 1</v>
      </c>
      <c r="H53" s="95" t="str">
        <f>IFERROR(__xludf.DUMMYFUNCTION("""COMPUTED_VALUE"""),"CEMEI PROFESSORA LINDOMAR DOMINGOS DA SILVA ANJOS")</f>
        <v>CEMEI PROFESSORA LINDOMAR DOMINGOS DA SILVA ANJOS</v>
      </c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96"/>
    </row>
    <row r="54" ht="15.75" customHeight="1">
      <c r="A54" s="78"/>
      <c r="B54" s="78" t="str">
        <f>IFERROR(__xludf.DUMMYFUNCTION("""COMPUTED_VALUE"""),"01/06/2026 13:25:04")</f>
        <v>01/06/2026 13:25:04</v>
      </c>
      <c r="C54" s="79" t="str">
        <f>IFERROR(__xludf.DUMMYFUNCTION("""COMPUTED_VALUE"""),"26")</f>
        <v>26</v>
      </c>
      <c r="D54" s="80" t="str">
        <f>IFERROR(__xludf.DUMMYFUNCTION("""COMPUTED_VALUE"""),"A. l. F. l")</f>
        <v>A. l. F. l</v>
      </c>
      <c r="E54" s="82" t="str">
        <f>IFERROR(__xludf.DUMMYFUNCTION("""COMPUTED_VALUE"""),"02/09/2024")</f>
        <v>02/09/2024</v>
      </c>
      <c r="F54" s="80" t="str">
        <f>IFERROR(__xludf.DUMMYFUNCTION("""COMPUTED_VALUE"""),"004******03")</f>
        <v>004******03</v>
      </c>
      <c r="G54" s="80" t="str">
        <f>IFERROR(__xludf.DUMMYFUNCTION("""COMPUTED_VALUE"""),"INFANTIL 1")</f>
        <v>INFANTIL 1</v>
      </c>
      <c r="H54" s="95" t="str">
        <f>IFERROR(__xludf.DUMMYFUNCTION("""COMPUTED_VALUE"""),"CEMEI PROFESSORA LINDOMAR DOMINGOS DA SILVA ANJOS")</f>
        <v>CEMEI PROFESSORA LINDOMAR DOMINGOS DA SILVA ANJOS</v>
      </c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96"/>
    </row>
    <row r="55" ht="15.75" customHeight="1">
      <c r="A55" s="78"/>
      <c r="B55" s="78" t="str">
        <f>IFERROR(__xludf.DUMMYFUNCTION("""COMPUTED_VALUE"""),"04/06/2026 10:58:04")</f>
        <v>04/06/2026 10:58:04</v>
      </c>
      <c r="C55" s="79" t="str">
        <f>IFERROR(__xludf.DUMMYFUNCTION("""COMPUTED_VALUE"""),"27")</f>
        <v>27</v>
      </c>
      <c r="D55" s="80" t="str">
        <f>IFERROR(__xludf.DUMMYFUNCTION("""COMPUTED_VALUE"""),"T. J. C. M. d. S")</f>
        <v>T. J. C. M. d. S</v>
      </c>
      <c r="E55" s="81" t="str">
        <f>IFERROR(__xludf.DUMMYFUNCTION("""COMPUTED_VALUE"""),"28/04/2024")</f>
        <v>28/04/2024</v>
      </c>
      <c r="F55" s="80" t="str">
        <f>IFERROR(__xludf.DUMMYFUNCTION("""COMPUTED_VALUE"""),"002******29")</f>
        <v>002******29</v>
      </c>
      <c r="G55" s="80" t="str">
        <f>IFERROR(__xludf.DUMMYFUNCTION("""COMPUTED_VALUE"""),"INFANTIL 1")</f>
        <v>INFANTIL 1</v>
      </c>
      <c r="H55" s="95" t="str">
        <f>IFERROR(__xludf.DUMMYFUNCTION("""COMPUTED_VALUE"""),"CEMEI PROFESSORA LINDOMAR DOMINGOS DA SILVA ANJOS")</f>
        <v>CEMEI PROFESSORA LINDOMAR DOMINGOS DA SILVA ANJOS</v>
      </c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96"/>
    </row>
    <row r="56" ht="15.75" customHeight="1">
      <c r="A56" s="78"/>
      <c r="B56" s="78" t="str">
        <f>IFERROR(__xludf.DUMMYFUNCTION("""COMPUTED_VALUE"""),"10/06/2026 09:48:38")</f>
        <v>10/06/2026 09:48:38</v>
      </c>
      <c r="C56" s="79" t="str">
        <f>IFERROR(__xludf.DUMMYFUNCTION("""COMPUTED_VALUE"""),"28")</f>
        <v>28</v>
      </c>
      <c r="D56" s="80" t="str">
        <f>IFERROR(__xludf.DUMMYFUNCTION("""COMPUTED_VALUE"""),"T. G. V. D. S")</f>
        <v>T. G. V. D. S</v>
      </c>
      <c r="E56" s="81" t="str">
        <f>IFERROR(__xludf.DUMMYFUNCTION("""COMPUTED_VALUE"""),"22/01/2025")</f>
        <v>22/01/2025</v>
      </c>
      <c r="F56" s="80" t="str">
        <f>IFERROR(__xludf.DUMMYFUNCTION("""COMPUTED_VALUE"""),"005******35")</f>
        <v>005******35</v>
      </c>
      <c r="G56" s="80" t="str">
        <f>IFERROR(__xludf.DUMMYFUNCTION("""COMPUTED_VALUE"""),"INFANTIL 1")</f>
        <v>INFANTIL 1</v>
      </c>
      <c r="H56" s="95" t="str">
        <f>IFERROR(__xludf.DUMMYFUNCTION("""COMPUTED_VALUE"""),"CEMEI PROFESSORA LINDOMAR DOMINGOS DA SILVA ANJOS")</f>
        <v>CEMEI PROFESSORA LINDOMAR DOMINGOS DA SILVA ANJOS</v>
      </c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96"/>
    </row>
    <row r="57" ht="15.75" customHeight="1">
      <c r="A57" s="78"/>
      <c r="B57" s="78" t="str">
        <f>IFERROR(__xludf.DUMMYFUNCTION("""COMPUTED_VALUE"""),"28/01/2026 08:06:54")</f>
        <v>28/01/2026 08:06:54</v>
      </c>
      <c r="C57" s="79" t="str">
        <f>IFERROR(__xludf.DUMMYFUNCTION("""COMPUTED_VALUE"""),"1")</f>
        <v>1</v>
      </c>
      <c r="D57" s="80" t="str">
        <f>IFERROR(__xludf.DUMMYFUNCTION("""COMPUTED_VALUE"""),"A. M. F. L")</f>
        <v>A. M. F. L</v>
      </c>
      <c r="E57" s="81" t="str">
        <f>IFERROR(__xludf.DUMMYFUNCTION("""COMPUTED_VALUE"""),"06/04/2023")</f>
        <v>06/04/2023</v>
      </c>
      <c r="F57" s="80" t="str">
        <f>IFERROR(__xludf.DUMMYFUNCTION("""COMPUTED_VALUE"""),"185******07")</f>
        <v>185******07</v>
      </c>
      <c r="G57" s="80" t="str">
        <f>IFERROR(__xludf.DUMMYFUNCTION("""COMPUTED_VALUE"""),"INFANTIL 2")</f>
        <v>INFANTIL 2</v>
      </c>
      <c r="H57" s="95" t="str">
        <f>IFERROR(__xludf.DUMMYFUNCTION("""COMPUTED_VALUE"""),"CEMEI PROFESSORA LINDOMAR DOMINGOS DA SILVA ANJOS")</f>
        <v>CEMEI PROFESSORA LINDOMAR DOMINGOS DA SILVA ANJOS</v>
      </c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96"/>
    </row>
    <row r="58" ht="15.75" customHeight="1">
      <c r="A58" s="78"/>
      <c r="B58" s="78" t="str">
        <f>IFERROR(__xludf.DUMMYFUNCTION("""COMPUTED_VALUE"""),"28/01/2026 08:08:24")</f>
        <v>28/01/2026 08:08:24</v>
      </c>
      <c r="C58" s="79" t="str">
        <f>IFERROR(__xludf.DUMMYFUNCTION("""COMPUTED_VALUE"""),"2")</f>
        <v>2</v>
      </c>
      <c r="D58" s="80" t="str">
        <f>IFERROR(__xludf.DUMMYFUNCTION("""COMPUTED_VALUE"""),"M. O. F. C")</f>
        <v>M. O. F. C</v>
      </c>
      <c r="E58" s="81" t="str">
        <f>IFERROR(__xludf.DUMMYFUNCTION("""COMPUTED_VALUE"""),"23/07/2023")</f>
        <v>23/07/2023</v>
      </c>
      <c r="F58" s="80" t="str">
        <f>IFERROR(__xludf.DUMMYFUNCTION("""COMPUTED_VALUE"""),"186******04")</f>
        <v>186******04</v>
      </c>
      <c r="G58" s="80" t="str">
        <f>IFERROR(__xludf.DUMMYFUNCTION("""COMPUTED_VALUE"""),"INFANTIL 2")</f>
        <v>INFANTIL 2</v>
      </c>
      <c r="H58" s="95" t="str">
        <f>IFERROR(__xludf.DUMMYFUNCTION("""COMPUTED_VALUE"""),"CEMEI PROFESSORA LINDOMAR DOMINGOS DA SILVA ANJOS")</f>
        <v>CEMEI PROFESSORA LINDOMAR DOMINGOS DA SILVA ANJOS</v>
      </c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96"/>
    </row>
    <row r="59" ht="15.75" customHeight="1">
      <c r="A59" s="78"/>
      <c r="B59" s="78" t="str">
        <f>IFERROR(__xludf.DUMMYFUNCTION("""COMPUTED_VALUE"""),"28/01/2026 08:14:44")</f>
        <v>28/01/2026 08:14:44</v>
      </c>
      <c r="C59" s="79" t="str">
        <f>IFERROR(__xludf.DUMMYFUNCTION("""COMPUTED_VALUE"""),"3")</f>
        <v>3</v>
      </c>
      <c r="D59" s="80" t="str">
        <f>IFERROR(__xludf.DUMMYFUNCTION("""COMPUTED_VALUE"""),"S. B. C. R. D. S")</f>
        <v>S. B. C. R. D. S</v>
      </c>
      <c r="E59" s="81" t="str">
        <f>IFERROR(__xludf.DUMMYFUNCTION("""COMPUTED_VALUE"""),"07/06/2023")</f>
        <v>07/06/2023</v>
      </c>
      <c r="F59" s="80" t="str">
        <f>IFERROR(__xludf.DUMMYFUNCTION("""COMPUTED_VALUE"""),"185******06")</f>
        <v>185******06</v>
      </c>
      <c r="G59" s="80" t="str">
        <f>IFERROR(__xludf.DUMMYFUNCTION("""COMPUTED_VALUE"""),"INFANTIL 2")</f>
        <v>INFANTIL 2</v>
      </c>
      <c r="H59" s="95" t="str">
        <f>IFERROR(__xludf.DUMMYFUNCTION("""COMPUTED_VALUE"""),"CEMEI PROFESSORA LINDOMAR DOMINGOS DA SILVA ANJOS")</f>
        <v>CEMEI PROFESSORA LINDOMAR DOMINGOS DA SILVA ANJOS</v>
      </c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96"/>
    </row>
    <row r="60" ht="15.75" customHeight="1">
      <c r="A60" s="78"/>
      <c r="B60" s="78" t="str">
        <f>IFERROR(__xludf.DUMMYFUNCTION("""COMPUTED_VALUE"""),"28/01/2026 08:17:19")</f>
        <v>28/01/2026 08:17:19</v>
      </c>
      <c r="C60" s="79" t="str">
        <f>IFERROR(__xludf.DUMMYFUNCTION("""COMPUTED_VALUE"""),"4")</f>
        <v>4</v>
      </c>
      <c r="D60" s="80" t="str">
        <f>IFERROR(__xludf.DUMMYFUNCTION("""COMPUTED_VALUE"""),"L. M. T. S")</f>
        <v>L. M. T. S</v>
      </c>
      <c r="E60" s="81" t="str">
        <f>IFERROR(__xludf.DUMMYFUNCTION("""COMPUTED_VALUE"""),"18/02/2024")</f>
        <v>18/02/2024</v>
      </c>
      <c r="F60" s="80" t="str">
        <f>IFERROR(__xludf.DUMMYFUNCTION("""COMPUTED_VALUE"""),"002******11")</f>
        <v>002******11</v>
      </c>
      <c r="G60" s="80" t="str">
        <f>IFERROR(__xludf.DUMMYFUNCTION("""COMPUTED_VALUE"""),"INFANTIL 2")</f>
        <v>INFANTIL 2</v>
      </c>
      <c r="H60" s="95" t="str">
        <f>IFERROR(__xludf.DUMMYFUNCTION("""COMPUTED_VALUE"""),"CEMEI PROFESSORA LINDOMAR DOMINGOS DA SILVA ANJOS")</f>
        <v>CEMEI PROFESSORA LINDOMAR DOMINGOS DA SILVA ANJOS</v>
      </c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96"/>
    </row>
    <row r="61" ht="15.75" customHeight="1">
      <c r="A61" s="78"/>
      <c r="B61" s="78" t="str">
        <f>IFERROR(__xludf.DUMMYFUNCTION("""COMPUTED_VALUE"""),"28/01/2026 08:25:56")</f>
        <v>28/01/2026 08:25:56</v>
      </c>
      <c r="C61" s="79" t="str">
        <f>IFERROR(__xludf.DUMMYFUNCTION("""COMPUTED_VALUE"""),"5")</f>
        <v>5</v>
      </c>
      <c r="D61" s="80" t="str">
        <f>IFERROR(__xludf.DUMMYFUNCTION("""COMPUTED_VALUE"""),"M. G. D. S. P. A")</f>
        <v>M. G. D. S. P. A</v>
      </c>
      <c r="E61" s="81" t="str">
        <f>IFERROR(__xludf.DUMMYFUNCTION("""COMPUTED_VALUE"""),"15/05/2023")</f>
        <v>15/05/2023</v>
      </c>
      <c r="F61" s="80" t="str">
        <f>IFERROR(__xludf.DUMMYFUNCTION("""COMPUTED_VALUE"""),"185******33")</f>
        <v>185******33</v>
      </c>
      <c r="G61" s="80" t="str">
        <f>IFERROR(__xludf.DUMMYFUNCTION("""COMPUTED_VALUE"""),"INFANTIL 2")</f>
        <v>INFANTIL 2</v>
      </c>
      <c r="H61" s="95" t="str">
        <f>IFERROR(__xludf.DUMMYFUNCTION("""COMPUTED_VALUE"""),"CEMEI PROFESSORA LINDOMAR DOMINGOS DA SILVA ANJOS")</f>
        <v>CEMEI PROFESSORA LINDOMAR DOMINGOS DA SILVA ANJOS</v>
      </c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96"/>
    </row>
    <row r="62" ht="15.75" customHeight="1">
      <c r="A62" s="78"/>
      <c r="B62" s="78" t="str">
        <f>IFERROR(__xludf.DUMMYFUNCTION("""COMPUTED_VALUE"""),"28/01/2026 08:25:59")</f>
        <v>28/01/2026 08:25:59</v>
      </c>
      <c r="C62" s="79" t="str">
        <f>IFERROR(__xludf.DUMMYFUNCTION("""COMPUTED_VALUE"""),"6")</f>
        <v>6</v>
      </c>
      <c r="D62" s="80" t="str">
        <f>IFERROR(__xludf.DUMMYFUNCTION("""COMPUTED_VALUE"""),"E. B. S")</f>
        <v>E. B. S</v>
      </c>
      <c r="E62" s="81" t="str">
        <f>IFERROR(__xludf.DUMMYFUNCTION("""COMPUTED_VALUE"""),"12/12/2023")</f>
        <v>12/12/2023</v>
      </c>
      <c r="F62" s="80" t="str">
        <f>IFERROR(__xludf.DUMMYFUNCTION("""COMPUTED_VALUE"""),"002******25")</f>
        <v>002******25</v>
      </c>
      <c r="G62" s="80" t="str">
        <f>IFERROR(__xludf.DUMMYFUNCTION("""COMPUTED_VALUE"""),"INFANTIL 2")</f>
        <v>INFANTIL 2</v>
      </c>
      <c r="H62" s="95" t="str">
        <f>IFERROR(__xludf.DUMMYFUNCTION("""COMPUTED_VALUE"""),"CEMEI PROFESSORA LINDOMAR DOMINGOS DA SILVA ANJOS")</f>
        <v>CEMEI PROFESSORA LINDOMAR DOMINGOS DA SILVA ANJOS</v>
      </c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96"/>
    </row>
    <row r="63" ht="15.75" customHeight="1">
      <c r="A63" s="78"/>
      <c r="B63" s="78" t="str">
        <f>IFERROR(__xludf.DUMMYFUNCTION("""COMPUTED_VALUE"""),"28/01/2026 08:31:41")</f>
        <v>28/01/2026 08:31:41</v>
      </c>
      <c r="C63" s="79" t="str">
        <f>IFERROR(__xludf.DUMMYFUNCTION("""COMPUTED_VALUE"""),"7")</f>
        <v>7</v>
      </c>
      <c r="D63" s="80" t="str">
        <f>IFERROR(__xludf.DUMMYFUNCTION("""COMPUTED_VALUE"""),"L. M. S. L")</f>
        <v>L. M. S. L</v>
      </c>
      <c r="E63" s="81" t="str">
        <f>IFERROR(__xludf.DUMMYFUNCTION("""COMPUTED_VALUE"""),"25/01/2024")</f>
        <v>25/01/2024</v>
      </c>
      <c r="F63" s="80" t="str">
        <f>IFERROR(__xludf.DUMMYFUNCTION("""COMPUTED_VALUE"""),"001******03")</f>
        <v>001******03</v>
      </c>
      <c r="G63" s="80" t="str">
        <f>IFERROR(__xludf.DUMMYFUNCTION("""COMPUTED_VALUE"""),"INFANTIL 2")</f>
        <v>INFANTIL 2</v>
      </c>
      <c r="H63" s="95" t="str">
        <f>IFERROR(__xludf.DUMMYFUNCTION("""COMPUTED_VALUE"""),"CEMEI PROFESSORA LINDOMAR DOMINGOS DA SILVA ANJOS")</f>
        <v>CEMEI PROFESSORA LINDOMAR DOMINGOS DA SILVA ANJOS</v>
      </c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96"/>
    </row>
    <row r="64" ht="15.75" customHeight="1">
      <c r="A64" s="78"/>
      <c r="B64" s="78" t="str">
        <f>IFERROR(__xludf.DUMMYFUNCTION("""COMPUTED_VALUE"""),"28/01/2026 09:00:15")</f>
        <v>28/01/2026 09:00:15</v>
      </c>
      <c r="C64" s="79" t="str">
        <f>IFERROR(__xludf.DUMMYFUNCTION("""COMPUTED_VALUE"""),"8")</f>
        <v>8</v>
      </c>
      <c r="D64" s="80" t="str">
        <f>IFERROR(__xludf.DUMMYFUNCTION("""COMPUTED_VALUE"""),"H. M. C. D. L")</f>
        <v>H. M. C. D. L</v>
      </c>
      <c r="E64" s="81" t="str">
        <f>IFERROR(__xludf.DUMMYFUNCTION("""COMPUTED_VALUE"""),"21/12/2023")</f>
        <v>21/12/2023</v>
      </c>
      <c r="F64" s="80" t="str">
        <f>IFERROR(__xludf.DUMMYFUNCTION("""COMPUTED_VALUE"""),"001******90")</f>
        <v>001******90</v>
      </c>
      <c r="G64" s="80" t="str">
        <f>IFERROR(__xludf.DUMMYFUNCTION("""COMPUTED_VALUE"""),"INFANTIL 2")</f>
        <v>INFANTIL 2</v>
      </c>
      <c r="H64" s="95" t="str">
        <f>IFERROR(__xludf.DUMMYFUNCTION("""COMPUTED_VALUE"""),"CEMEI PROFESSORA LINDOMAR DOMINGOS DA SILVA ANJOS")</f>
        <v>CEMEI PROFESSORA LINDOMAR DOMINGOS DA SILVA ANJOS</v>
      </c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96"/>
    </row>
    <row r="65" ht="15.75" customHeight="1">
      <c r="A65" s="78"/>
      <c r="B65" s="78" t="str">
        <f>IFERROR(__xludf.DUMMYFUNCTION("""COMPUTED_VALUE"""),"28/01/2026 09:08:41")</f>
        <v>28/01/2026 09:08:41</v>
      </c>
      <c r="C65" s="79" t="str">
        <f>IFERROR(__xludf.DUMMYFUNCTION("""COMPUTED_VALUE"""),"9")</f>
        <v>9</v>
      </c>
      <c r="D65" s="80" t="str">
        <f>IFERROR(__xludf.DUMMYFUNCTION("""COMPUTED_VALUE"""),"T. V. D. S. F")</f>
        <v>T. V. D. S. F</v>
      </c>
      <c r="E65" s="82" t="str">
        <f>IFERROR(__xludf.DUMMYFUNCTION("""COMPUTED_VALUE"""),"04/08/2023")</f>
        <v>04/08/2023</v>
      </c>
      <c r="F65" s="80" t="str">
        <f>IFERROR(__xludf.DUMMYFUNCTION("""COMPUTED_VALUE"""),"186******21")</f>
        <v>186******21</v>
      </c>
      <c r="G65" s="80" t="str">
        <f>IFERROR(__xludf.DUMMYFUNCTION("""COMPUTED_VALUE"""),"INFANTIL 2")</f>
        <v>INFANTIL 2</v>
      </c>
      <c r="H65" s="95" t="str">
        <f>IFERROR(__xludf.DUMMYFUNCTION("""COMPUTED_VALUE"""),"CEMEI PROFESSORA LINDOMAR DOMINGOS DA SILVA ANJOS")</f>
        <v>CEMEI PROFESSORA LINDOMAR DOMINGOS DA SILVA ANJOS</v>
      </c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96"/>
    </row>
    <row r="66" ht="15.75" customHeight="1">
      <c r="A66" s="78"/>
      <c r="B66" s="78" t="str">
        <f>IFERROR(__xludf.DUMMYFUNCTION("""COMPUTED_VALUE"""),"28/01/2026 09:29:37")</f>
        <v>28/01/2026 09:29:37</v>
      </c>
      <c r="C66" s="79" t="str">
        <f>IFERROR(__xludf.DUMMYFUNCTION("""COMPUTED_VALUE"""),"10")</f>
        <v>10</v>
      </c>
      <c r="D66" s="80" t="str">
        <f>IFERROR(__xludf.DUMMYFUNCTION("""COMPUTED_VALUE"""),"M. F. D. S")</f>
        <v>M. F. D. S</v>
      </c>
      <c r="E66" s="82" t="str">
        <f>IFERROR(__xludf.DUMMYFUNCTION("""COMPUTED_VALUE"""),"30/12/2023")</f>
        <v>30/12/2023</v>
      </c>
      <c r="F66" s="80" t="str">
        <f>IFERROR(__xludf.DUMMYFUNCTION("""COMPUTED_VALUE"""),"001******28")</f>
        <v>001******28</v>
      </c>
      <c r="G66" s="80" t="str">
        <f>IFERROR(__xludf.DUMMYFUNCTION("""COMPUTED_VALUE"""),"INFANTIL 2")</f>
        <v>INFANTIL 2</v>
      </c>
      <c r="H66" s="95" t="str">
        <f>IFERROR(__xludf.DUMMYFUNCTION("""COMPUTED_VALUE"""),"CEMEI PROFESSORA LINDOMAR DOMINGOS DA SILVA ANJOS")</f>
        <v>CEMEI PROFESSORA LINDOMAR DOMINGOS DA SILVA ANJOS</v>
      </c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96"/>
    </row>
    <row r="67" ht="15.75" customHeight="1">
      <c r="A67" s="78"/>
      <c r="B67" s="78" t="str">
        <f>IFERROR(__xludf.DUMMYFUNCTION("""COMPUTED_VALUE"""),"28/01/2026 10:56:41")</f>
        <v>28/01/2026 10:56:41</v>
      </c>
      <c r="C67" s="79" t="str">
        <f>IFERROR(__xludf.DUMMYFUNCTION("""COMPUTED_VALUE"""),"11")</f>
        <v>11</v>
      </c>
      <c r="D67" s="80" t="str">
        <f>IFERROR(__xludf.DUMMYFUNCTION("""COMPUTED_VALUE"""),"Y. S. R")</f>
        <v>Y. S. R</v>
      </c>
      <c r="E67" s="81" t="str">
        <f>IFERROR(__xludf.DUMMYFUNCTION("""COMPUTED_VALUE"""),"11/10/2023")</f>
        <v>11/10/2023</v>
      </c>
      <c r="F67" s="80" t="str">
        <f>IFERROR(__xludf.DUMMYFUNCTION("""COMPUTED_VALUE"""),"000******55")</f>
        <v>000******55</v>
      </c>
      <c r="G67" s="80" t="str">
        <f>IFERROR(__xludf.DUMMYFUNCTION("""COMPUTED_VALUE"""),"INFANTIL 2")</f>
        <v>INFANTIL 2</v>
      </c>
      <c r="H67" s="95" t="str">
        <f>IFERROR(__xludf.DUMMYFUNCTION("""COMPUTED_VALUE"""),"CEMEI PROFESSORA LINDOMAR DOMINGOS DA SILVA ANJOS")</f>
        <v>CEMEI PROFESSORA LINDOMAR DOMINGOS DA SILVA ANJOS</v>
      </c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96"/>
    </row>
    <row r="68" ht="15.75" customHeight="1">
      <c r="A68" s="78"/>
      <c r="B68" s="78" t="str">
        <f>IFERROR(__xludf.DUMMYFUNCTION("""COMPUTED_VALUE"""),"28/01/2026 11:08:50")</f>
        <v>28/01/2026 11:08:50</v>
      </c>
      <c r="C68" s="79" t="str">
        <f>IFERROR(__xludf.DUMMYFUNCTION("""COMPUTED_VALUE"""),"12")</f>
        <v>12</v>
      </c>
      <c r="D68" s="80" t="str">
        <f>IFERROR(__xludf.DUMMYFUNCTION("""COMPUTED_VALUE"""),"A. V")</f>
        <v>A. V</v>
      </c>
      <c r="E68" s="81" t="str">
        <f>IFERROR(__xludf.DUMMYFUNCTION("""COMPUTED_VALUE"""),"28/07/2023")</f>
        <v>28/07/2023</v>
      </c>
      <c r="F68" s="80" t="str">
        <f>IFERROR(__xludf.DUMMYFUNCTION("""COMPUTED_VALUE"""),"157******62")</f>
        <v>157******62</v>
      </c>
      <c r="G68" s="80" t="str">
        <f>IFERROR(__xludf.DUMMYFUNCTION("""COMPUTED_VALUE"""),"INFANTIL 2")</f>
        <v>INFANTIL 2</v>
      </c>
      <c r="H68" s="95" t="str">
        <f>IFERROR(__xludf.DUMMYFUNCTION("""COMPUTED_VALUE"""),"CEMEI PROFESSORA LINDOMAR DOMINGOS DA SILVA ANJOS")</f>
        <v>CEMEI PROFESSORA LINDOMAR DOMINGOS DA SILVA ANJOS</v>
      </c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96"/>
    </row>
    <row r="69" ht="15.75" customHeight="1">
      <c r="A69" s="78"/>
      <c r="B69" s="78" t="str">
        <f>IFERROR(__xludf.DUMMYFUNCTION("""COMPUTED_VALUE"""),"28/01/2026 12:27:56")</f>
        <v>28/01/2026 12:27:56</v>
      </c>
      <c r="C69" s="79" t="str">
        <f>IFERROR(__xludf.DUMMYFUNCTION("""COMPUTED_VALUE"""),"13")</f>
        <v>13</v>
      </c>
      <c r="D69" s="80" t="str">
        <f>IFERROR(__xludf.DUMMYFUNCTION("""COMPUTED_VALUE"""),"M. M. D. S. C")</f>
        <v>M. M. D. S. C</v>
      </c>
      <c r="E69" s="81" t="str">
        <f>IFERROR(__xludf.DUMMYFUNCTION("""COMPUTED_VALUE"""),"10/06/2023")</f>
        <v>10/06/2023</v>
      </c>
      <c r="F69" s="80" t="str">
        <f>IFERROR(__xludf.DUMMYFUNCTION("""COMPUTED_VALUE"""),"185******70")</f>
        <v>185******70</v>
      </c>
      <c r="G69" s="80" t="str">
        <f>IFERROR(__xludf.DUMMYFUNCTION("""COMPUTED_VALUE"""),"INFANTIL 2")</f>
        <v>INFANTIL 2</v>
      </c>
      <c r="H69" s="95" t="str">
        <f>IFERROR(__xludf.DUMMYFUNCTION("""COMPUTED_VALUE"""),"CEMEI PROFESSORA LINDOMAR DOMINGOS DA SILVA ANJOS")</f>
        <v>CEMEI PROFESSORA LINDOMAR DOMINGOS DA SILVA ANJOS</v>
      </c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96"/>
    </row>
    <row r="70" ht="15.75" customHeight="1">
      <c r="A70" s="78"/>
      <c r="B70" s="78" t="str">
        <f>IFERROR(__xludf.DUMMYFUNCTION("""COMPUTED_VALUE"""),"29/01/2026 09:34:00")</f>
        <v>29/01/2026 09:34:00</v>
      </c>
      <c r="C70" s="79" t="str">
        <f>IFERROR(__xludf.DUMMYFUNCTION("""COMPUTED_VALUE"""),"14")</f>
        <v>14</v>
      </c>
      <c r="D70" s="80" t="str">
        <f>IFERROR(__xludf.DUMMYFUNCTION("""COMPUTED_VALUE"""),"L. S. O. D. A")</f>
        <v>L. S. O. D. A</v>
      </c>
      <c r="E70" s="81" t="str">
        <f>IFERROR(__xludf.DUMMYFUNCTION("""COMPUTED_VALUE"""),"13/12/2023")</f>
        <v>13/12/2023</v>
      </c>
      <c r="F70" s="80" t="str">
        <f>IFERROR(__xludf.DUMMYFUNCTION("""COMPUTED_VALUE"""),"002******11")</f>
        <v>002******11</v>
      </c>
      <c r="G70" s="80" t="str">
        <f>IFERROR(__xludf.DUMMYFUNCTION("""COMPUTED_VALUE"""),"INFANTIL 2")</f>
        <v>INFANTIL 2</v>
      </c>
      <c r="H70" s="95" t="str">
        <f>IFERROR(__xludf.DUMMYFUNCTION("""COMPUTED_VALUE"""),"CEMEI PROFESSORA LINDOMAR DOMINGOS DA SILVA ANJOS")</f>
        <v>CEMEI PROFESSORA LINDOMAR DOMINGOS DA SILVA ANJOS</v>
      </c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96"/>
    </row>
    <row r="71" ht="15.75" customHeight="1">
      <c r="A71" s="78"/>
      <c r="B71" s="78" t="str">
        <f>IFERROR(__xludf.DUMMYFUNCTION("""COMPUTED_VALUE"""),"29/01/2026 19:07:33")</f>
        <v>29/01/2026 19:07:33</v>
      </c>
      <c r="C71" s="79" t="str">
        <f>IFERROR(__xludf.DUMMYFUNCTION("""COMPUTED_VALUE"""),"15")</f>
        <v>15</v>
      </c>
      <c r="D71" s="80" t="str">
        <f>IFERROR(__xludf.DUMMYFUNCTION("""COMPUTED_VALUE"""),"J. P. A. D. S")</f>
        <v>J. P. A. D. S</v>
      </c>
      <c r="E71" s="82" t="str">
        <f>IFERROR(__xludf.DUMMYFUNCTION("""COMPUTED_VALUE"""),"13/05/2023")</f>
        <v>13/05/2023</v>
      </c>
      <c r="F71" s="80" t="str">
        <f>IFERROR(__xludf.DUMMYFUNCTION("""COMPUTED_VALUE"""),"185******08")</f>
        <v>185******08</v>
      </c>
      <c r="G71" s="80" t="str">
        <f>IFERROR(__xludf.DUMMYFUNCTION("""COMPUTED_VALUE"""),"INFANTIL 2")</f>
        <v>INFANTIL 2</v>
      </c>
      <c r="H71" s="95" t="str">
        <f>IFERROR(__xludf.DUMMYFUNCTION("""COMPUTED_VALUE"""),"CEMEI PROFESSORA LINDOMAR DOMINGOS DA SILVA ANJOS")</f>
        <v>CEMEI PROFESSORA LINDOMAR DOMINGOS DA SILVA ANJOS</v>
      </c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96"/>
    </row>
    <row r="72" ht="15.75" customHeight="1">
      <c r="A72" s="78"/>
      <c r="B72" s="78" t="str">
        <f>IFERROR(__xludf.DUMMYFUNCTION("""COMPUTED_VALUE"""),"03/02/2026 12:10:55")</f>
        <v>03/02/2026 12:10:55</v>
      </c>
      <c r="C72" s="79" t="str">
        <f>IFERROR(__xludf.DUMMYFUNCTION("""COMPUTED_VALUE"""),"16")</f>
        <v>16</v>
      </c>
      <c r="D72" s="80" t="str">
        <f>IFERROR(__xludf.DUMMYFUNCTION("""COMPUTED_VALUE"""),"E. B. M. F. N")</f>
        <v>E. B. M. F. N</v>
      </c>
      <c r="E72" s="81" t="str">
        <f>IFERROR(__xludf.DUMMYFUNCTION("""COMPUTED_VALUE"""),"11/11/2023")</f>
        <v>11/11/2023</v>
      </c>
      <c r="F72" s="80" t="str">
        <f>IFERROR(__xludf.DUMMYFUNCTION("""COMPUTED_VALUE"""),"001******70")</f>
        <v>001******70</v>
      </c>
      <c r="G72" s="80" t="str">
        <f>IFERROR(__xludf.DUMMYFUNCTION("""COMPUTED_VALUE"""),"INFANTIL 2")</f>
        <v>INFANTIL 2</v>
      </c>
      <c r="H72" s="95" t="str">
        <f>IFERROR(__xludf.DUMMYFUNCTION("""COMPUTED_VALUE"""),"CEMEI PROFESSORA LINDOMAR DOMINGOS DA SILVA ANJOS")</f>
        <v>CEMEI PROFESSORA LINDOMAR DOMINGOS DA SILVA ANJOS</v>
      </c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96"/>
    </row>
    <row r="73" ht="15.75" customHeight="1">
      <c r="A73" s="77"/>
      <c r="B73" s="77" t="str">
        <f>IFERROR(__xludf.DUMMYFUNCTION("""COMPUTED_VALUE"""),"03/02/2026 19:19:03")</f>
        <v>03/02/2026 19:19:03</v>
      </c>
      <c r="C73" s="83" t="str">
        <f>IFERROR(__xludf.DUMMYFUNCTION("""COMPUTED_VALUE"""),"17")</f>
        <v>17</v>
      </c>
      <c r="D73" s="77" t="str">
        <f>IFERROR(__xludf.DUMMYFUNCTION("""COMPUTED_VALUE"""),"A. E. V. D. S")</f>
        <v>A. E. V. D. S</v>
      </c>
      <c r="E73" s="77" t="str">
        <f>IFERROR(__xludf.DUMMYFUNCTION("""COMPUTED_VALUE"""),"22/06/2023")</f>
        <v>22/06/2023</v>
      </c>
      <c r="F73" s="77" t="str">
        <f>IFERROR(__xludf.DUMMYFUNCTION("""COMPUTED_VALUE"""),"185******00")</f>
        <v>185******00</v>
      </c>
      <c r="G73" s="77" t="str">
        <f>IFERROR(__xludf.DUMMYFUNCTION("""COMPUTED_VALUE"""),"INFANTIL 2")</f>
        <v>INFANTIL 2</v>
      </c>
      <c r="H73" s="97" t="str">
        <f>IFERROR(__xludf.DUMMYFUNCTION("""COMPUTED_VALUE"""),"CEMEI PROFESSORA LINDOMAR DOMINGOS DA SILVA ANJOS")</f>
        <v>CEMEI PROFESSORA LINDOMAR DOMINGOS DA SILVA ANJOS</v>
      </c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96"/>
    </row>
    <row r="74" ht="15.75" customHeight="1">
      <c r="A74" s="77"/>
      <c r="B74" s="77" t="str">
        <f>IFERROR(__xludf.DUMMYFUNCTION("""COMPUTED_VALUE"""),"04/02/2026 09:54:58")</f>
        <v>04/02/2026 09:54:58</v>
      </c>
      <c r="C74" s="83" t="str">
        <f>IFERROR(__xludf.DUMMYFUNCTION("""COMPUTED_VALUE"""),"18")</f>
        <v>18</v>
      </c>
      <c r="D74" s="77" t="str">
        <f>IFERROR(__xludf.DUMMYFUNCTION("""COMPUTED_VALUE"""),"A. M. M. D. L")</f>
        <v>A. M. M. D. L</v>
      </c>
      <c r="E74" s="77" t="str">
        <f>IFERROR(__xludf.DUMMYFUNCTION("""COMPUTED_VALUE"""),"11/07/2023")</f>
        <v>11/07/2023</v>
      </c>
      <c r="F74" s="77" t="str">
        <f>IFERROR(__xludf.DUMMYFUNCTION("""COMPUTED_VALUE"""),"186******75")</f>
        <v>186******75</v>
      </c>
      <c r="G74" s="77" t="str">
        <f>IFERROR(__xludf.DUMMYFUNCTION("""COMPUTED_VALUE"""),"INFANTIL 2")</f>
        <v>INFANTIL 2</v>
      </c>
      <c r="H74" s="97" t="str">
        <f>IFERROR(__xludf.DUMMYFUNCTION("""COMPUTED_VALUE"""),"CEMEI PROFESSORA LINDOMAR DOMINGOS DA SILVA ANJOS")</f>
        <v>CEMEI PROFESSORA LINDOMAR DOMINGOS DA SILVA ANJOS</v>
      </c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96"/>
    </row>
    <row r="75" ht="15.75" customHeight="1">
      <c r="A75" s="77"/>
      <c r="B75" s="77" t="str">
        <f>IFERROR(__xludf.DUMMYFUNCTION("""COMPUTED_VALUE"""),"04/02/2026 12:41:36")</f>
        <v>04/02/2026 12:41:36</v>
      </c>
      <c r="C75" s="83" t="str">
        <f>IFERROR(__xludf.DUMMYFUNCTION("""COMPUTED_VALUE"""),"19")</f>
        <v>19</v>
      </c>
      <c r="D75" s="77" t="str">
        <f>IFERROR(__xludf.DUMMYFUNCTION("""COMPUTED_VALUE"""),"I. R. D. S")</f>
        <v>I. R. D. S</v>
      </c>
      <c r="E75" s="77" t="str">
        <f>IFERROR(__xludf.DUMMYFUNCTION("""COMPUTED_VALUE"""),"17/04/2023")</f>
        <v>17/04/2023</v>
      </c>
      <c r="F75" s="77" t="str">
        <f>IFERROR(__xludf.DUMMYFUNCTION("""COMPUTED_VALUE"""),"185******67")</f>
        <v>185******67</v>
      </c>
      <c r="G75" s="77" t="str">
        <f>IFERROR(__xludf.DUMMYFUNCTION("""COMPUTED_VALUE"""),"INFANTIL 2")</f>
        <v>INFANTIL 2</v>
      </c>
      <c r="H75" s="97" t="str">
        <f>IFERROR(__xludf.DUMMYFUNCTION("""COMPUTED_VALUE"""),"CEMEI PROFESSORA LINDOMAR DOMINGOS DA SILVA ANJOS")</f>
        <v>CEMEI PROFESSORA LINDOMAR DOMINGOS DA SILVA ANJOS</v>
      </c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96"/>
    </row>
    <row r="76" ht="15.75" customHeight="1">
      <c r="A76" s="77"/>
      <c r="B76" s="77" t="str">
        <f>IFERROR(__xludf.DUMMYFUNCTION("""COMPUTED_VALUE"""),"04/02/2026 15:23:58")</f>
        <v>04/02/2026 15:23:58</v>
      </c>
      <c r="C76" s="83" t="str">
        <f>IFERROR(__xludf.DUMMYFUNCTION("""COMPUTED_VALUE"""),"20")</f>
        <v>20</v>
      </c>
      <c r="D76" s="77" t="str">
        <f>IFERROR(__xludf.DUMMYFUNCTION("""COMPUTED_VALUE"""),"C. R. L. D. S")</f>
        <v>C. R. L. D. S</v>
      </c>
      <c r="E76" s="77" t="str">
        <f>IFERROR(__xludf.DUMMYFUNCTION("""COMPUTED_VALUE"""),"05/06/2023")</f>
        <v>05/06/2023</v>
      </c>
      <c r="F76" s="77" t="str">
        <f>IFERROR(__xludf.DUMMYFUNCTION("""COMPUTED_VALUE"""),"185******37")</f>
        <v>185******37</v>
      </c>
      <c r="G76" s="77" t="str">
        <f>IFERROR(__xludf.DUMMYFUNCTION("""COMPUTED_VALUE"""),"INFANTIL 2")</f>
        <v>INFANTIL 2</v>
      </c>
      <c r="H76" s="97" t="str">
        <f>IFERROR(__xludf.DUMMYFUNCTION("""COMPUTED_VALUE"""),"CEMEI PROFESSORA LINDOMAR DOMINGOS DA SILVA ANJOS")</f>
        <v>CEMEI PROFESSORA LINDOMAR DOMINGOS DA SILVA ANJOS</v>
      </c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96"/>
    </row>
    <row r="77" ht="15.75" customHeight="1">
      <c r="A77" s="77"/>
      <c r="B77" s="77" t="str">
        <f>IFERROR(__xludf.DUMMYFUNCTION("""COMPUTED_VALUE"""),"05/02/2026 16:07:06")</f>
        <v>05/02/2026 16:07:06</v>
      </c>
      <c r="C77" s="83" t="str">
        <f>IFERROR(__xludf.DUMMYFUNCTION("""COMPUTED_VALUE"""),"21")</f>
        <v>21</v>
      </c>
      <c r="D77" s="77" t="str">
        <f>IFERROR(__xludf.DUMMYFUNCTION("""COMPUTED_VALUE"""),"C. R. M. A. D. A")</f>
        <v>C. R. M. A. D. A</v>
      </c>
      <c r="E77" s="77" t="str">
        <f>IFERROR(__xludf.DUMMYFUNCTION("""COMPUTED_VALUE"""),"11/08/2023")</f>
        <v>11/08/2023</v>
      </c>
      <c r="F77" s="77" t="str">
        <f>IFERROR(__xludf.DUMMYFUNCTION("""COMPUTED_VALUE"""),"186******84")</f>
        <v>186******84</v>
      </c>
      <c r="G77" s="77" t="str">
        <f>IFERROR(__xludf.DUMMYFUNCTION("""COMPUTED_VALUE"""),"INFANTIL 2")</f>
        <v>INFANTIL 2</v>
      </c>
      <c r="H77" s="97" t="str">
        <f>IFERROR(__xludf.DUMMYFUNCTION("""COMPUTED_VALUE"""),"CEMEI PROFESSORA LINDOMAR DOMINGOS DA SILVA ANJOS")</f>
        <v>CEMEI PROFESSORA LINDOMAR DOMINGOS DA SILVA ANJOS</v>
      </c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96"/>
    </row>
    <row r="78" ht="15.75" customHeight="1">
      <c r="A78" s="77"/>
      <c r="B78" s="77" t="str">
        <f>IFERROR(__xludf.DUMMYFUNCTION("""COMPUTED_VALUE"""),"09/02/2026 09:40:47")</f>
        <v>09/02/2026 09:40:47</v>
      </c>
      <c r="C78" s="83" t="str">
        <f>IFERROR(__xludf.DUMMYFUNCTION("""COMPUTED_VALUE"""),"22")</f>
        <v>22</v>
      </c>
      <c r="D78" s="77" t="str">
        <f>IFERROR(__xludf.DUMMYFUNCTION("""COMPUTED_VALUE"""),"M. C. D. S")</f>
        <v>M. C. D. S</v>
      </c>
      <c r="E78" s="77" t="str">
        <f>IFERROR(__xludf.DUMMYFUNCTION("""COMPUTED_VALUE"""),"26/01/2024")</f>
        <v>26/01/2024</v>
      </c>
      <c r="F78" s="77" t="str">
        <f>IFERROR(__xludf.DUMMYFUNCTION("""COMPUTED_VALUE"""),"001******17")</f>
        <v>001******17</v>
      </c>
      <c r="G78" s="77" t="str">
        <f>IFERROR(__xludf.DUMMYFUNCTION("""COMPUTED_VALUE"""),"INFANTIL 2")</f>
        <v>INFANTIL 2</v>
      </c>
      <c r="H78" s="97" t="str">
        <f>IFERROR(__xludf.DUMMYFUNCTION("""COMPUTED_VALUE"""),"CEMEI PROFESSORA LINDOMAR DOMINGOS DA SILVA ANJOS")</f>
        <v>CEMEI PROFESSORA LINDOMAR DOMINGOS DA SILVA ANJOS</v>
      </c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96"/>
    </row>
    <row r="79" ht="15.75" customHeight="1">
      <c r="A79" s="77"/>
      <c r="B79" s="77" t="str">
        <f>IFERROR(__xludf.DUMMYFUNCTION("""COMPUTED_VALUE"""),"10/02/2026 07:55:39")</f>
        <v>10/02/2026 07:55:39</v>
      </c>
      <c r="C79" s="83" t="str">
        <f>IFERROR(__xludf.DUMMYFUNCTION("""COMPUTED_VALUE"""),"23")</f>
        <v>23</v>
      </c>
      <c r="D79" s="77" t="str">
        <f>IFERROR(__xludf.DUMMYFUNCTION("""COMPUTED_VALUE"""),"M. B. G")</f>
        <v>M. B. G</v>
      </c>
      <c r="E79" s="77" t="str">
        <f>IFERROR(__xludf.DUMMYFUNCTION("""COMPUTED_VALUE"""),"07/12/2023")</f>
        <v>07/12/2023</v>
      </c>
      <c r="F79" s="77" t="str">
        <f>IFERROR(__xludf.DUMMYFUNCTION("""COMPUTED_VALUE"""),"001******44")</f>
        <v>001******44</v>
      </c>
      <c r="G79" s="77" t="str">
        <f>IFERROR(__xludf.DUMMYFUNCTION("""COMPUTED_VALUE"""),"INFANTIL 2")</f>
        <v>INFANTIL 2</v>
      </c>
      <c r="H79" s="97" t="str">
        <f>IFERROR(__xludf.DUMMYFUNCTION("""COMPUTED_VALUE"""),"CEMEI PROFESSORA LINDOMAR DOMINGOS DA SILVA ANJOS")</f>
        <v>CEMEI PROFESSORA LINDOMAR DOMINGOS DA SILVA ANJOS</v>
      </c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96"/>
    </row>
    <row r="80" ht="15.75" customHeight="1">
      <c r="A80" s="77"/>
      <c r="B80" s="77" t="str">
        <f>IFERROR(__xludf.DUMMYFUNCTION("""COMPUTED_VALUE"""),"10/02/2026 08:09:08")</f>
        <v>10/02/2026 08:09:08</v>
      </c>
      <c r="C80" s="83" t="str">
        <f>IFERROR(__xludf.DUMMYFUNCTION("""COMPUTED_VALUE"""),"24")</f>
        <v>24</v>
      </c>
      <c r="D80" s="77" t="str">
        <f>IFERROR(__xludf.DUMMYFUNCTION("""COMPUTED_VALUE"""),"G. L. M. D. L")</f>
        <v>G. L. M. D. L</v>
      </c>
      <c r="E80" s="77" t="str">
        <f>IFERROR(__xludf.DUMMYFUNCTION("""COMPUTED_VALUE"""),"08/06/2023")</f>
        <v>08/06/2023</v>
      </c>
      <c r="F80" s="77" t="str">
        <f>IFERROR(__xludf.DUMMYFUNCTION("""COMPUTED_VALUE"""),"185******83")</f>
        <v>185******83</v>
      </c>
      <c r="G80" s="77" t="str">
        <f>IFERROR(__xludf.DUMMYFUNCTION("""COMPUTED_VALUE"""),"INFANTIL 2")</f>
        <v>INFANTIL 2</v>
      </c>
      <c r="H80" s="97" t="str">
        <f>IFERROR(__xludf.DUMMYFUNCTION("""COMPUTED_VALUE"""),"CEMEI PROFESSORA LINDOMAR DOMINGOS DA SILVA ANJOS")</f>
        <v>CEMEI PROFESSORA LINDOMAR DOMINGOS DA SILVA ANJOS</v>
      </c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96"/>
    </row>
    <row r="81" ht="15.75" customHeight="1">
      <c r="A81" s="77"/>
      <c r="B81" s="77" t="str">
        <f>IFERROR(__xludf.DUMMYFUNCTION("""COMPUTED_VALUE"""),"10/02/2026 11:18:19")</f>
        <v>10/02/2026 11:18:19</v>
      </c>
      <c r="C81" s="83" t="str">
        <f>IFERROR(__xludf.DUMMYFUNCTION("""COMPUTED_VALUE"""),"25")</f>
        <v>25</v>
      </c>
      <c r="D81" s="77" t="str">
        <f>IFERROR(__xludf.DUMMYFUNCTION("""COMPUTED_VALUE"""),"J. J. A. D. S")</f>
        <v>J. J. A. D. S</v>
      </c>
      <c r="E81" s="77" t="str">
        <f>IFERROR(__xludf.DUMMYFUNCTION("""COMPUTED_VALUE"""),"05/07/2023")</f>
        <v>05/07/2023</v>
      </c>
      <c r="F81" s="77" t="str">
        <f>IFERROR(__xludf.DUMMYFUNCTION("""COMPUTED_VALUE"""),"185******70")</f>
        <v>185******70</v>
      </c>
      <c r="G81" s="77" t="str">
        <f>IFERROR(__xludf.DUMMYFUNCTION("""COMPUTED_VALUE"""),"INFANTIL 2")</f>
        <v>INFANTIL 2</v>
      </c>
      <c r="H81" s="97" t="str">
        <f>IFERROR(__xludf.DUMMYFUNCTION("""COMPUTED_VALUE"""),"CEMEI PROFESSORA LINDOMAR DOMINGOS DA SILVA ANJOS")</f>
        <v>CEMEI PROFESSORA LINDOMAR DOMINGOS DA SILVA ANJOS</v>
      </c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96"/>
    </row>
    <row r="82" ht="15.75" customHeight="1">
      <c r="A82" s="77"/>
      <c r="B82" s="77" t="str">
        <f>IFERROR(__xludf.DUMMYFUNCTION("""COMPUTED_VALUE"""),"11/02/2026 13:53:52")</f>
        <v>11/02/2026 13:53:52</v>
      </c>
      <c r="C82" s="83" t="str">
        <f>IFERROR(__xludf.DUMMYFUNCTION("""COMPUTED_VALUE"""),"26")</f>
        <v>26</v>
      </c>
      <c r="D82" s="77" t="str">
        <f>IFERROR(__xludf.DUMMYFUNCTION("""COMPUTED_VALUE"""),"Y. M. V. D. S. N")</f>
        <v>Y. M. V. D. S. N</v>
      </c>
      <c r="E82" s="77" t="str">
        <f>IFERROR(__xludf.DUMMYFUNCTION("""COMPUTED_VALUE"""),"10/11/2023")</f>
        <v>10/11/2023</v>
      </c>
      <c r="F82" s="77" t="str">
        <f>IFERROR(__xludf.DUMMYFUNCTION("""COMPUTED_VALUE"""),"000******22")</f>
        <v>000******22</v>
      </c>
      <c r="G82" s="77" t="str">
        <f>IFERROR(__xludf.DUMMYFUNCTION("""COMPUTED_VALUE"""),"INFANTIL 2")</f>
        <v>INFANTIL 2</v>
      </c>
      <c r="H82" s="97" t="str">
        <f>IFERROR(__xludf.DUMMYFUNCTION("""COMPUTED_VALUE"""),"CEMEI PROFESSORA LINDOMAR DOMINGOS DA SILVA ANJOS")</f>
        <v>CEMEI PROFESSORA LINDOMAR DOMINGOS DA SILVA ANJOS</v>
      </c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96"/>
    </row>
    <row r="83" ht="15.75" customHeight="1">
      <c r="A83" s="77"/>
      <c r="B83" s="77" t="str">
        <f>IFERROR(__xludf.DUMMYFUNCTION("""COMPUTED_VALUE"""),"19/02/2026 09:30:52")</f>
        <v>19/02/2026 09:30:52</v>
      </c>
      <c r="C83" s="83" t="str">
        <f>IFERROR(__xludf.DUMMYFUNCTION("""COMPUTED_VALUE"""),"27")</f>
        <v>27</v>
      </c>
      <c r="D83" s="77" t="str">
        <f>IFERROR(__xludf.DUMMYFUNCTION("""COMPUTED_VALUE"""),"B. D. S. F")</f>
        <v>B. D. S. F</v>
      </c>
      <c r="E83" s="77" t="str">
        <f>IFERROR(__xludf.DUMMYFUNCTION("""COMPUTED_VALUE"""),"25/04/2023")</f>
        <v>25/04/2023</v>
      </c>
      <c r="F83" s="77" t="str">
        <f>IFERROR(__xludf.DUMMYFUNCTION("""COMPUTED_VALUE"""),"185******70")</f>
        <v>185******70</v>
      </c>
      <c r="G83" s="77" t="str">
        <f>IFERROR(__xludf.DUMMYFUNCTION("""COMPUTED_VALUE"""),"INFANTIL 2")</f>
        <v>INFANTIL 2</v>
      </c>
      <c r="H83" s="97" t="str">
        <f>IFERROR(__xludf.DUMMYFUNCTION("""COMPUTED_VALUE"""),"CEMEI PROFESSORA LINDOMAR DOMINGOS DA SILVA ANJOS")</f>
        <v>CEMEI PROFESSORA LINDOMAR DOMINGOS DA SILVA ANJOS</v>
      </c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96"/>
    </row>
    <row r="84" ht="15.75" customHeight="1">
      <c r="A84" s="77"/>
      <c r="B84" s="77" t="str">
        <f>IFERROR(__xludf.DUMMYFUNCTION("""COMPUTED_VALUE"""),"03/03/2026 12:02:06")</f>
        <v>03/03/2026 12:02:06</v>
      </c>
      <c r="C84" s="83" t="str">
        <f>IFERROR(__xludf.DUMMYFUNCTION("""COMPUTED_VALUE"""),"28")</f>
        <v>28</v>
      </c>
      <c r="D84" s="77" t="str">
        <f>IFERROR(__xludf.DUMMYFUNCTION("""COMPUTED_VALUE"""),"H. B. D. S")</f>
        <v>H. B. D. S</v>
      </c>
      <c r="E84" s="77" t="str">
        <f>IFERROR(__xludf.DUMMYFUNCTION("""COMPUTED_VALUE"""),"27/06/2023")</f>
        <v>27/06/2023</v>
      </c>
      <c r="F84" s="77" t="str">
        <f>IFERROR(__xludf.DUMMYFUNCTION("""COMPUTED_VALUE"""),"185******04")</f>
        <v>185******04</v>
      </c>
      <c r="G84" s="77" t="str">
        <f>IFERROR(__xludf.DUMMYFUNCTION("""COMPUTED_VALUE"""),"INFANTIL 2")</f>
        <v>INFANTIL 2</v>
      </c>
      <c r="H84" s="97" t="str">
        <f>IFERROR(__xludf.DUMMYFUNCTION("""COMPUTED_VALUE"""),"CEMEI PROFESSORA LINDOMAR DOMINGOS DA SILVA ANJOS")</f>
        <v>CEMEI PROFESSORA LINDOMAR DOMINGOS DA SILVA ANJOS</v>
      </c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96"/>
    </row>
    <row r="85" ht="15.75" customHeight="1">
      <c r="A85" s="77"/>
      <c r="B85" s="77" t="str">
        <f>IFERROR(__xludf.DUMMYFUNCTION("""COMPUTED_VALUE"""),"04/03/2026 07:55:35")</f>
        <v>04/03/2026 07:55:35</v>
      </c>
      <c r="C85" s="83" t="str">
        <f>IFERROR(__xludf.DUMMYFUNCTION("""COMPUTED_VALUE"""),"29")</f>
        <v>29</v>
      </c>
      <c r="D85" s="77" t="str">
        <f>IFERROR(__xludf.DUMMYFUNCTION("""COMPUTED_VALUE"""),"A. G. P. D. S")</f>
        <v>A. G. P. D. S</v>
      </c>
      <c r="E85" s="77" t="str">
        <f>IFERROR(__xludf.DUMMYFUNCTION("""COMPUTED_VALUE"""),"16/11/2023")</f>
        <v>16/11/2023</v>
      </c>
      <c r="F85" s="77" t="str">
        <f>IFERROR(__xludf.DUMMYFUNCTION("""COMPUTED_VALUE"""),"001******73")</f>
        <v>001******73</v>
      </c>
      <c r="G85" s="77" t="str">
        <f>IFERROR(__xludf.DUMMYFUNCTION("""COMPUTED_VALUE"""),"INFANTIL 2")</f>
        <v>INFANTIL 2</v>
      </c>
      <c r="H85" s="97" t="str">
        <f>IFERROR(__xludf.DUMMYFUNCTION("""COMPUTED_VALUE"""),"CEMEI PROFESSORA LINDOMAR DOMINGOS DA SILVA ANJOS")</f>
        <v>CEMEI PROFESSORA LINDOMAR DOMINGOS DA SILVA ANJOS</v>
      </c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96"/>
    </row>
    <row r="86" ht="15.75" customHeight="1">
      <c r="A86" s="77"/>
      <c r="B86" s="77" t="str">
        <f>IFERROR(__xludf.DUMMYFUNCTION("""COMPUTED_VALUE"""),"12/03/2026 11:41:32")</f>
        <v>12/03/2026 11:41:32</v>
      </c>
      <c r="C86" s="83" t="str">
        <f>IFERROR(__xludf.DUMMYFUNCTION("""COMPUTED_VALUE"""),"30")</f>
        <v>30</v>
      </c>
      <c r="D86" s="77" t="str">
        <f>IFERROR(__xludf.DUMMYFUNCTION("""COMPUTED_VALUE"""),"A. H. S. D. S")</f>
        <v>A. H. S. D. S</v>
      </c>
      <c r="E86" s="77" t="str">
        <f>IFERROR(__xludf.DUMMYFUNCTION("""COMPUTED_VALUE"""),"21/09/2023")</f>
        <v>21/09/2023</v>
      </c>
      <c r="F86" s="77" t="str">
        <f>IFERROR(__xludf.DUMMYFUNCTION("""COMPUTED_VALUE"""),"186******03")</f>
        <v>186******03</v>
      </c>
      <c r="G86" s="77" t="str">
        <f>IFERROR(__xludf.DUMMYFUNCTION("""COMPUTED_VALUE"""),"INFANTIL 2")</f>
        <v>INFANTIL 2</v>
      </c>
      <c r="H86" s="97" t="str">
        <f>IFERROR(__xludf.DUMMYFUNCTION("""COMPUTED_VALUE"""),"CEMEI PROFESSORA LINDOMAR DOMINGOS DA SILVA ANJOS")</f>
        <v>CEMEI PROFESSORA LINDOMAR DOMINGOS DA SILVA ANJOS</v>
      </c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96"/>
    </row>
    <row r="87" ht="15.75" customHeight="1">
      <c r="A87" s="77"/>
      <c r="B87" s="77" t="str">
        <f>IFERROR(__xludf.DUMMYFUNCTION("""COMPUTED_VALUE"""),"25/04/2026 06:48:05")</f>
        <v>25/04/2026 06:48:05</v>
      </c>
      <c r="C87" s="83" t="str">
        <f>IFERROR(__xludf.DUMMYFUNCTION("""COMPUTED_VALUE"""),"31")</f>
        <v>31</v>
      </c>
      <c r="D87" s="77" t="str">
        <f>IFERROR(__xludf.DUMMYFUNCTION("""COMPUTED_VALUE"""),"C. M. D. A")</f>
        <v>C. M. D. A</v>
      </c>
      <c r="E87" s="77" t="str">
        <f>IFERROR(__xludf.DUMMYFUNCTION("""COMPUTED_VALUE"""),"23/09/2023")</f>
        <v>23/09/2023</v>
      </c>
      <c r="F87" s="77" t="str">
        <f>IFERROR(__xludf.DUMMYFUNCTION("""COMPUTED_VALUE"""),"000******91")</f>
        <v>000******91</v>
      </c>
      <c r="G87" s="77" t="str">
        <f>IFERROR(__xludf.DUMMYFUNCTION("""COMPUTED_VALUE"""),"INFANTIL 2")</f>
        <v>INFANTIL 2</v>
      </c>
      <c r="H87" s="97" t="str">
        <f>IFERROR(__xludf.DUMMYFUNCTION("""COMPUTED_VALUE"""),"CEMEI PROFESSORA LINDOMAR DOMINGOS DA SILVA ANJOS")</f>
        <v>CEMEI PROFESSORA LINDOMAR DOMINGOS DA SILVA ANJOS</v>
      </c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96"/>
    </row>
    <row r="88" ht="15.75" customHeight="1">
      <c r="A88" s="77"/>
      <c r="B88" s="77" t="str">
        <f>IFERROR(__xludf.DUMMYFUNCTION("""COMPUTED_VALUE"""),"29/06/2026 09:11:46")</f>
        <v>29/06/2026 09:11:46</v>
      </c>
      <c r="C88" s="83" t="str">
        <f>IFERROR(__xludf.DUMMYFUNCTION("""COMPUTED_VALUE"""),"32")</f>
        <v>32</v>
      </c>
      <c r="D88" s="77" t="str">
        <f>IFERROR(__xludf.DUMMYFUNCTION("""COMPUTED_VALUE"""),"K. R. B. D. S")</f>
        <v>K. R. B. D. S</v>
      </c>
      <c r="E88" s="77" t="str">
        <f>IFERROR(__xludf.DUMMYFUNCTION("""COMPUTED_VALUE"""),"16/02/2024")</f>
        <v>16/02/2024</v>
      </c>
      <c r="F88" s="77" t="str">
        <f>IFERROR(__xludf.DUMMYFUNCTION("""COMPUTED_VALUE"""),"001******30")</f>
        <v>001******30</v>
      </c>
      <c r="G88" s="77" t="str">
        <f>IFERROR(__xludf.DUMMYFUNCTION("""COMPUTED_VALUE"""),"INFANTIL 2")</f>
        <v>INFANTIL 2</v>
      </c>
      <c r="H88" s="97" t="str">
        <f>IFERROR(__xludf.DUMMYFUNCTION("""COMPUTED_VALUE"""),"CEMEI PROFESSORA LINDOMAR DOMINGOS DA SILVA ANJOS")</f>
        <v>CEMEI PROFESSORA LINDOMAR DOMINGOS DA SILVA ANJOS</v>
      </c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96"/>
    </row>
    <row r="89" ht="15.75" customHeight="1">
      <c r="A89" s="77"/>
      <c r="B89" s="77" t="str">
        <f>IFERROR(__xludf.DUMMYFUNCTION("""COMPUTED_VALUE"""),"28/01/2026 08:09:51")</f>
        <v>28/01/2026 08:09:51</v>
      </c>
      <c r="C89" s="83" t="str">
        <f>IFERROR(__xludf.DUMMYFUNCTION("""COMPUTED_VALUE"""),"1")</f>
        <v>1</v>
      </c>
      <c r="D89" s="77" t="str">
        <f>IFERROR(__xludf.DUMMYFUNCTION("""COMPUTED_VALUE"""),"J. V. M. D. S. S")</f>
        <v>J. V. M. D. S. S</v>
      </c>
      <c r="E89" s="77" t="str">
        <f>IFERROR(__xludf.DUMMYFUNCTION("""COMPUTED_VALUE"""),"11/08/2022")</f>
        <v>11/08/2022</v>
      </c>
      <c r="F89" s="77" t="str">
        <f>IFERROR(__xludf.DUMMYFUNCTION("""COMPUTED_VALUE"""),"182******05")</f>
        <v>182******05</v>
      </c>
      <c r="G89" s="77" t="str">
        <f>IFERROR(__xludf.DUMMYFUNCTION("""COMPUTED_VALUE"""),"INFANTIL 3")</f>
        <v>INFANTIL 3</v>
      </c>
      <c r="H89" s="97" t="str">
        <f>IFERROR(__xludf.DUMMYFUNCTION("""COMPUTED_VALUE"""),"CEMEI PROFESSORA LINDOMAR DOMINGOS DA SILVA ANJOS")</f>
        <v>CEMEI PROFESSORA LINDOMAR DOMINGOS DA SILVA ANJOS</v>
      </c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96"/>
    </row>
    <row r="90" ht="15.75" customHeight="1">
      <c r="A90" s="77"/>
      <c r="B90" s="77" t="str">
        <f>IFERROR(__xludf.DUMMYFUNCTION("""COMPUTED_VALUE"""),"28/01/2026 08:18:50")</f>
        <v>28/01/2026 08:18:50</v>
      </c>
      <c r="C90" s="83" t="str">
        <f>IFERROR(__xludf.DUMMYFUNCTION("""COMPUTED_VALUE"""),"2")</f>
        <v>2</v>
      </c>
      <c r="D90" s="77" t="str">
        <f>IFERROR(__xludf.DUMMYFUNCTION("""COMPUTED_VALUE"""),"T. S. A. S")</f>
        <v>T. S. A. S</v>
      </c>
      <c r="E90" s="77" t="str">
        <f>IFERROR(__xludf.DUMMYFUNCTION("""COMPUTED_VALUE"""),"25/06/2022")</f>
        <v>25/06/2022</v>
      </c>
      <c r="F90" s="77" t="str">
        <f>IFERROR(__xludf.DUMMYFUNCTION("""COMPUTED_VALUE"""),"182******52")</f>
        <v>182******52</v>
      </c>
      <c r="G90" s="77" t="str">
        <f>IFERROR(__xludf.DUMMYFUNCTION("""COMPUTED_VALUE"""),"INFANTIL 3")</f>
        <v>INFANTIL 3</v>
      </c>
      <c r="H90" s="97" t="str">
        <f>IFERROR(__xludf.DUMMYFUNCTION("""COMPUTED_VALUE"""),"CEMEI PROFESSORA LINDOMAR DOMINGOS DA SILVA ANJOS")</f>
        <v>CEMEI PROFESSORA LINDOMAR DOMINGOS DA SILVA ANJOS</v>
      </c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96"/>
    </row>
    <row r="91" ht="15.75" customHeight="1">
      <c r="A91" s="77"/>
      <c r="B91" s="77" t="str">
        <f>IFERROR(__xludf.DUMMYFUNCTION("""COMPUTED_VALUE"""),"28/01/2026 08:24:51")</f>
        <v>28/01/2026 08:24:51</v>
      </c>
      <c r="C91" s="83" t="str">
        <f>IFERROR(__xludf.DUMMYFUNCTION("""COMPUTED_VALUE"""),"3")</f>
        <v>3</v>
      </c>
      <c r="D91" s="77" t="str">
        <f>IFERROR(__xludf.DUMMYFUNCTION("""COMPUTED_VALUE"""),"K. L. V. D. S")</f>
        <v>K. L. V. D. S</v>
      </c>
      <c r="E91" s="77" t="str">
        <f>IFERROR(__xludf.DUMMYFUNCTION("""COMPUTED_VALUE"""),"14/01/2023")</f>
        <v>14/01/2023</v>
      </c>
      <c r="F91" s="77" t="str">
        <f>IFERROR(__xludf.DUMMYFUNCTION("""COMPUTED_VALUE"""),"184******86")</f>
        <v>184******86</v>
      </c>
      <c r="G91" s="77" t="str">
        <f>IFERROR(__xludf.DUMMYFUNCTION("""COMPUTED_VALUE"""),"INFANTIL 3")</f>
        <v>INFANTIL 3</v>
      </c>
      <c r="H91" s="97" t="str">
        <f>IFERROR(__xludf.DUMMYFUNCTION("""COMPUTED_VALUE"""),"CEMEI PROFESSORA LINDOMAR DOMINGOS DA SILVA ANJOS")</f>
        <v>CEMEI PROFESSORA LINDOMAR DOMINGOS DA SILVA ANJOS</v>
      </c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96"/>
    </row>
    <row r="92" ht="15.75" customHeight="1">
      <c r="A92" s="77"/>
      <c r="B92" s="77" t="str">
        <f>IFERROR(__xludf.DUMMYFUNCTION("""COMPUTED_VALUE"""),"28/01/2026 08:40:24")</f>
        <v>28/01/2026 08:40:24</v>
      </c>
      <c r="C92" s="83" t="str">
        <f>IFERROR(__xludf.DUMMYFUNCTION("""COMPUTED_VALUE"""),"4")</f>
        <v>4</v>
      </c>
      <c r="D92" s="77" t="str">
        <f>IFERROR(__xludf.DUMMYFUNCTION("""COMPUTED_VALUE"""),"A. H. D. O. S")</f>
        <v>A. H. D. O. S</v>
      </c>
      <c r="E92" s="77" t="str">
        <f>IFERROR(__xludf.DUMMYFUNCTION("""COMPUTED_VALUE"""),"16/05/2022")</f>
        <v>16/05/2022</v>
      </c>
      <c r="F92" s="77" t="str">
        <f>IFERROR(__xludf.DUMMYFUNCTION("""COMPUTED_VALUE"""),"181******57")</f>
        <v>181******57</v>
      </c>
      <c r="G92" s="77" t="str">
        <f>IFERROR(__xludf.DUMMYFUNCTION("""COMPUTED_VALUE"""),"INFANTIL 3")</f>
        <v>INFANTIL 3</v>
      </c>
      <c r="H92" s="97" t="str">
        <f>IFERROR(__xludf.DUMMYFUNCTION("""COMPUTED_VALUE"""),"CEMEI PROFESSORA LINDOMAR DOMINGOS DA SILVA ANJOS")</f>
        <v>CEMEI PROFESSORA LINDOMAR DOMINGOS DA SILVA ANJOS</v>
      </c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96"/>
    </row>
    <row r="93" ht="15.75" customHeight="1">
      <c r="A93" s="77"/>
      <c r="B93" s="77" t="str">
        <f>IFERROR(__xludf.DUMMYFUNCTION("""COMPUTED_VALUE"""),"28/01/2026 08:49:30")</f>
        <v>28/01/2026 08:49:30</v>
      </c>
      <c r="C93" s="83" t="str">
        <f>IFERROR(__xludf.DUMMYFUNCTION("""COMPUTED_VALUE"""),"5")</f>
        <v>5</v>
      </c>
      <c r="D93" s="77" t="str">
        <f>IFERROR(__xludf.DUMMYFUNCTION("""COMPUTED_VALUE"""),"J. B. S. D. S")</f>
        <v>J. B. S. D. S</v>
      </c>
      <c r="E93" s="77" t="str">
        <f>IFERROR(__xludf.DUMMYFUNCTION("""COMPUTED_VALUE"""),"06/03/2023")</f>
        <v>06/03/2023</v>
      </c>
      <c r="F93" s="77" t="str">
        <f>IFERROR(__xludf.DUMMYFUNCTION("""COMPUTED_VALUE"""),"184******70")</f>
        <v>184******70</v>
      </c>
      <c r="G93" s="77" t="str">
        <f>IFERROR(__xludf.DUMMYFUNCTION("""COMPUTED_VALUE"""),"INFANTIL 3")</f>
        <v>INFANTIL 3</v>
      </c>
      <c r="H93" s="97" t="str">
        <f>IFERROR(__xludf.DUMMYFUNCTION("""COMPUTED_VALUE"""),"CEMEI PROFESSORA LINDOMAR DOMINGOS DA SILVA ANJOS")</f>
        <v>CEMEI PROFESSORA LINDOMAR DOMINGOS DA SILVA ANJOS</v>
      </c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96"/>
    </row>
    <row r="94" ht="15.75" customHeight="1">
      <c r="A94" s="77"/>
      <c r="B94" s="77" t="str">
        <f>IFERROR(__xludf.DUMMYFUNCTION("""COMPUTED_VALUE"""),"28/01/2026 10:50:39")</f>
        <v>28/01/2026 10:50:39</v>
      </c>
      <c r="C94" s="83" t="str">
        <f>IFERROR(__xludf.DUMMYFUNCTION("""COMPUTED_VALUE"""),"6")</f>
        <v>6</v>
      </c>
      <c r="D94" s="77" t="str">
        <f>IFERROR(__xludf.DUMMYFUNCTION("""COMPUTED_VALUE"""),"G. S. R")</f>
        <v>G. S. R</v>
      </c>
      <c r="E94" s="77" t="str">
        <f>IFERROR(__xludf.DUMMYFUNCTION("""COMPUTED_VALUE"""),"14/04/2022")</f>
        <v>14/04/2022</v>
      </c>
      <c r="F94" s="77" t="str">
        <f>IFERROR(__xludf.DUMMYFUNCTION("""COMPUTED_VALUE"""),"181******84")</f>
        <v>181******84</v>
      </c>
      <c r="G94" s="77" t="str">
        <f>IFERROR(__xludf.DUMMYFUNCTION("""COMPUTED_VALUE"""),"INFANTIL 3")</f>
        <v>INFANTIL 3</v>
      </c>
      <c r="H94" s="77" t="str">
        <f>IFERROR(__xludf.DUMMYFUNCTION("""COMPUTED_VALUE"""),"CEMEI PROFESSORA LINDOMAR DOMINGOS DA SILVA ANJOS")</f>
        <v>CEMEI PROFESSORA LINDOMAR DOMINGOS DA SILVA ANJOS</v>
      </c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96"/>
    </row>
    <row r="95" ht="15.75" customHeight="1">
      <c r="A95" s="77"/>
      <c r="B95" s="77" t="str">
        <f>IFERROR(__xludf.DUMMYFUNCTION("""COMPUTED_VALUE"""),"28/01/2026 15:27:57")</f>
        <v>28/01/2026 15:27:57</v>
      </c>
      <c r="C95" s="83" t="str">
        <f>IFERROR(__xludf.DUMMYFUNCTION("""COMPUTED_VALUE"""),"7")</f>
        <v>7</v>
      </c>
      <c r="D95" s="77" t="str">
        <f>IFERROR(__xludf.DUMMYFUNCTION("""COMPUTED_VALUE"""),"A. B. N. D. S")</f>
        <v>A. B. N. D. S</v>
      </c>
      <c r="E95" s="77" t="str">
        <f>IFERROR(__xludf.DUMMYFUNCTION("""COMPUTED_VALUE"""),"19/04/2022")</f>
        <v>19/04/2022</v>
      </c>
      <c r="F95" s="77" t="str">
        <f>IFERROR(__xludf.DUMMYFUNCTION("""COMPUTED_VALUE"""),"181******03")</f>
        <v>181******03</v>
      </c>
      <c r="G95" s="77" t="str">
        <f>IFERROR(__xludf.DUMMYFUNCTION("""COMPUTED_VALUE"""),"INFANTIL 3")</f>
        <v>INFANTIL 3</v>
      </c>
      <c r="H95" s="77" t="str">
        <f>IFERROR(__xludf.DUMMYFUNCTION("""COMPUTED_VALUE"""),"CEMEI PROFESSORA LINDOMAR DOMINGOS DA SILVA ANJOS")</f>
        <v>CEMEI PROFESSORA LINDOMAR DOMINGOS DA SILVA ANJOS</v>
      </c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96"/>
    </row>
    <row r="96" ht="15.75" customHeight="1">
      <c r="A96" s="77"/>
      <c r="B96" s="77" t="str">
        <f>IFERROR(__xludf.DUMMYFUNCTION("""COMPUTED_VALUE"""),"28/01/2026 16:26:14")</f>
        <v>28/01/2026 16:26:14</v>
      </c>
      <c r="C96" s="83" t="str">
        <f>IFERROR(__xludf.DUMMYFUNCTION("""COMPUTED_VALUE"""),"8")</f>
        <v>8</v>
      </c>
      <c r="D96" s="77" t="str">
        <f>IFERROR(__xludf.DUMMYFUNCTION("""COMPUTED_VALUE"""),"A. T. S. D. S")</f>
        <v>A. T. S. D. S</v>
      </c>
      <c r="E96" s="77" t="str">
        <f>IFERROR(__xludf.DUMMYFUNCTION("""COMPUTED_VALUE"""),"13/12/2022")</f>
        <v>13/12/2022</v>
      </c>
      <c r="F96" s="77" t="str">
        <f>IFERROR(__xludf.DUMMYFUNCTION("""COMPUTED_VALUE"""),"184******30")</f>
        <v>184******30</v>
      </c>
      <c r="G96" s="77" t="str">
        <f>IFERROR(__xludf.DUMMYFUNCTION("""COMPUTED_VALUE"""),"INFANTIL 3")</f>
        <v>INFANTIL 3</v>
      </c>
      <c r="H96" s="77" t="str">
        <f>IFERROR(__xludf.DUMMYFUNCTION("""COMPUTED_VALUE"""),"CEMEI PROFESSORA LINDOMAR DOMINGOS DA SILVA ANJOS")</f>
        <v>CEMEI PROFESSORA LINDOMAR DOMINGOS DA SILVA ANJOS</v>
      </c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96"/>
    </row>
    <row r="97" ht="15.75" customHeight="1">
      <c r="A97" s="77"/>
      <c r="B97" s="77" t="str">
        <f>IFERROR(__xludf.DUMMYFUNCTION("""COMPUTED_VALUE"""),"28/01/2026 22:31:23")</f>
        <v>28/01/2026 22:31:23</v>
      </c>
      <c r="C97" s="83" t="str">
        <f>IFERROR(__xludf.DUMMYFUNCTION("""COMPUTED_VALUE"""),"9")</f>
        <v>9</v>
      </c>
      <c r="D97" s="77" t="str">
        <f>IFERROR(__xludf.DUMMYFUNCTION("""COMPUTED_VALUE"""),"L. M. D. H. S")</f>
        <v>L. M. D. H. S</v>
      </c>
      <c r="E97" s="77" t="str">
        <f>IFERROR(__xludf.DUMMYFUNCTION("""COMPUTED_VALUE"""),"26/12/2022")</f>
        <v>26/12/2022</v>
      </c>
      <c r="F97" s="77" t="str">
        <f>IFERROR(__xludf.DUMMYFUNCTION("""COMPUTED_VALUE"""),"184******90")</f>
        <v>184******90</v>
      </c>
      <c r="G97" s="77" t="str">
        <f>IFERROR(__xludf.DUMMYFUNCTION("""COMPUTED_VALUE"""),"INFANTIL 3")</f>
        <v>INFANTIL 3</v>
      </c>
      <c r="H97" s="77" t="str">
        <f>IFERROR(__xludf.DUMMYFUNCTION("""COMPUTED_VALUE"""),"CEMEI PROFESSORA LINDOMAR DOMINGOS DA SILVA ANJOS")</f>
        <v>CEMEI PROFESSORA LINDOMAR DOMINGOS DA SILVA ANJOS</v>
      </c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96"/>
    </row>
    <row r="98" ht="15.75" customHeight="1">
      <c r="A98" s="77"/>
      <c r="B98" s="77" t="str">
        <f>IFERROR(__xludf.DUMMYFUNCTION("""COMPUTED_VALUE"""),"29/01/2026 13:04:58")</f>
        <v>29/01/2026 13:04:58</v>
      </c>
      <c r="C98" s="83" t="str">
        <f>IFERROR(__xludf.DUMMYFUNCTION("""COMPUTED_VALUE"""),"10")</f>
        <v>10</v>
      </c>
      <c r="D98" s="77" t="str">
        <f>IFERROR(__xludf.DUMMYFUNCTION("""COMPUTED_VALUE"""),"G. A. G. D. S")</f>
        <v>G. A. G. D. S</v>
      </c>
      <c r="E98" s="77" t="str">
        <f>IFERROR(__xludf.DUMMYFUNCTION("""COMPUTED_VALUE"""),"19/02/2023")</f>
        <v>19/02/2023</v>
      </c>
      <c r="F98" s="77" t="str">
        <f>IFERROR(__xludf.DUMMYFUNCTION("""COMPUTED_VALUE"""),"184******99")</f>
        <v>184******99</v>
      </c>
      <c r="G98" s="77" t="str">
        <f>IFERROR(__xludf.DUMMYFUNCTION("""COMPUTED_VALUE"""),"INFANTIL 3")</f>
        <v>INFANTIL 3</v>
      </c>
      <c r="H98" s="77" t="str">
        <f>IFERROR(__xludf.DUMMYFUNCTION("""COMPUTED_VALUE"""),"CEMEI PROFESSORA LINDOMAR DOMINGOS DA SILVA ANJOS")</f>
        <v>CEMEI PROFESSORA LINDOMAR DOMINGOS DA SILVA ANJOS</v>
      </c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96"/>
    </row>
    <row r="99" ht="15.75" customHeight="1">
      <c r="A99" s="77"/>
      <c r="B99" s="77" t="str">
        <f>IFERROR(__xludf.DUMMYFUNCTION("""COMPUTED_VALUE"""),"29/01/2026 14:26:01")</f>
        <v>29/01/2026 14:26:01</v>
      </c>
      <c r="C99" s="83" t="str">
        <f>IFERROR(__xludf.DUMMYFUNCTION("""COMPUTED_VALUE"""),"11")</f>
        <v>11</v>
      </c>
      <c r="D99" s="77" t="str">
        <f>IFERROR(__xludf.DUMMYFUNCTION("""COMPUTED_VALUE"""),"I. M. C. G")</f>
        <v>I. M. C. G</v>
      </c>
      <c r="E99" s="77" t="str">
        <f>IFERROR(__xludf.DUMMYFUNCTION("""COMPUTED_VALUE"""),"18/02/2023")</f>
        <v>18/02/2023</v>
      </c>
      <c r="F99" s="77" t="str">
        <f>IFERROR(__xludf.DUMMYFUNCTION("""COMPUTED_VALUE"""),"185******45")</f>
        <v>185******45</v>
      </c>
      <c r="G99" s="77" t="str">
        <f>IFERROR(__xludf.DUMMYFUNCTION("""COMPUTED_VALUE"""),"INFANTIL 3")</f>
        <v>INFANTIL 3</v>
      </c>
      <c r="H99" s="77" t="str">
        <f>IFERROR(__xludf.DUMMYFUNCTION("""COMPUTED_VALUE"""),"CEMEI PROFESSORA LINDOMAR DOMINGOS DA SILVA ANJOS")</f>
        <v>CEMEI PROFESSORA LINDOMAR DOMINGOS DA SILVA ANJOS</v>
      </c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96"/>
    </row>
    <row r="100" ht="15.75" customHeight="1">
      <c r="A100" s="77"/>
      <c r="B100" s="77" t="str">
        <f>IFERROR(__xludf.DUMMYFUNCTION("""COMPUTED_VALUE"""),"01/02/2026 17:23:13")</f>
        <v>01/02/2026 17:23:13</v>
      </c>
      <c r="C100" s="83" t="str">
        <f>IFERROR(__xludf.DUMMYFUNCTION("""COMPUTED_VALUE"""),"12")</f>
        <v>12</v>
      </c>
      <c r="D100" s="77" t="str">
        <f>IFERROR(__xludf.DUMMYFUNCTION("""COMPUTED_VALUE"""),"T. H. G. D. S")</f>
        <v>T. H. G. D. S</v>
      </c>
      <c r="E100" s="77" t="str">
        <f>IFERROR(__xludf.DUMMYFUNCTION("""COMPUTED_VALUE"""),"18/07/2022")</f>
        <v>18/07/2022</v>
      </c>
      <c r="F100" s="77" t="str">
        <f>IFERROR(__xludf.DUMMYFUNCTION("""COMPUTED_VALUE"""),"182******13")</f>
        <v>182******13</v>
      </c>
      <c r="G100" s="77" t="str">
        <f>IFERROR(__xludf.DUMMYFUNCTION("""COMPUTED_VALUE"""),"INFANTIL 3")</f>
        <v>INFANTIL 3</v>
      </c>
      <c r="H100" s="77" t="str">
        <f>IFERROR(__xludf.DUMMYFUNCTION("""COMPUTED_VALUE"""),"CEMEI PROFESSORA LINDOMAR DOMINGOS DA SILVA ANJOS")</f>
        <v>CEMEI PROFESSORA LINDOMAR DOMINGOS DA SILVA ANJOS</v>
      </c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96"/>
    </row>
    <row r="101" ht="15.75" customHeight="1">
      <c r="A101" s="77"/>
      <c r="B101" s="77" t="str">
        <f>IFERROR(__xludf.DUMMYFUNCTION("""COMPUTED_VALUE"""),"02/02/2026 08:52:36")</f>
        <v>02/02/2026 08:52:36</v>
      </c>
      <c r="C101" s="83" t="str">
        <f>IFERROR(__xludf.DUMMYFUNCTION("""COMPUTED_VALUE"""),"13")</f>
        <v>13</v>
      </c>
      <c r="D101" s="77" t="str">
        <f>IFERROR(__xludf.DUMMYFUNCTION("""COMPUTED_VALUE"""),"N. S. N")</f>
        <v>N. S. N</v>
      </c>
      <c r="E101" s="77" t="str">
        <f>IFERROR(__xludf.DUMMYFUNCTION("""COMPUTED_VALUE"""),"20/09/2022")</f>
        <v>20/09/2022</v>
      </c>
      <c r="F101" s="77" t="str">
        <f>IFERROR(__xludf.DUMMYFUNCTION("""COMPUTED_VALUE"""),"231******48")</f>
        <v>231******48</v>
      </c>
      <c r="G101" s="77" t="str">
        <f>IFERROR(__xludf.DUMMYFUNCTION("""COMPUTED_VALUE"""),"INFANTIL 3")</f>
        <v>INFANTIL 3</v>
      </c>
      <c r="H101" s="77" t="str">
        <f>IFERROR(__xludf.DUMMYFUNCTION("""COMPUTED_VALUE"""),"CEMEI PROFESSORA LINDOMAR DOMINGOS DA SILVA ANJOS")</f>
        <v>CEMEI PROFESSORA LINDOMAR DOMINGOS DA SILVA ANJOS</v>
      </c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96"/>
    </row>
    <row r="102" ht="15.75" customHeight="1">
      <c r="A102" s="77"/>
      <c r="B102" s="77" t="str">
        <f>IFERROR(__xludf.DUMMYFUNCTION("""COMPUTED_VALUE"""),"04/02/2026 14:48:24")</f>
        <v>04/02/2026 14:48:24</v>
      </c>
      <c r="C102" s="83" t="str">
        <f>IFERROR(__xludf.DUMMYFUNCTION("""COMPUTED_VALUE"""),"14")</f>
        <v>14</v>
      </c>
      <c r="D102" s="77" t="str">
        <f>IFERROR(__xludf.DUMMYFUNCTION("""COMPUTED_VALUE"""),"R. L. A. D. S")</f>
        <v>R. L. A. D. S</v>
      </c>
      <c r="E102" s="77" t="str">
        <f>IFERROR(__xludf.DUMMYFUNCTION("""COMPUTED_VALUE"""),"06/03/2023")</f>
        <v>06/03/2023</v>
      </c>
      <c r="F102" s="77" t="str">
        <f>IFERROR(__xludf.DUMMYFUNCTION("""COMPUTED_VALUE"""),"184******04")</f>
        <v>184******04</v>
      </c>
      <c r="G102" s="77" t="str">
        <f>IFERROR(__xludf.DUMMYFUNCTION("""COMPUTED_VALUE"""),"INFANTIL 3")</f>
        <v>INFANTIL 3</v>
      </c>
      <c r="H102" s="77" t="str">
        <f>IFERROR(__xludf.DUMMYFUNCTION("""COMPUTED_VALUE"""),"CEMEI PROFESSORA LINDOMAR DOMINGOS DA SILVA ANJOS")</f>
        <v>CEMEI PROFESSORA LINDOMAR DOMINGOS DA SILVA ANJOS</v>
      </c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96"/>
    </row>
    <row r="103" ht="15.75" customHeight="1">
      <c r="A103" s="77"/>
      <c r="B103" s="77" t="str">
        <f>IFERROR(__xludf.DUMMYFUNCTION("""COMPUTED_VALUE"""),"05/02/2026 15:38:25")</f>
        <v>05/02/2026 15:38:25</v>
      </c>
      <c r="C103" s="83" t="str">
        <f>IFERROR(__xludf.DUMMYFUNCTION("""COMPUTED_VALUE"""),"15")</f>
        <v>15</v>
      </c>
      <c r="D103" s="77" t="str">
        <f>IFERROR(__xludf.DUMMYFUNCTION("""COMPUTED_VALUE"""),"A. L. M. S. D. S")</f>
        <v>A. L. M. S. D. S</v>
      </c>
      <c r="E103" s="77" t="str">
        <f>IFERROR(__xludf.DUMMYFUNCTION("""COMPUTED_VALUE"""),"13/06/2022")</f>
        <v>13/06/2022</v>
      </c>
      <c r="F103" s="77" t="str">
        <f>IFERROR(__xludf.DUMMYFUNCTION("""COMPUTED_VALUE"""),"181******47")</f>
        <v>181******47</v>
      </c>
      <c r="G103" s="77" t="str">
        <f>IFERROR(__xludf.DUMMYFUNCTION("""COMPUTED_VALUE"""),"INFANTIL 3")</f>
        <v>INFANTIL 3</v>
      </c>
      <c r="H103" s="77" t="str">
        <f>IFERROR(__xludf.DUMMYFUNCTION("""COMPUTED_VALUE"""),"CEMEI PROFESSORA LINDOMAR DOMINGOS DA SILVA ANJOS")</f>
        <v>CEMEI PROFESSORA LINDOMAR DOMINGOS DA SILVA ANJOS</v>
      </c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96"/>
    </row>
    <row r="104" ht="15.75" customHeight="1">
      <c r="A104" s="77"/>
      <c r="B104" s="77" t="str">
        <f>IFERROR(__xludf.DUMMYFUNCTION("""COMPUTED_VALUE"""),"06/02/2026 15:36:56")</f>
        <v>06/02/2026 15:36:56</v>
      </c>
      <c r="C104" s="83" t="str">
        <f>IFERROR(__xludf.DUMMYFUNCTION("""COMPUTED_VALUE"""),"16")</f>
        <v>16</v>
      </c>
      <c r="D104" s="77" t="str">
        <f>IFERROR(__xludf.DUMMYFUNCTION("""COMPUTED_VALUE"""),"M. B. D. S")</f>
        <v>M. B. D. S</v>
      </c>
      <c r="E104" s="77" t="str">
        <f>IFERROR(__xludf.DUMMYFUNCTION("""COMPUTED_VALUE"""),"13/11/2022")</f>
        <v>13/11/2022</v>
      </c>
      <c r="F104" s="77" t="str">
        <f>IFERROR(__xludf.DUMMYFUNCTION("""COMPUTED_VALUE"""),"183******21")</f>
        <v>183******21</v>
      </c>
      <c r="G104" s="77" t="str">
        <f>IFERROR(__xludf.DUMMYFUNCTION("""COMPUTED_VALUE"""),"INFANTIL 3")</f>
        <v>INFANTIL 3</v>
      </c>
      <c r="H104" s="77" t="str">
        <f>IFERROR(__xludf.DUMMYFUNCTION("""COMPUTED_VALUE"""),"CEMEI PROFESSORA LINDOMAR DOMINGOS DA SILVA ANJOS")</f>
        <v>CEMEI PROFESSORA LINDOMAR DOMINGOS DA SILVA ANJOS</v>
      </c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96"/>
    </row>
    <row r="105" ht="15.75" customHeight="1">
      <c r="A105" s="77"/>
      <c r="B105" s="77" t="str">
        <f>IFERROR(__xludf.DUMMYFUNCTION("""COMPUTED_VALUE"""),"10/02/2026 09:04:52")</f>
        <v>10/02/2026 09:04:52</v>
      </c>
      <c r="C105" s="83" t="str">
        <f>IFERROR(__xludf.DUMMYFUNCTION("""COMPUTED_VALUE"""),"17")</f>
        <v>17</v>
      </c>
      <c r="D105" s="77" t="str">
        <f>IFERROR(__xludf.DUMMYFUNCTION("""COMPUTED_VALUE"""),"A. C. M. S. D. S")</f>
        <v>A. C. M. S. D. S</v>
      </c>
      <c r="E105" s="77" t="str">
        <f>IFERROR(__xludf.DUMMYFUNCTION("""COMPUTED_VALUE"""),"13/06/2022")</f>
        <v>13/06/2022</v>
      </c>
      <c r="F105" s="77" t="str">
        <f>IFERROR(__xludf.DUMMYFUNCTION("""COMPUTED_VALUE"""),"181******43")</f>
        <v>181******43</v>
      </c>
      <c r="G105" s="77" t="str">
        <f>IFERROR(__xludf.DUMMYFUNCTION("""COMPUTED_VALUE"""),"INFANTIL 3")</f>
        <v>INFANTIL 3</v>
      </c>
      <c r="H105" s="77" t="str">
        <f>IFERROR(__xludf.DUMMYFUNCTION("""COMPUTED_VALUE"""),"CEMEI PROFESSORA LINDOMAR DOMINGOS DA SILVA ANJOS")</f>
        <v>CEMEI PROFESSORA LINDOMAR DOMINGOS DA SILVA ANJOS</v>
      </c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96"/>
    </row>
    <row r="106" ht="15.75" customHeight="1">
      <c r="A106" s="77"/>
      <c r="B106" s="77" t="str">
        <f>IFERROR(__xludf.DUMMYFUNCTION("""COMPUTED_VALUE"""),"10/02/2026 10:01:04")</f>
        <v>10/02/2026 10:01:04</v>
      </c>
      <c r="C106" s="83" t="str">
        <f>IFERROR(__xludf.DUMMYFUNCTION("""COMPUTED_VALUE"""),"18")</f>
        <v>18</v>
      </c>
      <c r="D106" s="77" t="str">
        <f>IFERROR(__xludf.DUMMYFUNCTION("""COMPUTED_VALUE"""),"R. V. D. S. M")</f>
        <v>R. V. D. S. M</v>
      </c>
      <c r="E106" s="77" t="str">
        <f>IFERROR(__xludf.DUMMYFUNCTION("""COMPUTED_VALUE"""),"22/08/2022")</f>
        <v>22/08/2022</v>
      </c>
      <c r="F106" s="77" t="str">
        <f>IFERROR(__xludf.DUMMYFUNCTION("""COMPUTED_VALUE"""),"182******47")</f>
        <v>182******47</v>
      </c>
      <c r="G106" s="77" t="str">
        <f>IFERROR(__xludf.DUMMYFUNCTION("""COMPUTED_VALUE"""),"INFANTIL 3")</f>
        <v>INFANTIL 3</v>
      </c>
      <c r="H106" s="77" t="str">
        <f>IFERROR(__xludf.DUMMYFUNCTION("""COMPUTED_VALUE"""),"CEMEI PROFESSORA LINDOMAR DOMINGOS DA SILVA ANJOS")</f>
        <v>CEMEI PROFESSORA LINDOMAR DOMINGOS DA SILVA ANJOS</v>
      </c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96"/>
    </row>
    <row r="107" ht="15.75" customHeight="1">
      <c r="A107" s="77"/>
      <c r="B107" s="77" t="str">
        <f>IFERROR(__xludf.DUMMYFUNCTION("""COMPUTED_VALUE"""),"19/02/2026 09:51:04")</f>
        <v>19/02/2026 09:51:04</v>
      </c>
      <c r="C107" s="83" t="str">
        <f>IFERROR(__xludf.DUMMYFUNCTION("""COMPUTED_VALUE"""),"19")</f>
        <v>19</v>
      </c>
      <c r="D107" s="77" t="str">
        <f>IFERROR(__xludf.DUMMYFUNCTION("""COMPUTED_VALUE"""),"A. L. B. S")</f>
        <v>A. L. B. S</v>
      </c>
      <c r="E107" s="77" t="str">
        <f>IFERROR(__xludf.DUMMYFUNCTION("""COMPUTED_VALUE"""),"28/08/2022")</f>
        <v>28/08/2022</v>
      </c>
      <c r="F107" s="77" t="str">
        <f>IFERROR(__xludf.DUMMYFUNCTION("""COMPUTED_VALUE"""),"183******41")</f>
        <v>183******41</v>
      </c>
      <c r="G107" s="77" t="str">
        <f>IFERROR(__xludf.DUMMYFUNCTION("""COMPUTED_VALUE"""),"INFANTIL 3")</f>
        <v>INFANTIL 3</v>
      </c>
      <c r="H107" s="77" t="str">
        <f>IFERROR(__xludf.DUMMYFUNCTION("""COMPUTED_VALUE"""),"CEMEI PROFESSORA LINDOMAR DOMINGOS DA SILVA ANJOS")</f>
        <v>CEMEI PROFESSORA LINDOMAR DOMINGOS DA SILVA ANJOS</v>
      </c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96"/>
    </row>
    <row r="108" ht="15.75" customHeight="1">
      <c r="A108" s="77"/>
      <c r="B108" s="77" t="str">
        <f>IFERROR(__xludf.DUMMYFUNCTION("""COMPUTED_VALUE"""),"19/02/2026 16:10:29")</f>
        <v>19/02/2026 16:10:29</v>
      </c>
      <c r="C108" s="83" t="str">
        <f>IFERROR(__xludf.DUMMYFUNCTION("""COMPUTED_VALUE"""),"20")</f>
        <v>20</v>
      </c>
      <c r="D108" s="77" t="str">
        <f>IFERROR(__xludf.DUMMYFUNCTION("""COMPUTED_VALUE"""),"L. F. L")</f>
        <v>L. F. L</v>
      </c>
      <c r="E108" s="77" t="str">
        <f>IFERROR(__xludf.DUMMYFUNCTION("""COMPUTED_VALUE"""),"19/07/2022")</f>
        <v>19/07/2022</v>
      </c>
      <c r="F108" s="77" t="str">
        <f>IFERROR(__xludf.DUMMYFUNCTION("""COMPUTED_VALUE"""),"182******54")</f>
        <v>182******54</v>
      </c>
      <c r="G108" s="77" t="str">
        <f>IFERROR(__xludf.DUMMYFUNCTION("""COMPUTED_VALUE"""),"INFANTIL 3")</f>
        <v>INFANTIL 3</v>
      </c>
      <c r="H108" s="77" t="str">
        <f>IFERROR(__xludf.DUMMYFUNCTION("""COMPUTED_VALUE"""),"CEMEI PROFESSORA LINDOMAR DOMINGOS DA SILVA ANJOS")</f>
        <v>CEMEI PROFESSORA LINDOMAR DOMINGOS DA SILVA ANJOS</v>
      </c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96"/>
    </row>
    <row r="109" ht="15.75" customHeight="1">
      <c r="A109" s="77"/>
      <c r="B109" s="77" t="str">
        <f>IFERROR(__xludf.DUMMYFUNCTION("""COMPUTED_VALUE"""),"03/03/2026 13:51:57")</f>
        <v>03/03/2026 13:51:57</v>
      </c>
      <c r="C109" s="83" t="str">
        <f>IFERROR(__xludf.DUMMYFUNCTION("""COMPUTED_VALUE"""),"21")</f>
        <v>21</v>
      </c>
      <c r="D109" s="77" t="str">
        <f>IFERROR(__xludf.DUMMYFUNCTION("""COMPUTED_VALUE"""),"T. R. D. D. M")</f>
        <v>T. R. D. D. M</v>
      </c>
      <c r="E109" s="77" t="str">
        <f>IFERROR(__xludf.DUMMYFUNCTION("""COMPUTED_VALUE"""),"15/03/2023")</f>
        <v>15/03/2023</v>
      </c>
      <c r="F109" s="77" t="str">
        <f>IFERROR(__xludf.DUMMYFUNCTION("""COMPUTED_VALUE"""),"184******07")</f>
        <v>184******07</v>
      </c>
      <c r="G109" s="77" t="str">
        <f>IFERROR(__xludf.DUMMYFUNCTION("""COMPUTED_VALUE"""),"INFANTIL 3")</f>
        <v>INFANTIL 3</v>
      </c>
      <c r="H109" s="77" t="str">
        <f>IFERROR(__xludf.DUMMYFUNCTION("""COMPUTED_VALUE"""),"CEMEI PROFESSORA LINDOMAR DOMINGOS DA SILVA ANJOS")</f>
        <v>CEMEI PROFESSORA LINDOMAR DOMINGOS DA SILVA ANJOS</v>
      </c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96"/>
    </row>
    <row r="110" ht="15.75" customHeight="1">
      <c r="A110" s="77"/>
      <c r="B110" s="77" t="str">
        <f>IFERROR(__xludf.DUMMYFUNCTION("""COMPUTED_VALUE"""),"24/03/2026 15:33:58")</f>
        <v>24/03/2026 15:33:58</v>
      </c>
      <c r="C110" s="83" t="str">
        <f>IFERROR(__xludf.DUMMYFUNCTION("""COMPUTED_VALUE"""),"22")</f>
        <v>22</v>
      </c>
      <c r="D110" s="77" t="str">
        <f>IFERROR(__xludf.DUMMYFUNCTION("""COMPUTED_VALUE"""),"A. V. C. D. S")</f>
        <v>A. V. C. D. S</v>
      </c>
      <c r="E110" s="77" t="str">
        <f>IFERROR(__xludf.DUMMYFUNCTION("""COMPUTED_VALUE"""),"06/10/2022")</f>
        <v>06/10/2022</v>
      </c>
      <c r="F110" s="77" t="str">
        <f>IFERROR(__xludf.DUMMYFUNCTION("""COMPUTED_VALUE"""),"093******73")</f>
        <v>093******73</v>
      </c>
      <c r="G110" s="77" t="str">
        <f>IFERROR(__xludf.DUMMYFUNCTION("""COMPUTED_VALUE"""),"INFANTIL 3")</f>
        <v>INFANTIL 3</v>
      </c>
      <c r="H110" s="77" t="str">
        <f>IFERROR(__xludf.DUMMYFUNCTION("""COMPUTED_VALUE"""),"CEMEI PROFESSORA LINDOMAR DOMINGOS DA SILVA ANJOS")</f>
        <v>CEMEI PROFESSORA LINDOMAR DOMINGOS DA SILVA ANJOS</v>
      </c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96"/>
    </row>
    <row r="111" ht="15.75" customHeight="1">
      <c r="A111" s="77"/>
      <c r="B111" s="77" t="str">
        <f>IFERROR(__xludf.DUMMYFUNCTION("""COMPUTED_VALUE"""),"09/04/2026 12:42:59")</f>
        <v>09/04/2026 12:42:59</v>
      </c>
      <c r="C111" s="83" t="str">
        <f>IFERROR(__xludf.DUMMYFUNCTION("""COMPUTED_VALUE"""),"23")</f>
        <v>23</v>
      </c>
      <c r="D111" s="77" t="str">
        <f>IFERROR(__xludf.DUMMYFUNCTION("""COMPUTED_VALUE"""),"T. E. D. S")</f>
        <v>T. E. D. S</v>
      </c>
      <c r="E111" s="77" t="str">
        <f>IFERROR(__xludf.DUMMYFUNCTION("""COMPUTED_VALUE"""),"28/09/2022")</f>
        <v>28/09/2022</v>
      </c>
      <c r="F111" s="77" t="str">
        <f>IFERROR(__xludf.DUMMYFUNCTION("""COMPUTED_VALUE"""),"183******73")</f>
        <v>183******73</v>
      </c>
      <c r="G111" s="77" t="str">
        <f>IFERROR(__xludf.DUMMYFUNCTION("""COMPUTED_VALUE"""),"INFANTIL 3")</f>
        <v>INFANTIL 3</v>
      </c>
      <c r="H111" s="77" t="str">
        <f>IFERROR(__xludf.DUMMYFUNCTION("""COMPUTED_VALUE"""),"CEMEI PROFESSORA LINDOMAR DOMINGOS DA SILVA ANJOS")</f>
        <v>CEMEI PROFESSORA LINDOMAR DOMINGOS DA SILVA ANJOS</v>
      </c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96"/>
    </row>
    <row r="112" ht="15.75" customHeight="1">
      <c r="A112" s="77"/>
      <c r="B112" s="77" t="str">
        <f>IFERROR(__xludf.DUMMYFUNCTION("""COMPUTED_VALUE"""),"15/04/2026 12:12:34")</f>
        <v>15/04/2026 12:12:34</v>
      </c>
      <c r="C112" s="83" t="str">
        <f>IFERROR(__xludf.DUMMYFUNCTION("""COMPUTED_VALUE"""),"24")</f>
        <v>24</v>
      </c>
      <c r="D112" s="77" t="str">
        <f>IFERROR(__xludf.DUMMYFUNCTION("""COMPUTED_VALUE"""),"L. M. M. D. C")</f>
        <v>L. M. M. D. C</v>
      </c>
      <c r="E112" s="77" t="str">
        <f>IFERROR(__xludf.DUMMYFUNCTION("""COMPUTED_VALUE"""),"15/05/2022")</f>
        <v>15/05/2022</v>
      </c>
      <c r="F112" s="77" t="str">
        <f>IFERROR(__xludf.DUMMYFUNCTION("""COMPUTED_VALUE"""),"181******39")</f>
        <v>181******39</v>
      </c>
      <c r="G112" s="77" t="str">
        <f>IFERROR(__xludf.DUMMYFUNCTION("""COMPUTED_VALUE"""),"INFANTIL 3")</f>
        <v>INFANTIL 3</v>
      </c>
      <c r="H112" s="77" t="str">
        <f>IFERROR(__xludf.DUMMYFUNCTION("""COMPUTED_VALUE"""),"CEMEI PROFESSORA LINDOMAR DOMINGOS DA SILVA ANJOS")</f>
        <v>CEMEI PROFESSORA LINDOMAR DOMINGOS DA SILVA ANJOS</v>
      </c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96"/>
    </row>
    <row r="113" ht="15.75" customHeight="1">
      <c r="A113" s="77"/>
      <c r="B113" s="77" t="str">
        <f>IFERROR(__xludf.DUMMYFUNCTION("""COMPUTED_VALUE"""),"15/04/2026 20:08:01")</f>
        <v>15/04/2026 20:08:01</v>
      </c>
      <c r="C113" s="83" t="str">
        <f>IFERROR(__xludf.DUMMYFUNCTION("""COMPUTED_VALUE"""),"25")</f>
        <v>25</v>
      </c>
      <c r="D113" s="77" t="str">
        <f>IFERROR(__xludf.DUMMYFUNCTION("""COMPUTED_VALUE"""),"M. L. V. D. S")</f>
        <v>M. L. V. D. S</v>
      </c>
      <c r="E113" s="77" t="str">
        <f>IFERROR(__xludf.DUMMYFUNCTION("""COMPUTED_VALUE"""),"06/03/2023")</f>
        <v>06/03/2023</v>
      </c>
      <c r="F113" s="77" t="str">
        <f>IFERROR(__xludf.DUMMYFUNCTION("""COMPUTED_VALUE"""),"184******09")</f>
        <v>184******09</v>
      </c>
      <c r="G113" s="77" t="str">
        <f>IFERROR(__xludf.DUMMYFUNCTION("""COMPUTED_VALUE"""),"INFANTIL 3")</f>
        <v>INFANTIL 3</v>
      </c>
      <c r="H113" s="77" t="str">
        <f>IFERROR(__xludf.DUMMYFUNCTION("""COMPUTED_VALUE"""),"CEMEI PROFESSORA LINDOMAR DOMINGOS DA SILVA ANJOS")</f>
        <v>CEMEI PROFESSORA LINDOMAR DOMINGOS DA SILVA ANJOS</v>
      </c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96"/>
    </row>
    <row r="114" ht="15.75" customHeight="1">
      <c r="A114" s="77"/>
      <c r="B114" s="77" t="str">
        <f>IFERROR(__xludf.DUMMYFUNCTION("""COMPUTED_VALUE"""),"24/04/2026 15:30:49")</f>
        <v>24/04/2026 15:30:49</v>
      </c>
      <c r="C114" s="83" t="str">
        <f>IFERROR(__xludf.DUMMYFUNCTION("""COMPUTED_VALUE"""),"26")</f>
        <v>26</v>
      </c>
      <c r="D114" s="77" t="str">
        <f>IFERROR(__xludf.DUMMYFUNCTION("""COMPUTED_VALUE"""),"L. G. D. S. M")</f>
        <v>L. G. D. S. M</v>
      </c>
      <c r="E114" s="77" t="str">
        <f>IFERROR(__xludf.DUMMYFUNCTION("""COMPUTED_VALUE"""),"27/07/2022")</f>
        <v>27/07/2022</v>
      </c>
      <c r="F114" s="77" t="str">
        <f>IFERROR(__xludf.DUMMYFUNCTION("""COMPUTED_VALUE"""),"182******80")</f>
        <v>182******80</v>
      </c>
      <c r="G114" s="77" t="str">
        <f>IFERROR(__xludf.DUMMYFUNCTION("""COMPUTED_VALUE"""),"INFANTIL 3")</f>
        <v>INFANTIL 3</v>
      </c>
      <c r="H114" s="77" t="str">
        <f>IFERROR(__xludf.DUMMYFUNCTION("""COMPUTED_VALUE"""),"CEMEI PROFESSORA LINDOMAR DOMINGOS DA SILVA ANJOS")</f>
        <v>CEMEI PROFESSORA LINDOMAR DOMINGOS DA SILVA ANJOS</v>
      </c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96"/>
    </row>
    <row r="115" ht="15.75" customHeight="1">
      <c r="A115" s="77"/>
      <c r="B115" s="77" t="str">
        <f>IFERROR(__xludf.DUMMYFUNCTION("""COMPUTED_VALUE"""),"13/05/2026 09:51:31")</f>
        <v>13/05/2026 09:51:31</v>
      </c>
      <c r="C115" s="83" t="str">
        <f>IFERROR(__xludf.DUMMYFUNCTION("""COMPUTED_VALUE"""),"27")</f>
        <v>27</v>
      </c>
      <c r="D115" s="77" t="str">
        <f>IFERROR(__xludf.DUMMYFUNCTION("""COMPUTED_VALUE"""),"A. T. M. D. N")</f>
        <v>A. T. M. D. N</v>
      </c>
      <c r="E115" s="77" t="str">
        <f>IFERROR(__xludf.DUMMYFUNCTION("""COMPUTED_VALUE"""),"23/02/2023")</f>
        <v>23/02/2023</v>
      </c>
      <c r="F115" s="77" t="str">
        <f>IFERROR(__xludf.DUMMYFUNCTION("""COMPUTED_VALUE"""),"608******29")</f>
        <v>608******29</v>
      </c>
      <c r="G115" s="77" t="str">
        <f>IFERROR(__xludf.DUMMYFUNCTION("""COMPUTED_VALUE"""),"INFANTIL 3")</f>
        <v>INFANTIL 3</v>
      </c>
      <c r="H115" s="77" t="str">
        <f>IFERROR(__xludf.DUMMYFUNCTION("""COMPUTED_VALUE"""),"CEMEI PROFESSORA LINDOMAR DOMINGOS DA SILVA ANJOS")</f>
        <v>CEMEI PROFESSORA LINDOMAR DOMINGOS DA SILVA ANJOS</v>
      </c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96"/>
    </row>
    <row r="116" ht="15.75" customHeight="1">
      <c r="A116" s="77"/>
      <c r="B116" s="77" t="str">
        <f>IFERROR(__xludf.DUMMYFUNCTION("""COMPUTED_VALUE"""),"23/05/2026 20:29:57")</f>
        <v>23/05/2026 20:29:57</v>
      </c>
      <c r="C116" s="83" t="str">
        <f>IFERROR(__xludf.DUMMYFUNCTION("""COMPUTED_VALUE"""),"28")</f>
        <v>28</v>
      </c>
      <c r="D116" s="77" t="str">
        <f>IFERROR(__xludf.DUMMYFUNCTION("""COMPUTED_VALUE"""),"H. M. A. T. M")</f>
        <v>H. M. A. T. M</v>
      </c>
      <c r="E116" s="77" t="str">
        <f>IFERROR(__xludf.DUMMYFUNCTION("""COMPUTED_VALUE"""),"03/11/2022")</f>
        <v>03/11/2022</v>
      </c>
      <c r="F116" s="77" t="str">
        <f>IFERROR(__xludf.DUMMYFUNCTION("""COMPUTED_VALUE"""),"183******40")</f>
        <v>183******40</v>
      </c>
      <c r="G116" s="77" t="str">
        <f>IFERROR(__xludf.DUMMYFUNCTION("""COMPUTED_VALUE"""),"INFANTIL 3")</f>
        <v>INFANTIL 3</v>
      </c>
      <c r="H116" s="77" t="str">
        <f>IFERROR(__xludf.DUMMYFUNCTION("""COMPUTED_VALUE"""),"CEMEI PROFESSORA LINDOMAR DOMINGOS DA SILVA ANJOS")</f>
        <v>CEMEI PROFESSORA LINDOMAR DOMINGOS DA SILVA ANJOS</v>
      </c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96"/>
    </row>
    <row r="117" ht="15.75" customHeight="1">
      <c r="A117" s="77"/>
      <c r="B117" s="77" t="str">
        <f>IFERROR(__xludf.DUMMYFUNCTION("""COMPUTED_VALUE"""),"01/06/2026 08:29:45")</f>
        <v>01/06/2026 08:29:45</v>
      </c>
      <c r="C117" s="83" t="str">
        <f>IFERROR(__xludf.DUMMYFUNCTION("""COMPUTED_VALUE"""),"29")</f>
        <v>29</v>
      </c>
      <c r="D117" s="77" t="str">
        <f>IFERROR(__xludf.DUMMYFUNCTION("""COMPUTED_VALUE"""),"B. D. D. A")</f>
        <v>B. D. D. A</v>
      </c>
      <c r="E117" s="77" t="str">
        <f>IFERROR(__xludf.DUMMYFUNCTION("""COMPUTED_VALUE"""),"29/07/2022")</f>
        <v>29/07/2022</v>
      </c>
      <c r="F117" s="77" t="str">
        <f>IFERROR(__xludf.DUMMYFUNCTION("""COMPUTED_VALUE"""),"182******60")</f>
        <v>182******60</v>
      </c>
      <c r="G117" s="77" t="str">
        <f>IFERROR(__xludf.DUMMYFUNCTION("""COMPUTED_VALUE"""),"INFANTIL 3")</f>
        <v>INFANTIL 3</v>
      </c>
      <c r="H117" s="77" t="str">
        <f>IFERROR(__xludf.DUMMYFUNCTION("""COMPUTED_VALUE"""),"CEMEI PROFESSORA LINDOMAR DOMINGOS DA SILVA ANJOS")</f>
        <v>CEMEI PROFESSORA LINDOMAR DOMINGOS DA SILVA ANJOS</v>
      </c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96"/>
    </row>
    <row r="118" ht="15.75" customHeight="1">
      <c r="A118" s="77"/>
      <c r="B118" s="77" t="str">
        <f>IFERROR(__xludf.DUMMYFUNCTION("""COMPUTED_VALUE"""),"08/06/2026 14:32:49")</f>
        <v>08/06/2026 14:32:49</v>
      </c>
      <c r="C118" s="83" t="str">
        <f>IFERROR(__xludf.DUMMYFUNCTION("""COMPUTED_VALUE"""),"30")</f>
        <v>30</v>
      </c>
      <c r="D118" s="77" t="str">
        <f>IFERROR(__xludf.DUMMYFUNCTION("""COMPUTED_VALUE"""),"E. T. S. d. M")</f>
        <v>E. T. S. d. M</v>
      </c>
      <c r="E118" s="77" t="str">
        <f>IFERROR(__xludf.DUMMYFUNCTION("""COMPUTED_VALUE"""),"17/05/2022")</f>
        <v>17/05/2022</v>
      </c>
      <c r="F118" s="77" t="str">
        <f>IFERROR(__xludf.DUMMYFUNCTION("""COMPUTED_VALUE"""),"181******02")</f>
        <v>181******02</v>
      </c>
      <c r="G118" s="77" t="str">
        <f>IFERROR(__xludf.DUMMYFUNCTION("""COMPUTED_VALUE"""),"INFANTIL 3")</f>
        <v>INFANTIL 3</v>
      </c>
      <c r="H118" s="77" t="str">
        <f>IFERROR(__xludf.DUMMYFUNCTION("""COMPUTED_VALUE"""),"CEMEI PROFESSORA LINDOMAR DOMINGOS DA SILVA ANJOS")</f>
        <v>CEMEI PROFESSORA LINDOMAR DOMINGOS DA SILVA ANJOS</v>
      </c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96"/>
    </row>
    <row r="119" ht="15.75" customHeight="1">
      <c r="A119" s="77"/>
      <c r="B119" s="77" t="str">
        <f>IFERROR(__xludf.DUMMYFUNCTION("""COMPUTED_VALUE"""),"11/06/2026 11:18:56")</f>
        <v>11/06/2026 11:18:56</v>
      </c>
      <c r="C119" s="83" t="str">
        <f>IFERROR(__xludf.DUMMYFUNCTION("""COMPUTED_VALUE"""),"31")</f>
        <v>31</v>
      </c>
      <c r="D119" s="77" t="str">
        <f>IFERROR(__xludf.DUMMYFUNCTION("""COMPUTED_VALUE"""),"A. C. D. S")</f>
        <v>A. C. D. S</v>
      </c>
      <c r="E119" s="77" t="str">
        <f>IFERROR(__xludf.DUMMYFUNCTION("""COMPUTED_VALUE"""),"12/01/2023")</f>
        <v>12/01/2023</v>
      </c>
      <c r="F119" s="77" t="str">
        <f>IFERROR(__xludf.DUMMYFUNCTION("""COMPUTED_VALUE"""),"184******32")</f>
        <v>184******32</v>
      </c>
      <c r="G119" s="77" t="str">
        <f>IFERROR(__xludf.DUMMYFUNCTION("""COMPUTED_VALUE"""),"INFANTIL 3")</f>
        <v>INFANTIL 3</v>
      </c>
      <c r="H119" s="77" t="str">
        <f>IFERROR(__xludf.DUMMYFUNCTION("""COMPUTED_VALUE"""),"CEMEI PROFESSORA LINDOMAR DOMINGOS DA SILVA ANJOS")</f>
        <v>CEMEI PROFESSORA LINDOMAR DOMINGOS DA SILVA ANJOS</v>
      </c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96"/>
    </row>
    <row r="120" ht="15.75" customHeight="1">
      <c r="A120" s="77"/>
      <c r="B120" s="77" t="str">
        <f>IFERROR(__xludf.DUMMYFUNCTION("""COMPUTED_VALUE"""),"28/01/2026 21:43:18")</f>
        <v>28/01/2026 21:43:18</v>
      </c>
      <c r="C120" s="83" t="str">
        <f>IFERROR(__xludf.DUMMYFUNCTION("""COMPUTED_VALUE"""),"1")</f>
        <v>1</v>
      </c>
      <c r="D120" s="77" t="str">
        <f>IFERROR(__xludf.DUMMYFUNCTION("""COMPUTED_VALUE"""),"A. D. D. O. A")</f>
        <v>A. D. D. O. A</v>
      </c>
      <c r="E120" s="77" t="str">
        <f>IFERROR(__xludf.DUMMYFUNCTION("""COMPUTED_VALUE"""),"10/10/2024")</f>
        <v>10/10/2024</v>
      </c>
      <c r="F120" s="77" t="str">
        <f>IFERROR(__xludf.DUMMYFUNCTION("""COMPUTED_VALUE"""),"005******63")</f>
        <v>005******63</v>
      </c>
      <c r="G120" s="77" t="str">
        <f>IFERROR(__xludf.DUMMYFUNCTION("""COMPUTED_VALUE"""),"INFANTIL 1")</f>
        <v>INFANTIL 1</v>
      </c>
      <c r="H120" s="77" t="str">
        <f>IFERROR(__xludf.DUMMYFUNCTION("""COMPUTED_VALUE"""),"CEMEI SILVIA MARIA DE OLIVEIRA")</f>
        <v>CEMEI SILVIA MARIA DE OLIVEIRA</v>
      </c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96"/>
    </row>
    <row r="121" ht="15.75" customHeight="1">
      <c r="A121" s="77"/>
      <c r="B121" s="77" t="str">
        <f>IFERROR(__xludf.DUMMYFUNCTION("""COMPUTED_VALUE"""),"08/05/2026 18:02:36")</f>
        <v>08/05/2026 18:02:36</v>
      </c>
      <c r="C121" s="83" t="str">
        <f>IFERROR(__xludf.DUMMYFUNCTION("""COMPUTED_VALUE"""),"1")</f>
        <v>1</v>
      </c>
      <c r="D121" s="77" t="str">
        <f>IFERROR(__xludf.DUMMYFUNCTION("""COMPUTED_VALUE"""),"A. G. L. D. S")</f>
        <v>A. G. L. D. S</v>
      </c>
      <c r="E121" s="77" t="str">
        <f>IFERROR(__xludf.DUMMYFUNCTION("""COMPUTED_VALUE"""),"14/03/2024")</f>
        <v>14/03/2024</v>
      </c>
      <c r="F121" s="77" t="str">
        <f>IFERROR(__xludf.DUMMYFUNCTION("""COMPUTED_VALUE"""),"002******44")</f>
        <v>002******44</v>
      </c>
      <c r="G121" s="77" t="str">
        <f>IFERROR(__xludf.DUMMYFUNCTION("""COMPUTED_VALUE"""),"INFANTIL 2")</f>
        <v>INFANTIL 2</v>
      </c>
      <c r="H121" s="77" t="str">
        <f>IFERROR(__xludf.DUMMYFUNCTION("""COMPUTED_VALUE"""),"CEMEI SILVIA MARIA DE OLIVEIRA")</f>
        <v>CEMEI SILVIA MARIA DE OLIVEIRA</v>
      </c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96"/>
    </row>
    <row r="122" ht="15.75" customHeight="1">
      <c r="A122" s="77"/>
      <c r="B122" s="77"/>
      <c r="C122" s="83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96"/>
    </row>
  </sheetData>
  <mergeCells count="16">
    <mergeCell ref="I5:J5"/>
    <mergeCell ref="I6:J6"/>
    <mergeCell ref="K6:L6"/>
    <mergeCell ref="M6:N6"/>
    <mergeCell ref="B4:C7"/>
    <mergeCell ref="B8:C10"/>
    <mergeCell ref="B11:C13"/>
    <mergeCell ref="B14:C16"/>
    <mergeCell ref="B17:C19"/>
    <mergeCell ref="B2:Q2"/>
    <mergeCell ref="D4:D7"/>
    <mergeCell ref="E4:Q4"/>
    <mergeCell ref="E5:H5"/>
    <mergeCell ref="K5:P5"/>
    <mergeCell ref="Q5:Q6"/>
    <mergeCell ref="O6:P6"/>
  </mergeCells>
  <conditionalFormatting sqref="E8:N18">
    <cfRule type="containsBlanks" dxfId="7" priority="1">
      <formula>LEN(TRIM(E8))=0</formula>
    </cfRule>
  </conditionalFormatting>
  <drawing r:id="rId1"/>
  <tableParts count="1">
    <tablePart r:id="rId3"/>
  </tableParts>
</worksheet>
</file>